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chmith\Documents\"/>
    </mc:Choice>
  </mc:AlternateContent>
  <bookViews>
    <workbookView xWindow="0" yWindow="0" windowWidth="38400" windowHeight="18110"/>
  </bookViews>
  <sheets>
    <sheet name="Input" sheetId="15" r:id="rId1"/>
    <sheet name="Final UCC Appr'd FY2022" sheetId="14" r:id="rId2"/>
    <sheet name="UCC Fund Calc FY2022" sheetId="2" r:id="rId3"/>
    <sheet name="PayOut  PayIn FY2022" sheetId="4" r:id="rId4"/>
    <sheet name="PDA Schedules FY 2020" sheetId="19" r:id="rId5"/>
    <sheet name="PDA Schedules FY 2019" sheetId="6" r:id="rId6"/>
    <sheet name="PDA Schedules FY 2018" sheetId="18" r:id="rId7"/>
    <sheet name="PDA Schedules FY 2017" sheetId="16" r:id="rId8"/>
    <sheet name="Marcellas PDA FY 2020" sheetId="7" r:id="rId9"/>
    <sheet name=" Schedule RE FY 2017" sheetId="13" state="hidden" r:id="rId10"/>
  </sheets>
  <externalReferences>
    <externalReference r:id="rId11"/>
  </externalReferences>
  <definedNames>
    <definedName name="_xlnm._FilterDatabase" localSheetId="1" hidden="1">Input!$I$10:$I$59</definedName>
    <definedName name="_xlnm._FilterDatabase" localSheetId="8" hidden="1">'Marcellas PDA FY 2020'!$F$8:$F$63</definedName>
    <definedName name="_xlnm.Print_Area" localSheetId="9">' Schedule RE FY 2017'!$A$4:$X$7</definedName>
  </definedNames>
  <calcPr calcId="152511"/>
</workbook>
</file>

<file path=xl/calcChain.xml><?xml version="1.0" encoding="utf-8"?>
<calcChain xmlns="http://schemas.openxmlformats.org/spreadsheetml/2006/main">
  <c r="J11" i="15" l="1"/>
  <c r="H8" i="14"/>
  <c r="K76" i="4" l="1"/>
  <c r="S13" i="15" l="1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59" i="15"/>
  <c r="S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O57" i="15"/>
  <c r="O58" i="15"/>
  <c r="O59" i="15"/>
  <c r="O12" i="15"/>
  <c r="R11" i="15" l="1"/>
  <c r="J9" i="15" l="1"/>
  <c r="AQ57" i="19" l="1"/>
  <c r="B57" i="19"/>
  <c r="A57" i="19"/>
  <c r="U57" i="19" s="1"/>
  <c r="AQ56" i="19"/>
  <c r="B56" i="19"/>
  <c r="A56" i="19"/>
  <c r="AQ55" i="19"/>
  <c r="M55" i="19"/>
  <c r="C55" i="19"/>
  <c r="B55" i="19"/>
  <c r="A55" i="19"/>
  <c r="Y55" i="19" s="1"/>
  <c r="AQ54" i="19"/>
  <c r="X54" i="19"/>
  <c r="B54" i="19"/>
  <c r="A54" i="19"/>
  <c r="R54" i="19" s="1"/>
  <c r="AQ53" i="19"/>
  <c r="V53" i="19"/>
  <c r="B53" i="19"/>
  <c r="A53" i="19"/>
  <c r="Q53" i="19" s="1"/>
  <c r="AQ52" i="19"/>
  <c r="B52" i="19"/>
  <c r="A52" i="19"/>
  <c r="AQ51" i="19"/>
  <c r="U51" i="19"/>
  <c r="B51" i="19"/>
  <c r="A51" i="19"/>
  <c r="I51" i="19" s="1"/>
  <c r="AQ50" i="19"/>
  <c r="B50" i="19"/>
  <c r="A50" i="19"/>
  <c r="AQ49" i="19"/>
  <c r="E49" i="19"/>
  <c r="B49" i="19"/>
  <c r="A49" i="19"/>
  <c r="V49" i="19" s="1"/>
  <c r="AQ48" i="19"/>
  <c r="Z48" i="19"/>
  <c r="N48" i="19"/>
  <c r="C48" i="19"/>
  <c r="B48" i="19"/>
  <c r="A48" i="19"/>
  <c r="Y48" i="19" s="1"/>
  <c r="AQ47" i="19"/>
  <c r="B47" i="19"/>
  <c r="A47" i="19"/>
  <c r="AQ46" i="19"/>
  <c r="L46" i="19"/>
  <c r="F46" i="19"/>
  <c r="B46" i="19"/>
  <c r="A46" i="19"/>
  <c r="V46" i="19" s="1"/>
  <c r="AQ45" i="19"/>
  <c r="W45" i="19"/>
  <c r="O45" i="19"/>
  <c r="G45" i="19"/>
  <c r="B45" i="19"/>
  <c r="A45" i="19"/>
  <c r="U45" i="19" s="1"/>
  <c r="AQ44" i="19"/>
  <c r="S44" i="19"/>
  <c r="H44" i="19"/>
  <c r="B44" i="19"/>
  <c r="A44" i="19"/>
  <c r="Y44" i="19" s="1"/>
  <c r="AQ43" i="19"/>
  <c r="O43" i="19"/>
  <c r="D43" i="19"/>
  <c r="B43" i="19"/>
  <c r="A43" i="19"/>
  <c r="W43" i="19" s="1"/>
  <c r="AQ42" i="19"/>
  <c r="Q42" i="19"/>
  <c r="B42" i="19"/>
  <c r="A42" i="19"/>
  <c r="AQ41" i="19"/>
  <c r="Z41" i="19"/>
  <c r="W41" i="19"/>
  <c r="R41" i="19"/>
  <c r="O41" i="19"/>
  <c r="L41" i="19"/>
  <c r="G41" i="19"/>
  <c r="D41" i="19"/>
  <c r="B41" i="19"/>
  <c r="A41" i="19"/>
  <c r="Y41" i="19" s="1"/>
  <c r="AQ40" i="19"/>
  <c r="B40" i="19"/>
  <c r="A40" i="19"/>
  <c r="AQ39" i="19"/>
  <c r="D39" i="19"/>
  <c r="B39" i="19"/>
  <c r="A39" i="19"/>
  <c r="W39" i="19" s="1"/>
  <c r="AQ38" i="19"/>
  <c r="B38" i="19"/>
  <c r="A38" i="19"/>
  <c r="AQ37" i="19"/>
  <c r="B37" i="19"/>
  <c r="A37" i="19"/>
  <c r="AQ36" i="19"/>
  <c r="V36" i="19"/>
  <c r="I36" i="19"/>
  <c r="B36" i="19"/>
  <c r="A36" i="19"/>
  <c r="O36" i="19" s="1"/>
  <c r="AQ35" i="19"/>
  <c r="S35" i="19"/>
  <c r="H35" i="19"/>
  <c r="B35" i="19"/>
  <c r="A35" i="19"/>
  <c r="Y35" i="19" s="1"/>
  <c r="AQ34" i="19"/>
  <c r="K34" i="19"/>
  <c r="B34" i="19"/>
  <c r="A34" i="19"/>
  <c r="AQ33" i="19"/>
  <c r="Y33" i="19"/>
  <c r="J33" i="19"/>
  <c r="B33" i="19"/>
  <c r="A33" i="19"/>
  <c r="X33" i="19" s="1"/>
  <c r="AQ32" i="19"/>
  <c r="B32" i="19"/>
  <c r="A32" i="19"/>
  <c r="Y32" i="19" s="1"/>
  <c r="AQ31" i="19"/>
  <c r="B31" i="19"/>
  <c r="A31" i="19"/>
  <c r="G31" i="19" s="1"/>
  <c r="AQ30" i="19"/>
  <c r="C30" i="19"/>
  <c r="B30" i="19"/>
  <c r="A30" i="19"/>
  <c r="S30" i="19" s="1"/>
  <c r="AQ29" i="19"/>
  <c r="Z29" i="19"/>
  <c r="F29" i="19"/>
  <c r="B29" i="19"/>
  <c r="A29" i="19"/>
  <c r="X29" i="19" s="1"/>
  <c r="AQ28" i="19"/>
  <c r="J28" i="19"/>
  <c r="B28" i="19"/>
  <c r="A28" i="19"/>
  <c r="AQ27" i="19"/>
  <c r="Z27" i="19"/>
  <c r="W27" i="19"/>
  <c r="S27" i="19"/>
  <c r="O27" i="19"/>
  <c r="L27" i="19"/>
  <c r="H27" i="19"/>
  <c r="D27" i="19"/>
  <c r="B27" i="19"/>
  <c r="A27" i="19"/>
  <c r="Y27" i="19" s="1"/>
  <c r="AQ26" i="19"/>
  <c r="B26" i="19"/>
  <c r="A26" i="19"/>
  <c r="U26" i="19" s="1"/>
  <c r="AQ25" i="19"/>
  <c r="B25" i="19"/>
  <c r="A25" i="19"/>
  <c r="I25" i="19" s="1"/>
  <c r="AQ24" i="19"/>
  <c r="B24" i="19"/>
  <c r="A24" i="19"/>
  <c r="Y24" i="19" s="1"/>
  <c r="AQ23" i="19"/>
  <c r="G23" i="19"/>
  <c r="B23" i="19"/>
  <c r="A23" i="19"/>
  <c r="N23" i="19" s="1"/>
  <c r="AQ22" i="19"/>
  <c r="C22" i="19"/>
  <c r="B22" i="19"/>
  <c r="A22" i="19"/>
  <c r="S22" i="19" s="1"/>
  <c r="AQ21" i="19"/>
  <c r="Z21" i="19"/>
  <c r="F21" i="19"/>
  <c r="B21" i="19"/>
  <c r="A21" i="19"/>
  <c r="X21" i="19" s="1"/>
  <c r="AQ20" i="19"/>
  <c r="Y20" i="19"/>
  <c r="S20" i="19"/>
  <c r="O20" i="19"/>
  <c r="K20" i="19"/>
  <c r="E20" i="19"/>
  <c r="C20" i="19"/>
  <c r="B20" i="19"/>
  <c r="A20" i="19"/>
  <c r="Z20" i="19" s="1"/>
  <c r="AQ19" i="19"/>
  <c r="B19" i="19"/>
  <c r="A19" i="19"/>
  <c r="Y19" i="19" s="1"/>
  <c r="AQ18" i="19"/>
  <c r="Z18" i="19"/>
  <c r="X18" i="19"/>
  <c r="W18" i="19"/>
  <c r="S18" i="19"/>
  <c r="R18" i="19"/>
  <c r="O18" i="19"/>
  <c r="L18" i="19"/>
  <c r="J18" i="19"/>
  <c r="H18" i="19"/>
  <c r="D18" i="19"/>
  <c r="C18" i="19"/>
  <c r="B18" i="19"/>
  <c r="A18" i="19"/>
  <c r="Y18" i="19" s="1"/>
  <c r="AQ17" i="19"/>
  <c r="B17" i="19"/>
  <c r="A17" i="19"/>
  <c r="X17" i="19" s="1"/>
  <c r="AQ16" i="19"/>
  <c r="X16" i="19"/>
  <c r="M16" i="19"/>
  <c r="D16" i="19"/>
  <c r="B16" i="19"/>
  <c r="A16" i="19"/>
  <c r="U16" i="19" s="1"/>
  <c r="AQ15" i="19"/>
  <c r="Y15" i="19"/>
  <c r="M15" i="19"/>
  <c r="B15" i="19"/>
  <c r="A15" i="19"/>
  <c r="AQ14" i="19"/>
  <c r="B14" i="19"/>
  <c r="A14" i="19"/>
  <c r="AQ13" i="19"/>
  <c r="B13" i="19"/>
  <c r="A13" i="19"/>
  <c r="AQ12" i="19"/>
  <c r="B12" i="19"/>
  <c r="A12" i="19"/>
  <c r="X12" i="19" s="1"/>
  <c r="AQ11" i="19"/>
  <c r="B11" i="19"/>
  <c r="A11" i="19"/>
  <c r="N11" i="19" s="1"/>
  <c r="AQ10" i="19"/>
  <c r="J10" i="19"/>
  <c r="B10" i="19"/>
  <c r="A10" i="19"/>
  <c r="AQ9" i="19"/>
  <c r="B9" i="19"/>
  <c r="A9" i="19"/>
  <c r="X9" i="19" s="1"/>
  <c r="A6" i="19"/>
  <c r="Z25" i="19" l="1"/>
  <c r="U38" i="19"/>
  <c r="M38" i="19"/>
  <c r="C38" i="19"/>
  <c r="Y40" i="19"/>
  <c r="K40" i="19"/>
  <c r="E40" i="19"/>
  <c r="U40" i="19"/>
  <c r="AE40" i="19" s="1"/>
  <c r="J43" i="15" s="1"/>
  <c r="Y56" i="19"/>
  <c r="H56" i="19"/>
  <c r="X56" i="19"/>
  <c r="C56" i="19"/>
  <c r="S56" i="19"/>
  <c r="Y37" i="19"/>
  <c r="R37" i="19"/>
  <c r="F37" i="19"/>
  <c r="Z37" i="19"/>
  <c r="N37" i="19"/>
  <c r="D37" i="19"/>
  <c r="V37" i="19"/>
  <c r="L37" i="19"/>
  <c r="O47" i="19"/>
  <c r="L47" i="19"/>
  <c r="D47" i="19"/>
  <c r="Y10" i="19"/>
  <c r="V10" i="19"/>
  <c r="K10" i="19"/>
  <c r="R10" i="19"/>
  <c r="F10" i="19"/>
  <c r="N10" i="19"/>
  <c r="Z15" i="19"/>
  <c r="W15" i="19"/>
  <c r="G15" i="19"/>
  <c r="R15" i="19"/>
  <c r="C15" i="19"/>
  <c r="N15" i="19"/>
  <c r="X34" i="19"/>
  <c r="Y34" i="19"/>
  <c r="D34" i="19"/>
  <c r="S34" i="19"/>
  <c r="C34" i="19"/>
  <c r="P34" i="19"/>
  <c r="J37" i="19"/>
  <c r="T47" i="19"/>
  <c r="U50" i="19"/>
  <c r="T50" i="19"/>
  <c r="D50" i="19"/>
  <c r="U25" i="19"/>
  <c r="Y25" i="19"/>
  <c r="P25" i="19"/>
  <c r="E25" i="19"/>
  <c r="AA25" i="19" s="1"/>
  <c r="X25" i="19"/>
  <c r="M25" i="19"/>
  <c r="D25" i="19"/>
  <c r="T25" i="19"/>
  <c r="J25" i="19"/>
  <c r="Y31" i="19"/>
  <c r="Z31" i="19"/>
  <c r="S31" i="19"/>
  <c r="L31" i="19"/>
  <c r="D31" i="19"/>
  <c r="X31" i="19"/>
  <c r="R31" i="19"/>
  <c r="J31" i="19"/>
  <c r="C31" i="19"/>
  <c r="W31" i="19"/>
  <c r="O31" i="19"/>
  <c r="H31" i="19"/>
  <c r="T31" i="19"/>
  <c r="S10" i="19"/>
  <c r="C10" i="19"/>
  <c r="Z10" i="19"/>
  <c r="F11" i="19"/>
  <c r="Y23" i="19"/>
  <c r="Z23" i="19"/>
  <c r="S23" i="19"/>
  <c r="L23" i="19"/>
  <c r="D23" i="19"/>
  <c r="X23" i="19"/>
  <c r="R23" i="19"/>
  <c r="J23" i="19"/>
  <c r="C23" i="19"/>
  <c r="W23" i="19"/>
  <c r="O23" i="19"/>
  <c r="H23" i="19"/>
  <c r="T23" i="19"/>
  <c r="R25" i="19"/>
  <c r="N31" i="19"/>
  <c r="T37" i="19"/>
  <c r="Y38" i="19"/>
  <c r="Q40" i="19"/>
  <c r="I40" i="2" s="1"/>
  <c r="N56" i="19"/>
  <c r="Q57" i="19"/>
  <c r="E16" i="19"/>
  <c r="H16" i="2" s="1"/>
  <c r="P16" i="19"/>
  <c r="Y16" i="19"/>
  <c r="L21" i="19"/>
  <c r="L22" i="19"/>
  <c r="G27" i="19"/>
  <c r="AG27" i="19" s="1"/>
  <c r="N27" i="19"/>
  <c r="T27" i="19"/>
  <c r="L29" i="19"/>
  <c r="L30" i="19"/>
  <c r="R33" i="19"/>
  <c r="N35" i="19"/>
  <c r="U36" i="19"/>
  <c r="L39" i="19"/>
  <c r="N44" i="19"/>
  <c r="M45" i="19"/>
  <c r="Z45" i="19"/>
  <c r="F48" i="19"/>
  <c r="R48" i="19"/>
  <c r="N49" i="19"/>
  <c r="S57" i="19"/>
  <c r="Z49" i="19"/>
  <c r="X55" i="19"/>
  <c r="C57" i="19"/>
  <c r="Y57" i="19"/>
  <c r="I16" i="19"/>
  <c r="R16" i="19"/>
  <c r="Z16" i="19"/>
  <c r="Q21" i="19"/>
  <c r="W22" i="19"/>
  <c r="Q29" i="19"/>
  <c r="W30" i="19"/>
  <c r="T39" i="19"/>
  <c r="J48" i="19"/>
  <c r="S48" i="19"/>
  <c r="J16" i="19"/>
  <c r="T16" i="19"/>
  <c r="G18" i="19"/>
  <c r="N18" i="19"/>
  <c r="T18" i="19"/>
  <c r="J20" i="19"/>
  <c r="V20" i="19"/>
  <c r="U21" i="19"/>
  <c r="C27" i="19"/>
  <c r="J27" i="19"/>
  <c r="R27" i="19"/>
  <c r="X27" i="19"/>
  <c r="U29" i="19"/>
  <c r="D33" i="19"/>
  <c r="C35" i="19"/>
  <c r="X35" i="19"/>
  <c r="F36" i="19"/>
  <c r="J41" i="19"/>
  <c r="T41" i="19"/>
  <c r="Y43" i="19"/>
  <c r="C44" i="19"/>
  <c r="X44" i="19"/>
  <c r="E45" i="19"/>
  <c r="AP45" i="19" s="1"/>
  <c r="R45" i="19"/>
  <c r="K48" i="19"/>
  <c r="V48" i="19"/>
  <c r="K51" i="19"/>
  <c r="K53" i="19"/>
  <c r="I57" i="19"/>
  <c r="S32" i="19"/>
  <c r="F32" i="19"/>
  <c r="R32" i="19"/>
  <c r="C32" i="19"/>
  <c r="M32" i="19"/>
  <c r="Y13" i="19"/>
  <c r="W13" i="19"/>
  <c r="L13" i="19"/>
  <c r="Q13" i="19"/>
  <c r="G13" i="19"/>
  <c r="M13" i="19"/>
  <c r="Y14" i="19"/>
  <c r="W14" i="19"/>
  <c r="R14" i="19"/>
  <c r="L14" i="19"/>
  <c r="G14" i="19"/>
  <c r="Z14" i="19"/>
  <c r="T14" i="19"/>
  <c r="O14" i="19"/>
  <c r="J14" i="19"/>
  <c r="D14" i="19"/>
  <c r="H14" i="19"/>
  <c r="S14" i="19"/>
  <c r="S13" i="19"/>
  <c r="K14" i="19"/>
  <c r="C13" i="19"/>
  <c r="X13" i="19"/>
  <c r="C14" i="19"/>
  <c r="N14" i="19"/>
  <c r="X14" i="19"/>
  <c r="V28" i="19"/>
  <c r="Z28" i="19"/>
  <c r="I28" i="19"/>
  <c r="S28" i="19"/>
  <c r="C28" i="19"/>
  <c r="Q28" i="19"/>
  <c r="J31" i="2"/>
  <c r="V14" i="19"/>
  <c r="Y11" i="19"/>
  <c r="R11" i="19"/>
  <c r="Z11" i="19"/>
  <c r="J11" i="19"/>
  <c r="V11" i="19"/>
  <c r="H13" i="19"/>
  <c r="F14" i="19"/>
  <c r="P14" i="19"/>
  <c r="K32" i="19"/>
  <c r="Y52" i="19"/>
  <c r="Z52" i="19"/>
  <c r="T52" i="19"/>
  <c r="O52" i="19"/>
  <c r="J52" i="19"/>
  <c r="D52" i="19"/>
  <c r="X52" i="19"/>
  <c r="S52" i="19"/>
  <c r="N52" i="19"/>
  <c r="H52" i="19"/>
  <c r="C52" i="19"/>
  <c r="W52" i="19"/>
  <c r="R52" i="19"/>
  <c r="L52" i="19"/>
  <c r="G52" i="19"/>
  <c r="V52" i="19"/>
  <c r="AL52" i="19" s="1"/>
  <c r="P52" i="19"/>
  <c r="K52" i="19"/>
  <c r="F52" i="19"/>
  <c r="I56" i="2"/>
  <c r="J16" i="2"/>
  <c r="J21" i="19"/>
  <c r="R21" i="19"/>
  <c r="E22" i="19"/>
  <c r="P22" i="19"/>
  <c r="X22" i="19"/>
  <c r="J25" i="2"/>
  <c r="J29" i="19"/>
  <c r="R29" i="19"/>
  <c r="E30" i="19"/>
  <c r="P30" i="19"/>
  <c r="X30" i="19"/>
  <c r="E33" i="19"/>
  <c r="AP33" i="19" s="1"/>
  <c r="M33" i="19"/>
  <c r="T33" i="19"/>
  <c r="Z33" i="19"/>
  <c r="D35" i="19"/>
  <c r="J35" i="19"/>
  <c r="O35" i="19"/>
  <c r="T35" i="19"/>
  <c r="Z35" i="19"/>
  <c r="E38" i="19"/>
  <c r="H38" i="2" s="1"/>
  <c r="Q38" i="19"/>
  <c r="I38" i="2" s="1"/>
  <c r="F39" i="19"/>
  <c r="N39" i="19"/>
  <c r="V39" i="19"/>
  <c r="I40" i="19"/>
  <c r="S40" i="19"/>
  <c r="F41" i="19"/>
  <c r="K41" i="19"/>
  <c r="P41" i="19"/>
  <c r="V41" i="19"/>
  <c r="G43" i="19"/>
  <c r="Q43" i="19"/>
  <c r="D44" i="19"/>
  <c r="J44" i="19"/>
  <c r="O44" i="19"/>
  <c r="T44" i="19"/>
  <c r="Z44" i="19"/>
  <c r="K47" i="19"/>
  <c r="W47" i="19"/>
  <c r="F49" i="19"/>
  <c r="R49" i="19"/>
  <c r="J48" i="2" s="1"/>
  <c r="I50" i="19"/>
  <c r="Y50" i="19"/>
  <c r="O53" i="19"/>
  <c r="G55" i="19"/>
  <c r="Q55" i="19"/>
  <c r="D56" i="19"/>
  <c r="J56" i="19"/>
  <c r="O56" i="19"/>
  <c r="T56" i="19"/>
  <c r="Z56" i="19"/>
  <c r="G29" i="2"/>
  <c r="H30" i="19"/>
  <c r="Q30" i="19"/>
  <c r="H33" i="19"/>
  <c r="N33" i="19"/>
  <c r="U33" i="19"/>
  <c r="F35" i="19"/>
  <c r="K35" i="19"/>
  <c r="P35" i="19"/>
  <c r="V35" i="19"/>
  <c r="I38" i="19"/>
  <c r="S38" i="19"/>
  <c r="H39" i="19"/>
  <c r="P39" i="19"/>
  <c r="X39" i="19"/>
  <c r="AL39" i="19" s="1"/>
  <c r="I43" i="19"/>
  <c r="T43" i="19"/>
  <c r="F44" i="19"/>
  <c r="K44" i="19"/>
  <c r="P44" i="19"/>
  <c r="V44" i="19"/>
  <c r="J49" i="19"/>
  <c r="U49" i="19"/>
  <c r="L50" i="19"/>
  <c r="G49" i="2" s="1"/>
  <c r="H55" i="19"/>
  <c r="S55" i="19"/>
  <c r="F56" i="19"/>
  <c r="K56" i="19"/>
  <c r="F55" i="2" s="1"/>
  <c r="P56" i="19"/>
  <c r="V56" i="19"/>
  <c r="H22" i="19"/>
  <c r="Q22" i="19"/>
  <c r="I22" i="2" s="1"/>
  <c r="G10" i="19"/>
  <c r="O10" i="19"/>
  <c r="W10" i="19"/>
  <c r="I15" i="19"/>
  <c r="S15" i="19"/>
  <c r="H16" i="19"/>
  <c r="N16" i="19"/>
  <c r="F18" i="19"/>
  <c r="AG18" i="19" s="1"/>
  <c r="K18" i="19"/>
  <c r="P18" i="19"/>
  <c r="V18" i="19"/>
  <c r="I20" i="19"/>
  <c r="AH20" i="19" s="1"/>
  <c r="Q20" i="19"/>
  <c r="I20" i="2" s="1"/>
  <c r="E21" i="19"/>
  <c r="G21" i="2" s="1"/>
  <c r="M21" i="19"/>
  <c r="K22" i="19"/>
  <c r="AP22" i="2" s="1"/>
  <c r="F23" i="19"/>
  <c r="K23" i="19"/>
  <c r="P23" i="19"/>
  <c r="V23" i="19"/>
  <c r="AL23" i="19" s="1"/>
  <c r="H25" i="19"/>
  <c r="N25" i="19"/>
  <c r="F27" i="19"/>
  <c r="K27" i="19"/>
  <c r="P27" i="19"/>
  <c r="V27" i="19"/>
  <c r="E29" i="19"/>
  <c r="I29" i="2" s="1"/>
  <c r="M29" i="19"/>
  <c r="H29" i="2" s="1"/>
  <c r="K30" i="19"/>
  <c r="F31" i="19"/>
  <c r="AG31" i="19" s="1"/>
  <c r="K31" i="19"/>
  <c r="P31" i="19"/>
  <c r="V31" i="19"/>
  <c r="I33" i="19"/>
  <c r="P33" i="19"/>
  <c r="I34" i="19"/>
  <c r="G35" i="19"/>
  <c r="L35" i="19"/>
  <c r="R35" i="19"/>
  <c r="W35" i="19"/>
  <c r="AL35" i="19" s="1"/>
  <c r="H37" i="19"/>
  <c r="P37" i="19"/>
  <c r="X37" i="19"/>
  <c r="K38" i="19"/>
  <c r="AP38" i="2" s="1"/>
  <c r="J39" i="19"/>
  <c r="R39" i="19"/>
  <c r="Z39" i="19"/>
  <c r="C40" i="19"/>
  <c r="M40" i="19"/>
  <c r="H40" i="2" s="1"/>
  <c r="C41" i="19"/>
  <c r="H41" i="19"/>
  <c r="N41" i="19"/>
  <c r="S41" i="19"/>
  <c r="X41" i="19"/>
  <c r="L43" i="19"/>
  <c r="G44" i="19"/>
  <c r="L44" i="19"/>
  <c r="R44" i="19"/>
  <c r="W44" i="19"/>
  <c r="AL44" i="19" s="1"/>
  <c r="J45" i="19"/>
  <c r="C47" i="19"/>
  <c r="G48" i="19"/>
  <c r="O48" i="19"/>
  <c r="W48" i="19"/>
  <c r="M49" i="19"/>
  <c r="H48" i="2" s="1"/>
  <c r="Q50" i="19"/>
  <c r="E53" i="19"/>
  <c r="AP52" i="2" s="1"/>
  <c r="Z53" i="19"/>
  <c r="M54" i="19"/>
  <c r="L55" i="19"/>
  <c r="W55" i="19"/>
  <c r="G56" i="19"/>
  <c r="AG56" i="19" s="1"/>
  <c r="L56" i="19"/>
  <c r="R56" i="19"/>
  <c r="W56" i="19"/>
  <c r="K57" i="19"/>
  <c r="AP56" i="2" s="1"/>
  <c r="AL14" i="19"/>
  <c r="AL18" i="19"/>
  <c r="AC53" i="19"/>
  <c r="AD20" i="19"/>
  <c r="AL27" i="19"/>
  <c r="I9" i="19"/>
  <c r="Q9" i="19"/>
  <c r="Y9" i="19"/>
  <c r="I12" i="19"/>
  <c r="M12" i="19"/>
  <c r="Q12" i="19"/>
  <c r="U12" i="19"/>
  <c r="Y12" i="19"/>
  <c r="AE16" i="19"/>
  <c r="J19" i="15" s="1"/>
  <c r="K19" i="19"/>
  <c r="AP38" i="19"/>
  <c r="AE38" i="19"/>
  <c r="J41" i="15" s="1"/>
  <c r="AC40" i="19"/>
  <c r="F9" i="19"/>
  <c r="J9" i="19"/>
  <c r="N9" i="19"/>
  <c r="R9" i="19"/>
  <c r="V9" i="19"/>
  <c r="Z9" i="19"/>
  <c r="D10" i="19"/>
  <c r="H10" i="19"/>
  <c r="L10" i="19"/>
  <c r="P10" i="19"/>
  <c r="T10" i="19"/>
  <c r="X10" i="19"/>
  <c r="AL10" i="19" s="1"/>
  <c r="C11" i="19"/>
  <c r="G11" i="19"/>
  <c r="K11" i="19"/>
  <c r="O11" i="19"/>
  <c r="S11" i="19"/>
  <c r="W11" i="19"/>
  <c r="F12" i="19"/>
  <c r="J12" i="19"/>
  <c r="N12" i="19"/>
  <c r="R12" i="19"/>
  <c r="V12" i="19"/>
  <c r="Z12" i="19"/>
  <c r="D13" i="19"/>
  <c r="I13" i="19"/>
  <c r="O13" i="19"/>
  <c r="T13" i="19"/>
  <c r="E15" i="19"/>
  <c r="H15" i="2" s="1"/>
  <c r="J15" i="19"/>
  <c r="O15" i="19"/>
  <c r="U15" i="19"/>
  <c r="W16" i="19"/>
  <c r="S16" i="19"/>
  <c r="AK16" i="19" s="1"/>
  <c r="O16" i="19"/>
  <c r="K16" i="19"/>
  <c r="G16" i="19"/>
  <c r="C16" i="19"/>
  <c r="AF16" i="19" s="1"/>
  <c r="F16" i="19"/>
  <c r="L16" i="19"/>
  <c r="Q16" i="19"/>
  <c r="V16" i="19"/>
  <c r="G17" i="19"/>
  <c r="L17" i="19"/>
  <c r="Q17" i="19"/>
  <c r="W17" i="19"/>
  <c r="G19" i="19"/>
  <c r="M19" i="19"/>
  <c r="R19" i="19"/>
  <c r="W19" i="19"/>
  <c r="X20" i="19"/>
  <c r="T20" i="19"/>
  <c r="P20" i="19"/>
  <c r="AJ20" i="19" s="1"/>
  <c r="L20" i="19"/>
  <c r="G20" i="2" s="1"/>
  <c r="H20" i="19"/>
  <c r="D20" i="19"/>
  <c r="AF20" i="19" s="1"/>
  <c r="W20" i="19"/>
  <c r="R20" i="19"/>
  <c r="J20" i="2" s="1"/>
  <c r="M20" i="19"/>
  <c r="H20" i="2" s="1"/>
  <c r="G20" i="19"/>
  <c r="F20" i="19"/>
  <c r="N20" i="19"/>
  <c r="U20" i="19"/>
  <c r="W21" i="19"/>
  <c r="S21" i="19"/>
  <c r="O21" i="19"/>
  <c r="K21" i="19"/>
  <c r="G21" i="19"/>
  <c r="C21" i="19"/>
  <c r="Y21" i="19"/>
  <c r="T21" i="19"/>
  <c r="N21" i="19"/>
  <c r="AI21" i="19" s="1"/>
  <c r="I21" i="19"/>
  <c r="D21" i="19"/>
  <c r="H21" i="19"/>
  <c r="P21" i="19"/>
  <c r="V21" i="19"/>
  <c r="Z22" i="19"/>
  <c r="V22" i="19"/>
  <c r="R22" i="19"/>
  <c r="N22" i="19"/>
  <c r="J22" i="19"/>
  <c r="F22" i="19"/>
  <c r="Y22" i="19"/>
  <c r="T22" i="19"/>
  <c r="O22" i="19"/>
  <c r="I22" i="19"/>
  <c r="D22" i="19"/>
  <c r="G22" i="19"/>
  <c r="M22" i="19"/>
  <c r="U22" i="19"/>
  <c r="I24" i="19"/>
  <c r="Q24" i="19"/>
  <c r="W24" i="19"/>
  <c r="H26" i="19"/>
  <c r="O26" i="19"/>
  <c r="E28" i="19"/>
  <c r="AC28" i="19" s="1"/>
  <c r="K28" i="19"/>
  <c r="AC29" i="19"/>
  <c r="AL31" i="19"/>
  <c r="X36" i="19"/>
  <c r="T36" i="19"/>
  <c r="P36" i="19"/>
  <c r="L36" i="19"/>
  <c r="H36" i="19"/>
  <c r="D36" i="19"/>
  <c r="W36" i="19"/>
  <c r="R36" i="19"/>
  <c r="M36" i="19"/>
  <c r="G36" i="19"/>
  <c r="AG36" i="19" s="1"/>
  <c r="Z36" i="19"/>
  <c r="S36" i="19"/>
  <c r="K36" i="19"/>
  <c r="E36" i="19"/>
  <c r="AE36" i="19" s="1"/>
  <c r="J39" i="15" s="1"/>
  <c r="Y36" i="19"/>
  <c r="Q36" i="19"/>
  <c r="J36" i="19"/>
  <c r="AH36" i="19" s="1"/>
  <c r="C36" i="19"/>
  <c r="AF36" i="19" s="1"/>
  <c r="N36" i="19"/>
  <c r="G24" i="19"/>
  <c r="V24" i="19"/>
  <c r="Z26" i="19"/>
  <c r="V26" i="19"/>
  <c r="R26" i="19"/>
  <c r="N26" i="19"/>
  <c r="J26" i="19"/>
  <c r="F26" i="19"/>
  <c r="W26" i="19"/>
  <c r="Q26" i="19"/>
  <c r="L26" i="19"/>
  <c r="G26" i="2" s="1"/>
  <c r="G26" i="19"/>
  <c r="E26" i="19"/>
  <c r="AP26" i="19" s="1"/>
  <c r="M26" i="19"/>
  <c r="T26" i="19"/>
  <c r="C9" i="19"/>
  <c r="G9" i="19"/>
  <c r="K9" i="19"/>
  <c r="O9" i="19"/>
  <c r="S9" i="19"/>
  <c r="W9" i="19"/>
  <c r="E10" i="19"/>
  <c r="AB10" i="19" s="1"/>
  <c r="I10" i="19"/>
  <c r="AH10" i="19" s="1"/>
  <c r="M10" i="19"/>
  <c r="Q10" i="19"/>
  <c r="AP10" i="2" s="1"/>
  <c r="U10" i="19"/>
  <c r="D11" i="19"/>
  <c r="H11" i="19"/>
  <c r="L11" i="19"/>
  <c r="P11" i="19"/>
  <c r="T11" i="19"/>
  <c r="X11" i="19"/>
  <c r="C12" i="19"/>
  <c r="G12" i="19"/>
  <c r="K12" i="19"/>
  <c r="O12" i="19"/>
  <c r="S12" i="19"/>
  <c r="W12" i="19"/>
  <c r="Z13" i="19"/>
  <c r="V13" i="19"/>
  <c r="AL13" i="19" s="1"/>
  <c r="R13" i="19"/>
  <c r="N13" i="19"/>
  <c r="J13" i="19"/>
  <c r="F13" i="19"/>
  <c r="E13" i="19"/>
  <c r="AC13" i="19" s="1"/>
  <c r="K13" i="19"/>
  <c r="P13" i="19"/>
  <c r="U13" i="19"/>
  <c r="X15" i="19"/>
  <c r="T15" i="19"/>
  <c r="P15" i="19"/>
  <c r="L15" i="19"/>
  <c r="H15" i="19"/>
  <c r="D15" i="19"/>
  <c r="F15" i="19"/>
  <c r="K15" i="19"/>
  <c r="Q15" i="19"/>
  <c r="V15" i="19"/>
  <c r="AA16" i="19"/>
  <c r="AP16" i="19"/>
  <c r="C17" i="19"/>
  <c r="H17" i="19"/>
  <c r="M17" i="19"/>
  <c r="H17" i="2" s="1"/>
  <c r="S17" i="19"/>
  <c r="C19" i="19"/>
  <c r="I19" i="19"/>
  <c r="N19" i="19"/>
  <c r="S19" i="19"/>
  <c r="AG23" i="19"/>
  <c r="C24" i="19"/>
  <c r="K24" i="19"/>
  <c r="R24" i="19"/>
  <c r="C26" i="19"/>
  <c r="I26" i="19"/>
  <c r="P26" i="19"/>
  <c r="X26" i="19"/>
  <c r="X28" i="19"/>
  <c r="T28" i="19"/>
  <c r="P28" i="19"/>
  <c r="L28" i="19"/>
  <c r="G28" i="2" s="1"/>
  <c r="W28" i="19"/>
  <c r="AL28" i="19" s="1"/>
  <c r="R28" i="19"/>
  <c r="J28" i="2" s="1"/>
  <c r="M28" i="19"/>
  <c r="H28" i="19"/>
  <c r="D28" i="19"/>
  <c r="U28" i="19"/>
  <c r="N28" i="19"/>
  <c r="G28" i="19"/>
  <c r="F28" i="19"/>
  <c r="O28" i="19"/>
  <c r="Y28" i="19"/>
  <c r="AB30" i="19"/>
  <c r="E9" i="19"/>
  <c r="M9" i="19"/>
  <c r="H9" i="2" s="1"/>
  <c r="U9" i="19"/>
  <c r="E12" i="19"/>
  <c r="Z17" i="19"/>
  <c r="V17" i="19"/>
  <c r="R17" i="19"/>
  <c r="N17" i="19"/>
  <c r="J17" i="19"/>
  <c r="F17" i="19"/>
  <c r="AG17" i="19" s="1"/>
  <c r="E17" i="19"/>
  <c r="K17" i="19"/>
  <c r="AP17" i="2" s="1"/>
  <c r="P17" i="19"/>
  <c r="U17" i="19"/>
  <c r="X19" i="19"/>
  <c r="T19" i="19"/>
  <c r="P19" i="19"/>
  <c r="L19" i="19"/>
  <c r="H19" i="19"/>
  <c r="D19" i="19"/>
  <c r="F19" i="19"/>
  <c r="Q19" i="19"/>
  <c r="V19" i="19"/>
  <c r="AB20" i="19"/>
  <c r="X24" i="19"/>
  <c r="T24" i="19"/>
  <c r="P24" i="19"/>
  <c r="L24" i="19"/>
  <c r="G24" i="2" s="1"/>
  <c r="H24" i="19"/>
  <c r="D24" i="19"/>
  <c r="Z24" i="19"/>
  <c r="U24" i="19"/>
  <c r="O24" i="19"/>
  <c r="J24" i="19"/>
  <c r="E24" i="19"/>
  <c r="N24" i="19"/>
  <c r="B62" i="19"/>
  <c r="B59" i="19"/>
  <c r="D9" i="19"/>
  <c r="H9" i="19"/>
  <c r="F9" i="2" s="1"/>
  <c r="L9" i="19"/>
  <c r="G9" i="2" s="1"/>
  <c r="P9" i="19"/>
  <c r="T9" i="19"/>
  <c r="E11" i="19"/>
  <c r="I11" i="19"/>
  <c r="AH11" i="19" s="1"/>
  <c r="M11" i="19"/>
  <c r="Q11" i="19"/>
  <c r="U11" i="19"/>
  <c r="D12" i="19"/>
  <c r="H12" i="19"/>
  <c r="L12" i="19"/>
  <c r="P12" i="19"/>
  <c r="T12" i="19"/>
  <c r="D17" i="19"/>
  <c r="I17" i="19"/>
  <c r="O17" i="19"/>
  <c r="T17" i="19"/>
  <c r="Y17" i="19"/>
  <c r="E19" i="19"/>
  <c r="J19" i="19"/>
  <c r="O19" i="19"/>
  <c r="U19" i="19"/>
  <c r="Z19" i="19"/>
  <c r="AC20" i="19"/>
  <c r="AP21" i="19"/>
  <c r="F24" i="19"/>
  <c r="M24" i="19"/>
  <c r="S24" i="19"/>
  <c r="D26" i="19"/>
  <c r="K26" i="19"/>
  <c r="S26" i="19"/>
  <c r="Y26" i="19"/>
  <c r="AE29" i="19"/>
  <c r="J32" i="15" s="1"/>
  <c r="AP29" i="19"/>
  <c r="X42" i="19"/>
  <c r="T42" i="19"/>
  <c r="P42" i="19"/>
  <c r="L42" i="19"/>
  <c r="H42" i="19"/>
  <c r="D42" i="19"/>
  <c r="W42" i="19"/>
  <c r="S42" i="19"/>
  <c r="O42" i="19"/>
  <c r="K42" i="19"/>
  <c r="G42" i="19"/>
  <c r="C42" i="19"/>
  <c r="Z42" i="19"/>
  <c r="V42" i="19"/>
  <c r="R42" i="19"/>
  <c r="N42" i="19"/>
  <c r="J42" i="19"/>
  <c r="F42" i="19"/>
  <c r="Y42" i="19"/>
  <c r="I42" i="19"/>
  <c r="U42" i="19"/>
  <c r="E42" i="19"/>
  <c r="AC42" i="19" s="1"/>
  <c r="X32" i="19"/>
  <c r="T32" i="19"/>
  <c r="P32" i="19"/>
  <c r="L32" i="19"/>
  <c r="H32" i="19"/>
  <c r="D32" i="19"/>
  <c r="Z32" i="19"/>
  <c r="U32" i="19"/>
  <c r="O32" i="19"/>
  <c r="J32" i="19"/>
  <c r="E32" i="19"/>
  <c r="AB32" i="19" s="1"/>
  <c r="G32" i="19"/>
  <c r="N32" i="19"/>
  <c r="V32" i="19"/>
  <c r="AE33" i="19"/>
  <c r="J36" i="15" s="1"/>
  <c r="Z34" i="19"/>
  <c r="V34" i="19"/>
  <c r="R34" i="19"/>
  <c r="N34" i="19"/>
  <c r="J34" i="19"/>
  <c r="F34" i="19"/>
  <c r="W34" i="19"/>
  <c r="Q34" i="19"/>
  <c r="I34" i="2" s="1"/>
  <c r="L34" i="19"/>
  <c r="G34" i="19"/>
  <c r="E34" i="19"/>
  <c r="M34" i="19"/>
  <c r="H34" i="2" s="1"/>
  <c r="T34" i="19"/>
  <c r="AB40" i="19"/>
  <c r="AP40" i="19"/>
  <c r="E14" i="19"/>
  <c r="AB14" i="19" s="1"/>
  <c r="I14" i="19"/>
  <c r="M14" i="19"/>
  <c r="Q14" i="19"/>
  <c r="U14" i="19"/>
  <c r="AK14" i="19" s="1"/>
  <c r="E18" i="19"/>
  <c r="J18" i="2" s="1"/>
  <c r="I18" i="19"/>
  <c r="AH18" i="19" s="1"/>
  <c r="M18" i="19"/>
  <c r="Q18" i="19"/>
  <c r="I18" i="2" s="1"/>
  <c r="U18" i="19"/>
  <c r="W25" i="19"/>
  <c r="S25" i="19"/>
  <c r="O25" i="19"/>
  <c r="K25" i="19"/>
  <c r="G25" i="19"/>
  <c r="C25" i="19"/>
  <c r="F25" i="19"/>
  <c r="L25" i="19"/>
  <c r="Q25" i="19"/>
  <c r="V25" i="19"/>
  <c r="W29" i="19"/>
  <c r="S29" i="19"/>
  <c r="O29" i="19"/>
  <c r="K29" i="19"/>
  <c r="AP29" i="2" s="1"/>
  <c r="G29" i="19"/>
  <c r="C29" i="19"/>
  <c r="Y29" i="19"/>
  <c r="T29" i="19"/>
  <c r="N29" i="19"/>
  <c r="AI29" i="19" s="1"/>
  <c r="I29" i="19"/>
  <c r="D29" i="19"/>
  <c r="H29" i="19"/>
  <c r="P29" i="19"/>
  <c r="V29" i="19"/>
  <c r="Z30" i="19"/>
  <c r="V30" i="19"/>
  <c r="AL30" i="19" s="1"/>
  <c r="R30" i="19"/>
  <c r="J30" i="2" s="1"/>
  <c r="N30" i="19"/>
  <c r="J30" i="19"/>
  <c r="F30" i="19"/>
  <c r="Y30" i="19"/>
  <c r="T30" i="19"/>
  <c r="O30" i="19"/>
  <c r="I30" i="19"/>
  <c r="D30" i="19"/>
  <c r="AF30" i="19" s="1"/>
  <c r="G30" i="19"/>
  <c r="M30" i="19"/>
  <c r="U30" i="19"/>
  <c r="I32" i="19"/>
  <c r="Q32" i="19"/>
  <c r="W32" i="19"/>
  <c r="H34" i="19"/>
  <c r="F34" i="2" s="1"/>
  <c r="O34" i="19"/>
  <c r="U34" i="19"/>
  <c r="AG35" i="19"/>
  <c r="M42" i="19"/>
  <c r="E23" i="19"/>
  <c r="AB23" i="19" s="1"/>
  <c r="I23" i="19"/>
  <c r="AH23" i="19" s="1"/>
  <c r="M23" i="19"/>
  <c r="Q23" i="19"/>
  <c r="U23" i="19"/>
  <c r="AK23" i="19" s="1"/>
  <c r="E27" i="19"/>
  <c r="G27" i="2" s="1"/>
  <c r="I27" i="19"/>
  <c r="M27" i="19"/>
  <c r="Q27" i="19"/>
  <c r="U27" i="19"/>
  <c r="AK27" i="19" s="1"/>
  <c r="W33" i="19"/>
  <c r="S33" i="19"/>
  <c r="O33" i="19"/>
  <c r="K33" i="19"/>
  <c r="G33" i="19"/>
  <c r="C33" i="19"/>
  <c r="F33" i="19"/>
  <c r="L33" i="19"/>
  <c r="Q33" i="19"/>
  <c r="V33" i="19"/>
  <c r="X38" i="19"/>
  <c r="T38" i="19"/>
  <c r="AK38" i="19" s="1"/>
  <c r="P38" i="19"/>
  <c r="L38" i="19"/>
  <c r="G38" i="2" s="1"/>
  <c r="H38" i="19"/>
  <c r="D38" i="19"/>
  <c r="Z38" i="19"/>
  <c r="V38" i="19"/>
  <c r="R38" i="19"/>
  <c r="J38" i="2" s="1"/>
  <c r="N38" i="19"/>
  <c r="J38" i="19"/>
  <c r="F38" i="19"/>
  <c r="G38" i="19"/>
  <c r="O38" i="19"/>
  <c r="W38" i="19"/>
  <c r="Z40" i="19"/>
  <c r="V40" i="19"/>
  <c r="R40" i="19"/>
  <c r="J40" i="2" s="1"/>
  <c r="N40" i="19"/>
  <c r="J40" i="19"/>
  <c r="F40" i="19"/>
  <c r="X40" i="19"/>
  <c r="T40" i="19"/>
  <c r="P40" i="19"/>
  <c r="L40" i="19"/>
  <c r="G40" i="2" s="1"/>
  <c r="H40" i="19"/>
  <c r="D40" i="19"/>
  <c r="G40" i="19"/>
  <c r="O40" i="19"/>
  <c r="W40" i="19"/>
  <c r="W46" i="19"/>
  <c r="S46" i="19"/>
  <c r="O46" i="19"/>
  <c r="K46" i="19"/>
  <c r="G46" i="19"/>
  <c r="C46" i="19"/>
  <c r="Z46" i="19"/>
  <c r="U46" i="19"/>
  <c r="P46" i="19"/>
  <c r="J46" i="19"/>
  <c r="E46" i="19"/>
  <c r="G46" i="2" s="1"/>
  <c r="Y46" i="19"/>
  <c r="T46" i="19"/>
  <c r="N46" i="19"/>
  <c r="I46" i="19"/>
  <c r="D46" i="19"/>
  <c r="X46" i="19"/>
  <c r="R46" i="19"/>
  <c r="M46" i="19"/>
  <c r="H46" i="2" s="1"/>
  <c r="H46" i="19"/>
  <c r="Q46" i="19"/>
  <c r="E31" i="19"/>
  <c r="AB31" i="19" s="1"/>
  <c r="I31" i="19"/>
  <c r="AH31" i="19" s="1"/>
  <c r="M31" i="19"/>
  <c r="Q31" i="19"/>
  <c r="U31" i="19"/>
  <c r="E35" i="19"/>
  <c r="AF35" i="19" s="1"/>
  <c r="I35" i="19"/>
  <c r="AH35" i="19" s="1"/>
  <c r="M35" i="19"/>
  <c r="Q35" i="19"/>
  <c r="U35" i="19"/>
  <c r="C37" i="19"/>
  <c r="G37" i="19"/>
  <c r="K37" i="19"/>
  <c r="O37" i="19"/>
  <c r="S37" i="19"/>
  <c r="W37" i="19"/>
  <c r="E39" i="19"/>
  <c r="I39" i="19"/>
  <c r="M39" i="19"/>
  <c r="Q39" i="19"/>
  <c r="U39" i="19"/>
  <c r="Y39" i="19"/>
  <c r="Z43" i="19"/>
  <c r="V43" i="19"/>
  <c r="R43" i="19"/>
  <c r="N43" i="19"/>
  <c r="J43" i="19"/>
  <c r="F43" i="19"/>
  <c r="E43" i="19"/>
  <c r="AC43" i="19" s="1"/>
  <c r="K43" i="19"/>
  <c r="P43" i="19"/>
  <c r="AJ43" i="19" s="1"/>
  <c r="U43" i="19"/>
  <c r="X45" i="19"/>
  <c r="T45" i="19"/>
  <c r="P45" i="19"/>
  <c r="L45" i="19"/>
  <c r="H45" i="19"/>
  <c r="D45" i="19"/>
  <c r="F45" i="19"/>
  <c r="K45" i="19"/>
  <c r="Q45" i="19"/>
  <c r="V45" i="19"/>
  <c r="E37" i="19"/>
  <c r="AA37" i="19" s="1"/>
  <c r="I37" i="19"/>
  <c r="M37" i="19"/>
  <c r="Q37" i="19"/>
  <c r="U37" i="19"/>
  <c r="C39" i="19"/>
  <c r="G39" i="19"/>
  <c r="K39" i="19"/>
  <c r="O39" i="19"/>
  <c r="S39" i="19"/>
  <c r="E41" i="19"/>
  <c r="AB41" i="19" s="1"/>
  <c r="I41" i="19"/>
  <c r="AH41" i="19" s="1"/>
  <c r="M41" i="19"/>
  <c r="Q41" i="19"/>
  <c r="U41" i="19"/>
  <c r="C43" i="19"/>
  <c r="H43" i="19"/>
  <c r="M43" i="19"/>
  <c r="S43" i="19"/>
  <c r="X43" i="19"/>
  <c r="C45" i="19"/>
  <c r="I45" i="19"/>
  <c r="N45" i="19"/>
  <c r="S45" i="19"/>
  <c r="Y45" i="19"/>
  <c r="Z47" i="19"/>
  <c r="V47" i="19"/>
  <c r="R47" i="19"/>
  <c r="N47" i="19"/>
  <c r="J47" i="19"/>
  <c r="F47" i="19"/>
  <c r="Y47" i="19"/>
  <c r="U47" i="19"/>
  <c r="Q47" i="19"/>
  <c r="M47" i="19"/>
  <c r="I47" i="19"/>
  <c r="E47" i="19"/>
  <c r="X47" i="19"/>
  <c r="P47" i="19"/>
  <c r="H47" i="19"/>
  <c r="G47" i="19"/>
  <c r="S47" i="19"/>
  <c r="AP49" i="19"/>
  <c r="AE49" i="19"/>
  <c r="J51" i="15" s="1"/>
  <c r="Z51" i="19"/>
  <c r="V51" i="19"/>
  <c r="R51" i="19"/>
  <c r="J50" i="2" s="1"/>
  <c r="N51" i="19"/>
  <c r="J51" i="19"/>
  <c r="F51" i="19"/>
  <c r="X51" i="19"/>
  <c r="S51" i="19"/>
  <c r="M51" i="19"/>
  <c r="H51" i="19"/>
  <c r="C51" i="19"/>
  <c r="W51" i="19"/>
  <c r="Q51" i="19"/>
  <c r="L51" i="19"/>
  <c r="G50" i="2" s="1"/>
  <c r="G51" i="19"/>
  <c r="P51" i="19"/>
  <c r="E51" i="19"/>
  <c r="AE51" i="19" s="1"/>
  <c r="J53" i="15" s="1"/>
  <c r="Y51" i="19"/>
  <c r="O51" i="19"/>
  <c r="D51" i="19"/>
  <c r="T51" i="19"/>
  <c r="E44" i="19"/>
  <c r="AB44" i="19" s="1"/>
  <c r="I44" i="19"/>
  <c r="AH44" i="19" s="1"/>
  <c r="M44" i="19"/>
  <c r="Q44" i="19"/>
  <c r="U44" i="19"/>
  <c r="X49" i="19"/>
  <c r="T49" i="19"/>
  <c r="P49" i="19"/>
  <c r="L49" i="19"/>
  <c r="H49" i="19"/>
  <c r="D49" i="19"/>
  <c r="W49" i="19"/>
  <c r="S49" i="19"/>
  <c r="O49" i="19"/>
  <c r="K49" i="19"/>
  <c r="G49" i="19"/>
  <c r="C49" i="19"/>
  <c r="I49" i="19"/>
  <c r="Q49" i="19"/>
  <c r="Y49" i="19"/>
  <c r="E50" i="19"/>
  <c r="AP50" i="19" s="1"/>
  <c r="M50" i="19"/>
  <c r="F53" i="19"/>
  <c r="F54" i="19"/>
  <c r="Q54" i="19"/>
  <c r="W50" i="19"/>
  <c r="S50" i="19"/>
  <c r="AK50" i="19" s="1"/>
  <c r="O50" i="19"/>
  <c r="K50" i="19"/>
  <c r="AP49" i="2" s="1"/>
  <c r="G50" i="19"/>
  <c r="C50" i="19"/>
  <c r="Z50" i="19"/>
  <c r="V50" i="19"/>
  <c r="R50" i="19"/>
  <c r="N50" i="19"/>
  <c r="J50" i="19"/>
  <c r="F50" i="19"/>
  <c r="H50" i="19"/>
  <c r="P50" i="19"/>
  <c r="X50" i="19"/>
  <c r="X53" i="19"/>
  <c r="T53" i="19"/>
  <c r="P53" i="19"/>
  <c r="AJ53" i="19" s="1"/>
  <c r="L53" i="19"/>
  <c r="G52" i="2" s="1"/>
  <c r="H53" i="19"/>
  <c r="D53" i="19"/>
  <c r="Y53" i="19"/>
  <c r="S53" i="19"/>
  <c r="N53" i="19"/>
  <c r="I53" i="19"/>
  <c r="C53" i="19"/>
  <c r="W53" i="19"/>
  <c r="R53" i="19"/>
  <c r="J52" i="2" s="1"/>
  <c r="M53" i="19"/>
  <c r="H52" i="2" s="1"/>
  <c r="G53" i="19"/>
  <c r="J53" i="19"/>
  <c r="U53" i="19"/>
  <c r="H54" i="19"/>
  <c r="AB53" i="19"/>
  <c r="AD53" i="19"/>
  <c r="W54" i="19"/>
  <c r="S54" i="19"/>
  <c r="O54" i="19"/>
  <c r="K54" i="19"/>
  <c r="G54" i="19"/>
  <c r="C54" i="19"/>
  <c r="Z54" i="19"/>
  <c r="U54" i="19"/>
  <c r="P54" i="19"/>
  <c r="J54" i="19"/>
  <c r="E54" i="19"/>
  <c r="J53" i="2" s="1"/>
  <c r="Y54" i="19"/>
  <c r="T54" i="19"/>
  <c r="N54" i="19"/>
  <c r="I54" i="19"/>
  <c r="D54" i="19"/>
  <c r="L54" i="19"/>
  <c r="V54" i="19"/>
  <c r="D48" i="19"/>
  <c r="H48" i="19"/>
  <c r="L48" i="19"/>
  <c r="P48" i="19"/>
  <c r="T48" i="19"/>
  <c r="X48" i="19"/>
  <c r="D55" i="19"/>
  <c r="I55" i="19"/>
  <c r="O55" i="19"/>
  <c r="T55" i="19"/>
  <c r="E57" i="19"/>
  <c r="M57" i="19"/>
  <c r="E48" i="19"/>
  <c r="AB48" i="19" s="1"/>
  <c r="I48" i="19"/>
  <c r="M48" i="19"/>
  <c r="Q48" i="19"/>
  <c r="U48" i="19"/>
  <c r="Z55" i="19"/>
  <c r="V55" i="19"/>
  <c r="AL55" i="19" s="1"/>
  <c r="R55" i="19"/>
  <c r="N55" i="19"/>
  <c r="AI55" i="19" s="1"/>
  <c r="J55" i="19"/>
  <c r="F55" i="19"/>
  <c r="AG55" i="19" s="1"/>
  <c r="E55" i="19"/>
  <c r="K55" i="19"/>
  <c r="AP54" i="2" s="1"/>
  <c r="P55" i="19"/>
  <c r="U55" i="19"/>
  <c r="X57" i="19"/>
  <c r="T57" i="19"/>
  <c r="AK57" i="19" s="1"/>
  <c r="P57" i="19"/>
  <c r="L57" i="19"/>
  <c r="G56" i="2" s="1"/>
  <c r="H57" i="19"/>
  <c r="D57" i="19"/>
  <c r="AF57" i="19" s="1"/>
  <c r="Z57" i="19"/>
  <c r="V57" i="19"/>
  <c r="R57" i="19"/>
  <c r="N57" i="19"/>
  <c r="J57" i="19"/>
  <c r="F57" i="19"/>
  <c r="G57" i="19"/>
  <c r="O57" i="19"/>
  <c r="W57" i="19"/>
  <c r="E52" i="19"/>
  <c r="AA52" i="19" s="1"/>
  <c r="I52" i="19"/>
  <c r="AH52" i="19" s="1"/>
  <c r="M52" i="19"/>
  <c r="Q52" i="19"/>
  <c r="U52" i="19"/>
  <c r="E56" i="19"/>
  <c r="I56" i="19"/>
  <c r="M56" i="19"/>
  <c r="Q56" i="19"/>
  <c r="U56" i="19"/>
  <c r="AK56" i="19" s="1"/>
  <c r="F39" i="2" l="1"/>
  <c r="AF56" i="19"/>
  <c r="J56" i="2"/>
  <c r="F56" i="2"/>
  <c r="AP47" i="2"/>
  <c r="H56" i="2"/>
  <c r="F49" i="2"/>
  <c r="J49" i="2"/>
  <c r="H49" i="2"/>
  <c r="AG39" i="19"/>
  <c r="AP37" i="2"/>
  <c r="AK31" i="19"/>
  <c r="AH40" i="19"/>
  <c r="AK33" i="19"/>
  <c r="AF25" i="19"/>
  <c r="AK25" i="19"/>
  <c r="AE45" i="19"/>
  <c r="J48" i="15" s="1"/>
  <c r="AF34" i="19"/>
  <c r="AP36" i="19"/>
  <c r="AF28" i="19"/>
  <c r="AK15" i="19"/>
  <c r="AP13" i="2"/>
  <c r="H26" i="2"/>
  <c r="I26" i="2"/>
  <c r="AP28" i="2"/>
  <c r="AL22" i="19"/>
  <c r="AP21" i="2"/>
  <c r="AC38" i="19"/>
  <c r="AL56" i="19"/>
  <c r="H21" i="2"/>
  <c r="AP40" i="2"/>
  <c r="I52" i="2"/>
  <c r="AC30" i="19"/>
  <c r="AG52" i="19"/>
  <c r="G31" i="2"/>
  <c r="H32" i="2"/>
  <c r="F50" i="2"/>
  <c r="AL37" i="19"/>
  <c r="AJ30" i="19"/>
  <c r="AD40" i="19"/>
  <c r="AP25" i="19"/>
  <c r="AE25" i="19"/>
  <c r="J28" i="15" s="1"/>
  <c r="F23" i="2"/>
  <c r="AG44" i="19"/>
  <c r="I54" i="2"/>
  <c r="F18" i="2"/>
  <c r="G18" i="2"/>
  <c r="G13" i="2"/>
  <c r="H45" i="2"/>
  <c r="H25" i="2"/>
  <c r="G45" i="2"/>
  <c r="AG37" i="19"/>
  <c r="AK26" i="19"/>
  <c r="AH48" i="19"/>
  <c r="AL48" i="19"/>
  <c r="AP53" i="2"/>
  <c r="AP50" i="2"/>
  <c r="AH51" i="19"/>
  <c r="AJ39" i="19"/>
  <c r="AF38" i="19"/>
  <c r="I32" i="2"/>
  <c r="G32" i="2"/>
  <c r="AP26" i="2"/>
  <c r="AL19" i="19"/>
  <c r="H28" i="2"/>
  <c r="AG13" i="19"/>
  <c r="H10" i="2"/>
  <c r="I24" i="2"/>
  <c r="AL21" i="19"/>
  <c r="J19" i="2"/>
  <c r="I17" i="2"/>
  <c r="G10" i="2"/>
  <c r="AD38" i="19"/>
  <c r="AE21" i="19"/>
  <c r="J24" i="15" s="1"/>
  <c r="AC21" i="19"/>
  <c r="AL41" i="19"/>
  <c r="AA22" i="19"/>
  <c r="AG14" i="19"/>
  <c r="I21" i="2"/>
  <c r="J45" i="2"/>
  <c r="AA38" i="19"/>
  <c r="F38" i="2"/>
  <c r="AJ27" i="19"/>
  <c r="I27" i="2"/>
  <c r="J54" i="2"/>
  <c r="AA53" i="19"/>
  <c r="F52" i="2"/>
  <c r="AI49" i="19"/>
  <c r="G48" i="2"/>
  <c r="AA39" i="19"/>
  <c r="I35" i="2"/>
  <c r="J46" i="2"/>
  <c r="AF33" i="19"/>
  <c r="AI27" i="19"/>
  <c r="H27" i="2"/>
  <c r="AJ23" i="19"/>
  <c r="I23" i="2"/>
  <c r="H42" i="2"/>
  <c r="AA29" i="19"/>
  <c r="F29" i="2"/>
  <c r="AI18" i="19"/>
  <c r="H18" i="2"/>
  <c r="I14" i="2"/>
  <c r="J34" i="2"/>
  <c r="AA33" i="19"/>
  <c r="F42" i="2"/>
  <c r="AD22" i="19"/>
  <c r="G12" i="2"/>
  <c r="I11" i="2"/>
  <c r="F19" i="2"/>
  <c r="J17" i="2"/>
  <c r="AD30" i="19"/>
  <c r="AA28" i="19"/>
  <c r="F28" i="2"/>
  <c r="F17" i="2"/>
  <c r="AP12" i="2"/>
  <c r="AF22" i="19"/>
  <c r="J22" i="2"/>
  <c r="H19" i="2"/>
  <c r="G17" i="2"/>
  <c r="AI16" i="19"/>
  <c r="G16" i="2"/>
  <c r="AH16" i="19"/>
  <c r="AP16" i="2"/>
  <c r="AG10" i="19"/>
  <c r="F10" i="2"/>
  <c r="J9" i="2"/>
  <c r="AB38" i="19"/>
  <c r="AA30" i="19"/>
  <c r="F41" i="2"/>
  <c r="J35" i="2"/>
  <c r="AP31" i="2"/>
  <c r="F22" i="2"/>
  <c r="AP35" i="2"/>
  <c r="F33" i="2"/>
  <c r="F31" i="2"/>
  <c r="J29" i="2"/>
  <c r="J21" i="2"/>
  <c r="AP51" i="2"/>
  <c r="G51" i="2"/>
  <c r="F51" i="2"/>
  <c r="J27" i="2"/>
  <c r="F13" i="2"/>
  <c r="J11" i="2"/>
  <c r="J10" i="2"/>
  <c r="I42" i="2"/>
  <c r="J15" i="2"/>
  <c r="G30" i="2"/>
  <c r="G14" i="2"/>
  <c r="H13" i="2"/>
  <c r="AA49" i="19"/>
  <c r="F48" i="2"/>
  <c r="AC45" i="19"/>
  <c r="I45" i="2"/>
  <c r="AA45" i="19"/>
  <c r="F45" i="2"/>
  <c r="AP42" i="2"/>
  <c r="F11" i="2"/>
  <c r="AC16" i="19"/>
  <c r="I16" i="2"/>
  <c r="J47" i="2"/>
  <c r="F35" i="2"/>
  <c r="I55" i="2"/>
  <c r="AC55" i="19"/>
  <c r="AH45" i="19"/>
  <c r="AJ41" i="19"/>
  <c r="I41" i="2"/>
  <c r="AP45" i="2"/>
  <c r="AI56" i="19"/>
  <c r="H55" i="2"/>
  <c r="I51" i="2"/>
  <c r="AH57" i="19"/>
  <c r="H47" i="2"/>
  <c r="I44" i="2"/>
  <c r="I50" i="2"/>
  <c r="H50" i="2"/>
  <c r="AB47" i="19"/>
  <c r="AI41" i="19"/>
  <c r="H41" i="2"/>
  <c r="I39" i="2"/>
  <c r="AI35" i="19"/>
  <c r="H35" i="2"/>
  <c r="AJ31" i="19"/>
  <c r="I31" i="2"/>
  <c r="I46" i="2"/>
  <c r="AF40" i="19"/>
  <c r="AK40" i="19"/>
  <c r="AH38" i="19"/>
  <c r="AC33" i="19"/>
  <c r="I33" i="2"/>
  <c r="AH27" i="19"/>
  <c r="AI23" i="19"/>
  <c r="AM23" i="19" s="1"/>
  <c r="H23" i="2"/>
  <c r="H30" i="2"/>
  <c r="AC25" i="19"/>
  <c r="I25" i="2"/>
  <c r="AI14" i="19"/>
  <c r="H14" i="2"/>
  <c r="G42" i="2"/>
  <c r="F12" i="2"/>
  <c r="H11" i="2"/>
  <c r="I19" i="2"/>
  <c r="G19" i="2"/>
  <c r="J24" i="2"/>
  <c r="I15" i="2"/>
  <c r="F15" i="2"/>
  <c r="AI13" i="19"/>
  <c r="AP9" i="2"/>
  <c r="AP36" i="2"/>
  <c r="H36" i="2"/>
  <c r="F36" i="2"/>
  <c r="F26" i="2"/>
  <c r="AA21" i="19"/>
  <c r="F21" i="2"/>
  <c r="AA20" i="19"/>
  <c r="F20" i="2"/>
  <c r="AP11" i="2"/>
  <c r="AP19" i="2"/>
  <c r="I12" i="2"/>
  <c r="I9" i="2"/>
  <c r="AG41" i="19"/>
  <c r="AB22" i="19"/>
  <c r="AC22" i="19"/>
  <c r="J55" i="2"/>
  <c r="G54" i="2"/>
  <c r="I49" i="2"/>
  <c r="J44" i="2"/>
  <c r="J39" i="2"/>
  <c r="G35" i="2"/>
  <c r="AP23" i="2"/>
  <c r="F16" i="2"/>
  <c r="I30" i="2"/>
  <c r="AP41" i="2"/>
  <c r="J51" i="2"/>
  <c r="G23" i="2"/>
  <c r="G39" i="2"/>
  <c r="I28" i="2"/>
  <c r="G22" i="2"/>
  <c r="F14" i="2"/>
  <c r="J14" i="2"/>
  <c r="J32" i="2"/>
  <c r="F47" i="2"/>
  <c r="F53" i="2"/>
  <c r="AI37" i="19"/>
  <c r="H37" i="2"/>
  <c r="AP27" i="2"/>
  <c r="AP55" i="2"/>
  <c r="G41" i="2"/>
  <c r="I47" i="2"/>
  <c r="I53" i="2"/>
  <c r="AH56" i="19"/>
  <c r="AI52" i="19"/>
  <c r="H51" i="2"/>
  <c r="AB57" i="19"/>
  <c r="G47" i="2"/>
  <c r="G53" i="2"/>
  <c r="AC49" i="19"/>
  <c r="I48" i="2"/>
  <c r="AP48" i="2"/>
  <c r="AI44" i="19"/>
  <c r="H44" i="2"/>
  <c r="AP39" i="2"/>
  <c r="I37" i="2"/>
  <c r="AI39" i="19"/>
  <c r="H39" i="2"/>
  <c r="AI31" i="19"/>
  <c r="H31" i="2"/>
  <c r="F46" i="2"/>
  <c r="AP46" i="2"/>
  <c r="AA40" i="19"/>
  <c r="F40" i="2"/>
  <c r="AI33" i="19"/>
  <c r="G33" i="2"/>
  <c r="AP33" i="2"/>
  <c r="AB27" i="19"/>
  <c r="AI25" i="19"/>
  <c r="G25" i="2"/>
  <c r="AP25" i="2"/>
  <c r="AH14" i="19"/>
  <c r="G34" i="2"/>
  <c r="AH34" i="19"/>
  <c r="F32" i="2"/>
  <c r="J42" i="2"/>
  <c r="H24" i="2"/>
  <c r="F24" i="2"/>
  <c r="AP24" i="2"/>
  <c r="AP15" i="2"/>
  <c r="AI15" i="19"/>
  <c r="G15" i="2"/>
  <c r="J13" i="2"/>
  <c r="G11" i="2"/>
  <c r="I10" i="2"/>
  <c r="J26" i="2"/>
  <c r="I36" i="2"/>
  <c r="J36" i="2"/>
  <c r="G36" i="2"/>
  <c r="H22" i="2"/>
  <c r="AJ22" i="19"/>
  <c r="J12" i="2"/>
  <c r="H12" i="2"/>
  <c r="G55" i="2"/>
  <c r="H53" i="2"/>
  <c r="G44" i="2"/>
  <c r="F37" i="2"/>
  <c r="AP30" i="2"/>
  <c r="F25" i="2"/>
  <c r="AP18" i="2"/>
  <c r="F54" i="2"/>
  <c r="AP44" i="2"/>
  <c r="J41" i="2"/>
  <c r="F30" i="2"/>
  <c r="G37" i="2"/>
  <c r="H33" i="2"/>
  <c r="F27" i="2"/>
  <c r="AP20" i="2"/>
  <c r="H54" i="2"/>
  <c r="AP32" i="2"/>
  <c r="J23" i="2"/>
  <c r="J37" i="2"/>
  <c r="J33" i="2"/>
  <c r="F44" i="2"/>
  <c r="AP14" i="2"/>
  <c r="I13" i="2"/>
  <c r="AP34" i="2"/>
  <c r="AJ36" i="19"/>
  <c r="AC10" i="19"/>
  <c r="AJ48" i="19"/>
  <c r="AI12" i="19"/>
  <c r="AL16" i="19"/>
  <c r="AJ38" i="19"/>
  <c r="AF15" i="19"/>
  <c r="AK43" i="19"/>
  <c r="AH32" i="19"/>
  <c r="AJ17" i="19"/>
  <c r="AL25" i="19"/>
  <c r="AI40" i="19"/>
  <c r="AC32" i="19"/>
  <c r="AG57" i="19"/>
  <c r="AL57" i="19"/>
  <c r="AL53" i="19"/>
  <c r="AJ55" i="19"/>
  <c r="AI57" i="19"/>
  <c r="AI30" i="19"/>
  <c r="AH53" i="19"/>
  <c r="AA50" i="19"/>
  <c r="AJ47" i="19"/>
  <c r="AC18" i="19"/>
  <c r="AH22" i="19"/>
  <c r="AK48" i="19"/>
  <c r="AF48" i="19"/>
  <c r="AL49" i="19"/>
  <c r="AJ45" i="19"/>
  <c r="AC46" i="19"/>
  <c r="AG46" i="19"/>
  <c r="AF32" i="19"/>
  <c r="AK32" i="19"/>
  <c r="AL36" i="19"/>
  <c r="AI48" i="19"/>
  <c r="AI54" i="19"/>
  <c r="AH43" i="19"/>
  <c r="AK30" i="19"/>
  <c r="AL47" i="19"/>
  <c r="AE57" i="19"/>
  <c r="J59" i="15" s="1"/>
  <c r="I59" i="15" s="1"/>
  <c r="AA54" i="19"/>
  <c r="AD44" i="19"/>
  <c r="AK47" i="19"/>
  <c r="AC47" i="19"/>
  <c r="AB51" i="19"/>
  <c r="AI46" i="19"/>
  <c r="AF46" i="19"/>
  <c r="AK46" i="19"/>
  <c r="AJ40" i="19"/>
  <c r="AG40" i="19"/>
  <c r="AL40" i="19"/>
  <c r="AK34" i="19"/>
  <c r="AK17" i="19"/>
  <c r="AK12" i="19"/>
  <c r="AF12" i="19"/>
  <c r="AI11" i="19"/>
  <c r="AK10" i="19"/>
  <c r="AF10" i="19"/>
  <c r="AP57" i="19"/>
  <c r="AD51" i="19"/>
  <c r="AL46" i="19"/>
  <c r="AP51" i="19"/>
  <c r="AH30" i="19"/>
  <c r="AG30" i="19"/>
  <c r="AC34" i="19"/>
  <c r="AG32" i="19"/>
  <c r="AI32" i="19"/>
  <c r="AI28" i="19"/>
  <c r="AG15" i="19"/>
  <c r="AH15" i="19"/>
  <c r="AH13" i="19"/>
  <c r="AL11" i="19"/>
  <c r="AG11" i="19"/>
  <c r="AF55" i="19"/>
  <c r="AA57" i="19"/>
  <c r="AK55" i="19"/>
  <c r="AC54" i="19"/>
  <c r="AI50" i="19"/>
  <c r="AH49" i="19"/>
  <c r="AJ49" i="19"/>
  <c r="AK51" i="19"/>
  <c r="AA47" i="19"/>
  <c r="AK45" i="19"/>
  <c r="AF43" i="19"/>
  <c r="AC37" i="19"/>
  <c r="AI43" i="19"/>
  <c r="AJ29" i="19"/>
  <c r="AG19" i="19"/>
  <c r="AL15" i="19"/>
  <c r="AH24" i="19"/>
  <c r="AK22" i="19"/>
  <c r="AI22" i="19"/>
  <c r="AH21" i="19"/>
  <c r="AF21" i="19"/>
  <c r="AK21" i="19"/>
  <c r="AG20" i="19"/>
  <c r="AL20" i="19"/>
  <c r="AC17" i="19"/>
  <c r="AA23" i="19"/>
  <c r="AF49" i="19"/>
  <c r="AK49" i="19"/>
  <c r="AI47" i="19"/>
  <c r="AG47" i="19"/>
  <c r="AA56" i="19"/>
  <c r="AK28" i="19"/>
  <c r="AC26" i="19"/>
  <c r="AL24" i="19"/>
  <c r="AG21" i="19"/>
  <c r="AK20" i="19"/>
  <c r="AK13" i="19"/>
  <c r="X59" i="19"/>
  <c r="AH12" i="19"/>
  <c r="AD18" i="19"/>
  <c r="AG49" i="19"/>
  <c r="AD43" i="19"/>
  <c r="AB43" i="19"/>
  <c r="AH39" i="19"/>
  <c r="AJ37" i="19"/>
  <c r="AP35" i="19"/>
  <c r="AE35" i="19"/>
  <c r="J38" i="15" s="1"/>
  <c r="AD47" i="19"/>
  <c r="AE30" i="19"/>
  <c r="J33" i="15" s="1"/>
  <c r="AP30" i="19"/>
  <c r="AD29" i="19"/>
  <c r="AB29" i="19"/>
  <c r="AC14" i="19"/>
  <c r="AD14" i="19"/>
  <c r="AP32" i="19"/>
  <c r="AE32" i="19"/>
  <c r="J35" i="15" s="1"/>
  <c r="AP11" i="19"/>
  <c r="AE11" i="19"/>
  <c r="J14" i="15" s="1"/>
  <c r="H59" i="19"/>
  <c r="AA9" i="19"/>
  <c r="AP24" i="19"/>
  <c r="AE24" i="19"/>
  <c r="J27" i="15" s="1"/>
  <c r="AI24" i="19"/>
  <c r="E59" i="19"/>
  <c r="E60" i="19" s="1"/>
  <c r="AB34" i="19"/>
  <c r="AB15" i="19"/>
  <c r="AD15" i="19"/>
  <c r="W59" i="19"/>
  <c r="G59" i="19"/>
  <c r="AB28" i="19"/>
  <c r="AD28" i="19"/>
  <c r="AJ26" i="19"/>
  <c r="N59" i="19"/>
  <c r="I59" i="19"/>
  <c r="AH9" i="19"/>
  <c r="AJ10" i="19"/>
  <c r="AA13" i="19"/>
  <c r="AA27" i="19"/>
  <c r="AF13" i="19"/>
  <c r="AD50" i="19"/>
  <c r="AB50" i="19"/>
  <c r="AG54" i="19"/>
  <c r="AE50" i="19"/>
  <c r="J52" i="15" s="1"/>
  <c r="I52" i="15" s="1"/>
  <c r="AP41" i="19"/>
  <c r="AE41" i="19"/>
  <c r="J44" i="15" s="1"/>
  <c r="AB45" i="19"/>
  <c r="AD45" i="19"/>
  <c r="AE39" i="19"/>
  <c r="J42" i="15" s="1"/>
  <c r="AP39" i="19"/>
  <c r="AB37" i="19"/>
  <c r="AD37" i="19"/>
  <c r="AE31" i="19"/>
  <c r="J34" i="15" s="1"/>
  <c r="AP31" i="19"/>
  <c r="AK41" i="19"/>
  <c r="AB33" i="19"/>
  <c r="AD33" i="19"/>
  <c r="AH33" i="19"/>
  <c r="AE34" i="19"/>
  <c r="J37" i="15" s="1"/>
  <c r="AP34" i="19"/>
  <c r="AL42" i="19"/>
  <c r="AK24" i="19"/>
  <c r="AH17" i="19"/>
  <c r="AC11" i="19"/>
  <c r="T59" i="19"/>
  <c r="D59" i="19"/>
  <c r="AD17" i="19"/>
  <c r="AB17" i="19"/>
  <c r="AK35" i="19"/>
  <c r="AD34" i="19"/>
  <c r="AH19" i="19"/>
  <c r="AP13" i="19"/>
  <c r="AE13" i="19"/>
  <c r="J16" i="15" s="1"/>
  <c r="AJ12" i="19"/>
  <c r="AA11" i="19"/>
  <c r="S59" i="19"/>
  <c r="AK9" i="19"/>
  <c r="C59" i="19"/>
  <c r="AF9" i="19"/>
  <c r="AB36" i="19"/>
  <c r="AD36" i="19"/>
  <c r="AA36" i="19"/>
  <c r="AD31" i="19"/>
  <c r="AA26" i="19"/>
  <c r="AK11" i="19"/>
  <c r="AF11" i="19"/>
  <c r="Z59" i="19"/>
  <c r="J59" i="19"/>
  <c r="AB19" i="19"/>
  <c r="AD19" i="19"/>
  <c r="AF27" i="19"/>
  <c r="AD10" i="19"/>
  <c r="AE26" i="19"/>
  <c r="J29" i="15" s="1"/>
  <c r="AA14" i="19"/>
  <c r="AP52" i="19"/>
  <c r="AE52" i="19"/>
  <c r="J54" i="15" s="1"/>
  <c r="AP48" i="19"/>
  <c r="AE48" i="19"/>
  <c r="J50" i="15" s="1"/>
  <c r="AA48" i="19"/>
  <c r="AP44" i="19"/>
  <c r="AE44" i="19"/>
  <c r="J47" i="15" s="1"/>
  <c r="AB39" i="19"/>
  <c r="AD39" i="19"/>
  <c r="AA55" i="19"/>
  <c r="AC52" i="19"/>
  <c r="AE55" i="19"/>
  <c r="J57" i="15" s="1"/>
  <c r="I57" i="15" s="1"/>
  <c r="AP55" i="19"/>
  <c r="AC48" i="19"/>
  <c r="AD48" i="19"/>
  <c r="AD54" i="19"/>
  <c r="AB54" i="19"/>
  <c r="AP53" i="19"/>
  <c r="AE53" i="19"/>
  <c r="J55" i="15" s="1"/>
  <c r="AG50" i="19"/>
  <c r="AC44" i="19"/>
  <c r="AJ52" i="19"/>
  <c r="AF51" i="19"/>
  <c r="AI45" i="19"/>
  <c r="AC35" i="19"/>
  <c r="AJ35" i="19"/>
  <c r="AD35" i="19"/>
  <c r="AA44" i="19"/>
  <c r="AE27" i="19"/>
  <c r="J30" i="15" s="1"/>
  <c r="AP27" i="19"/>
  <c r="AC50" i="19"/>
  <c r="AG42" i="19"/>
  <c r="AB42" i="19"/>
  <c r="AD42" i="19"/>
  <c r="AF31" i="19"/>
  <c r="AJ57" i="19"/>
  <c r="AH55" i="19"/>
  <c r="AD57" i="19"/>
  <c r="AH54" i="19"/>
  <c r="AJ54" i="19"/>
  <c r="AB56" i="19"/>
  <c r="AK53" i="19"/>
  <c r="AI53" i="19"/>
  <c r="AJ50" i="19"/>
  <c r="AG53" i="19"/>
  <c r="AC57" i="19"/>
  <c r="AF52" i="19"/>
  <c r="AI51" i="19"/>
  <c r="AA51" i="19"/>
  <c r="AG51" i="19"/>
  <c r="AL51" i="19"/>
  <c r="AP47" i="19"/>
  <c r="AE47" i="19"/>
  <c r="AF45" i="19"/>
  <c r="AC41" i="19"/>
  <c r="AD41" i="19"/>
  <c r="AK39" i="19"/>
  <c r="AF39" i="19"/>
  <c r="AH37" i="19"/>
  <c r="AF47" i="19"/>
  <c r="AG45" i="19"/>
  <c r="AP43" i="19"/>
  <c r="AE43" i="19"/>
  <c r="AG43" i="19"/>
  <c r="AL43" i="19"/>
  <c r="AC39" i="19"/>
  <c r="AC31" i="19"/>
  <c r="AB52" i="19"/>
  <c r="AF44" i="19"/>
  <c r="AA46" i="19"/>
  <c r="AE46" i="19"/>
  <c r="J49" i="15" s="1"/>
  <c r="AP46" i="19"/>
  <c r="AD46" i="19"/>
  <c r="AB46" i="19"/>
  <c r="AA41" i="19"/>
  <c r="AG38" i="19"/>
  <c r="AL38" i="19"/>
  <c r="AI38" i="19"/>
  <c r="AG33" i="19"/>
  <c r="AJ33" i="19"/>
  <c r="AC27" i="19"/>
  <c r="AD27" i="19"/>
  <c r="AE23" i="19"/>
  <c r="J26" i="15" s="1"/>
  <c r="AP23" i="19"/>
  <c r="AJ44" i="19"/>
  <c r="AJ34" i="19"/>
  <c r="AL29" i="19"/>
  <c r="AH29" i="19"/>
  <c r="AF29" i="19"/>
  <c r="AK29" i="19"/>
  <c r="AB25" i="19"/>
  <c r="AH25" i="19"/>
  <c r="AD25" i="19"/>
  <c r="AE18" i="19"/>
  <c r="J21" i="15" s="1"/>
  <c r="AP18" i="19"/>
  <c r="AA18" i="19"/>
  <c r="AF18" i="19"/>
  <c r="AG34" i="19"/>
  <c r="AL34" i="19"/>
  <c r="AL32" i="19"/>
  <c r="AE42" i="19"/>
  <c r="J45" i="15" s="1"/>
  <c r="AP42" i="19"/>
  <c r="AJ42" i="19"/>
  <c r="AA42" i="19"/>
  <c r="AD32" i="19"/>
  <c r="AP19" i="19"/>
  <c r="AE19" i="19"/>
  <c r="J22" i="15" s="1"/>
  <c r="AA12" i="19"/>
  <c r="P59" i="19"/>
  <c r="AA19" i="19"/>
  <c r="U59" i="19"/>
  <c r="AE9" i="19"/>
  <c r="J12" i="15" s="1"/>
  <c r="AP9" i="19"/>
  <c r="AA35" i="19"/>
  <c r="AJ28" i="19"/>
  <c r="AP28" i="19"/>
  <c r="AE28" i="19"/>
  <c r="J31" i="15" s="1"/>
  <c r="AH26" i="19"/>
  <c r="AB24" i="19"/>
  <c r="AD24" i="19"/>
  <c r="AF19" i="19"/>
  <c r="AA17" i="19"/>
  <c r="AB12" i="19"/>
  <c r="AD12" i="19"/>
  <c r="O59" i="19"/>
  <c r="AJ9" i="19"/>
  <c r="AG26" i="19"/>
  <c r="AL26" i="19"/>
  <c r="AC36" i="19"/>
  <c r="AK36" i="19"/>
  <c r="AI36" i="19"/>
  <c r="AE22" i="19"/>
  <c r="J25" i="15" s="1"/>
  <c r="AP22" i="19"/>
  <c r="AG22" i="19"/>
  <c r="AD21" i="19"/>
  <c r="AB21" i="19"/>
  <c r="AP20" i="19"/>
  <c r="AE20" i="19"/>
  <c r="J23" i="15" s="1"/>
  <c r="AI17" i="19"/>
  <c r="AD16" i="19"/>
  <c r="AB16" i="19"/>
  <c r="AP15" i="19"/>
  <c r="AE15" i="19"/>
  <c r="J18" i="15" s="1"/>
  <c r="AJ11" i="19"/>
  <c r="AI10" i="19"/>
  <c r="V59" i="19"/>
  <c r="AL9" i="19"/>
  <c r="F59" i="19"/>
  <c r="AG9" i="19"/>
  <c r="AE12" i="19"/>
  <c r="J15" i="15" s="1"/>
  <c r="AP12" i="19"/>
  <c r="Y59" i="19"/>
  <c r="AJ18" i="19"/>
  <c r="AF23" i="19"/>
  <c r="AF14" i="19"/>
  <c r="AC56" i="19"/>
  <c r="AD56" i="19"/>
  <c r="AE54" i="19"/>
  <c r="J56" i="15" s="1"/>
  <c r="AP54" i="19"/>
  <c r="AL50" i="19"/>
  <c r="AJ51" i="19"/>
  <c r="AE56" i="19"/>
  <c r="J58" i="15" s="1"/>
  <c r="AP56" i="19"/>
  <c r="AD55" i="19"/>
  <c r="AB55" i="19"/>
  <c r="AK52" i="19"/>
  <c r="AL54" i="19"/>
  <c r="AF54" i="19"/>
  <c r="AK54" i="19"/>
  <c r="AF53" i="19"/>
  <c r="AF50" i="19"/>
  <c r="AJ56" i="19"/>
  <c r="AM56" i="19" s="1"/>
  <c r="AB49" i="19"/>
  <c r="AD49" i="19"/>
  <c r="AC51" i="19"/>
  <c r="AH47" i="19"/>
  <c r="AK44" i="19"/>
  <c r="AA43" i="19"/>
  <c r="AE37" i="19"/>
  <c r="J40" i="15" s="1"/>
  <c r="AP37" i="19"/>
  <c r="AH50" i="19"/>
  <c r="AL45" i="19"/>
  <c r="AK37" i="19"/>
  <c r="AF37" i="19"/>
  <c r="AD52" i="19"/>
  <c r="AG48" i="19"/>
  <c r="AH46" i="19"/>
  <c r="AJ46" i="19"/>
  <c r="AL33" i="19"/>
  <c r="AC23" i="19"/>
  <c r="AD23" i="19"/>
  <c r="AB35" i="19"/>
  <c r="AA34" i="19"/>
  <c r="AG29" i="19"/>
  <c r="AG25" i="19"/>
  <c r="AJ25" i="19"/>
  <c r="AP14" i="19"/>
  <c r="AE14" i="19"/>
  <c r="J17" i="15" s="1"/>
  <c r="AI34" i="19"/>
  <c r="AJ32" i="19"/>
  <c r="AA32" i="19"/>
  <c r="AH42" i="19"/>
  <c r="AF42" i="19"/>
  <c r="AK42" i="19"/>
  <c r="AI42" i="19"/>
  <c r="AF41" i="19"/>
  <c r="AH28" i="19"/>
  <c r="AD26" i="19"/>
  <c r="AB26" i="19"/>
  <c r="AG24" i="19"/>
  <c r="AJ19" i="19"/>
  <c r="L59" i="19"/>
  <c r="AI9" i="19"/>
  <c r="AJ24" i="19"/>
  <c r="AA24" i="19"/>
  <c r="AC19" i="19"/>
  <c r="AI19" i="19"/>
  <c r="AE17" i="19"/>
  <c r="J20" i="15" s="1"/>
  <c r="AP17" i="19"/>
  <c r="AL17" i="19"/>
  <c r="M59" i="19"/>
  <c r="AG28" i="19"/>
  <c r="AF26" i="19"/>
  <c r="AF24" i="19"/>
  <c r="AK19" i="19"/>
  <c r="AK18" i="19"/>
  <c r="AF17" i="19"/>
  <c r="AC15" i="19"/>
  <c r="AA15" i="19"/>
  <c r="AD13" i="19"/>
  <c r="AB13" i="19"/>
  <c r="AE10" i="19"/>
  <c r="J13" i="15" s="1"/>
  <c r="AP10" i="19"/>
  <c r="K59" i="19"/>
  <c r="AB9" i="19"/>
  <c r="AD9" i="19"/>
  <c r="AI26" i="19"/>
  <c r="AM27" i="19"/>
  <c r="AC24" i="19"/>
  <c r="AJ21" i="19"/>
  <c r="AI20" i="19"/>
  <c r="AB18" i="19"/>
  <c r="AG16" i="19"/>
  <c r="AJ16" i="19"/>
  <c r="AJ15" i="19"/>
  <c r="AJ13" i="19"/>
  <c r="AL12" i="19"/>
  <c r="AG12" i="19"/>
  <c r="AB11" i="19"/>
  <c r="AD11" i="19"/>
  <c r="AA10" i="19"/>
  <c r="R59" i="19"/>
  <c r="AC12" i="19"/>
  <c r="Q59" i="19"/>
  <c r="AC9" i="19"/>
  <c r="AA31" i="19"/>
  <c r="AJ14" i="19"/>
  <c r="AM14" i="19" s="1"/>
  <c r="I58" i="2" l="1"/>
  <c r="AM41" i="19"/>
  <c r="AM31" i="19"/>
  <c r="H58" i="2"/>
  <c r="J58" i="2"/>
  <c r="G58" i="2"/>
  <c r="AM35" i="19"/>
  <c r="F58" i="2"/>
  <c r="AP58" i="2"/>
  <c r="AM57" i="19"/>
  <c r="AM48" i="19"/>
  <c r="AM47" i="19"/>
  <c r="AM36" i="19"/>
  <c r="Z60" i="19"/>
  <c r="AM19" i="19"/>
  <c r="AM15" i="19"/>
  <c r="AM10" i="19"/>
  <c r="C60" i="19"/>
  <c r="D60" i="19"/>
  <c r="N60" i="19"/>
  <c r="AM32" i="19"/>
  <c r="Y60" i="19"/>
  <c r="AM21" i="19"/>
  <c r="AM20" i="19"/>
  <c r="X60" i="19"/>
  <c r="AM30" i="19"/>
  <c r="AM40" i="19"/>
  <c r="AM11" i="19"/>
  <c r="AM44" i="19"/>
  <c r="AM55" i="19"/>
  <c r="AM52" i="19"/>
  <c r="AM49" i="19"/>
  <c r="AM16" i="19"/>
  <c r="AM25" i="19"/>
  <c r="AM46" i="19"/>
  <c r="AL59" i="19"/>
  <c r="AM38" i="19"/>
  <c r="AM43" i="19"/>
  <c r="AM39" i="19"/>
  <c r="AM17" i="19"/>
  <c r="AM13" i="19"/>
  <c r="AM28" i="19"/>
  <c r="AM22" i="19"/>
  <c r="AM37" i="19"/>
  <c r="AM18" i="19"/>
  <c r="AB59" i="19"/>
  <c r="AD59" i="19"/>
  <c r="K60" i="19"/>
  <c r="U60" i="19"/>
  <c r="AP59" i="19"/>
  <c r="AE59" i="19"/>
  <c r="AM33" i="19"/>
  <c r="AM54" i="19"/>
  <c r="AK59" i="19"/>
  <c r="AM29" i="19"/>
  <c r="AM26" i="19"/>
  <c r="AM12" i="19"/>
  <c r="AI59" i="19"/>
  <c r="AG59" i="19"/>
  <c r="AM9" i="19"/>
  <c r="AJ59" i="19"/>
  <c r="AM34" i="19"/>
  <c r="AM51" i="19"/>
  <c r="AM42" i="19"/>
  <c r="AM50" i="19"/>
  <c r="AF59" i="19"/>
  <c r="Q60" i="19"/>
  <c r="AC59" i="19"/>
  <c r="AH59" i="19"/>
  <c r="H60" i="19"/>
  <c r="AA59" i="19"/>
  <c r="AM24" i="19"/>
  <c r="AM45" i="19"/>
  <c r="AM53" i="19"/>
  <c r="AC60" i="19" l="1"/>
  <c r="AM59" i="19"/>
  <c r="AB60" i="19"/>
  <c r="AD2" i="2" l="1"/>
  <c r="N56" i="14" l="1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AQ57" i="6" l="1"/>
  <c r="AQ56" i="6"/>
  <c r="AQ55" i="6"/>
  <c r="AQ54" i="6"/>
  <c r="AQ53" i="6"/>
  <c r="AQ52" i="6"/>
  <c r="AQ51" i="6"/>
  <c r="AQ50" i="6"/>
  <c r="AQ49" i="6"/>
  <c r="AQ48" i="6"/>
  <c r="AQ47" i="6"/>
  <c r="AQ46" i="6"/>
  <c r="AQ45" i="6"/>
  <c r="AQ44" i="6"/>
  <c r="AQ43" i="6"/>
  <c r="AQ42" i="6"/>
  <c r="AQ41" i="6"/>
  <c r="AQ40" i="6"/>
  <c r="AQ39" i="6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4" i="6"/>
  <c r="AQ23" i="6"/>
  <c r="AQ22" i="6"/>
  <c r="AQ21" i="6"/>
  <c r="AQ20" i="6"/>
  <c r="AQ19" i="6"/>
  <c r="AQ18" i="6"/>
  <c r="AQ17" i="6"/>
  <c r="AQ16" i="6"/>
  <c r="AQ15" i="6"/>
  <c r="AQ14" i="6"/>
  <c r="AQ13" i="6"/>
  <c r="AQ12" i="6"/>
  <c r="AQ11" i="6"/>
  <c r="AQ10" i="6"/>
  <c r="AQ9" i="6"/>
  <c r="C7" i="14" l="1"/>
  <c r="X7" i="2" l="1"/>
  <c r="Z62" i="6" l="1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A6" i="15" l="1"/>
  <c r="Z8" i="2" l="1"/>
  <c r="I8" i="4"/>
  <c r="I7" i="4"/>
  <c r="K69" i="4" l="1"/>
  <c r="D69" i="4"/>
  <c r="D74" i="4"/>
  <c r="K7" i="15"/>
  <c r="CC67" i="16" l="1"/>
  <c r="CC66" i="16"/>
  <c r="CC65" i="16"/>
  <c r="CC64" i="16"/>
  <c r="CC63" i="16"/>
  <c r="Z63" i="16"/>
  <c r="Y63" i="16"/>
  <c r="X63" i="16"/>
  <c r="U63" i="16"/>
  <c r="Q63" i="16"/>
  <c r="N63" i="16"/>
  <c r="K63" i="16"/>
  <c r="H63" i="16"/>
  <c r="E63" i="16"/>
  <c r="D63" i="16"/>
  <c r="C63" i="16"/>
  <c r="CC62" i="16"/>
  <c r="AE62" i="16"/>
  <c r="AD62" i="16"/>
  <c r="AC62" i="16"/>
  <c r="AB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C62" i="16"/>
  <c r="CC61" i="16"/>
  <c r="CC57" i="16"/>
  <c r="AJ57" i="16"/>
  <c r="AK57" i="16" s="1"/>
  <c r="AS57" i="16"/>
  <c r="AP57" i="16"/>
  <c r="AN57" i="16"/>
  <c r="AO57" i="16" s="1"/>
  <c r="AL57" i="16"/>
  <c r="AM57" i="16" s="1"/>
  <c r="AA57" i="16"/>
  <c r="AH57" i="16"/>
  <c r="AF57" i="16"/>
  <c r="AX57" i="16"/>
  <c r="CC56" i="16"/>
  <c r="AF56" i="16"/>
  <c r="AG56" i="16" s="1"/>
  <c r="AS56" i="16"/>
  <c r="CE56" i="16"/>
  <c r="AQ56" i="16"/>
  <c r="AP56" i="16"/>
  <c r="AN56" i="16"/>
  <c r="AO56" i="16" s="1"/>
  <c r="AD56" i="16"/>
  <c r="AJ56" i="16"/>
  <c r="AK56" i="16" s="1"/>
  <c r="AH56" i="16"/>
  <c r="AX56" i="16"/>
  <c r="CC55" i="16"/>
  <c r="AX55" i="16"/>
  <c r="CE55" i="16"/>
  <c r="AQ55" i="16"/>
  <c r="AR55" i="16" s="1"/>
  <c r="AP55" i="16"/>
  <c r="AN55" i="16"/>
  <c r="AO55" i="16" s="1"/>
  <c r="AL55" i="16"/>
  <c r="AM55" i="16" s="1"/>
  <c r="AD55" i="16"/>
  <c r="AJ55" i="16"/>
  <c r="AK55" i="16" s="1"/>
  <c r="AA55" i="16"/>
  <c r="AE55" i="16"/>
  <c r="AF55" i="16"/>
  <c r="CC54" i="16"/>
  <c r="AF54" i="16"/>
  <c r="AS54" i="16"/>
  <c r="CE54" i="16"/>
  <c r="AP54" i="16"/>
  <c r="AN54" i="16"/>
  <c r="AO54" i="16" s="1"/>
  <c r="AD54" i="16"/>
  <c r="AJ54" i="16"/>
  <c r="AK54" i="16" s="1"/>
  <c r="AH54" i="16"/>
  <c r="AG54" i="16"/>
  <c r="AX54" i="16"/>
  <c r="CC53" i="16"/>
  <c r="AX53" i="16"/>
  <c r="AQ53" i="16"/>
  <c r="AR53" i="16" s="1"/>
  <c r="AP53" i="16"/>
  <c r="AN53" i="16"/>
  <c r="AO53" i="16" s="1"/>
  <c r="AL53" i="16"/>
  <c r="AM53" i="16" s="1"/>
  <c r="AD53" i="16"/>
  <c r="AJ53" i="16"/>
  <c r="AK53" i="16" s="1"/>
  <c r="AA53" i="16"/>
  <c r="AF53" i="16"/>
  <c r="CC52" i="16"/>
  <c r="AF52" i="16"/>
  <c r="AS52" i="16"/>
  <c r="AP52" i="16"/>
  <c r="AN52" i="16"/>
  <c r="AO52" i="16" s="1"/>
  <c r="AD52" i="16"/>
  <c r="AJ52" i="16"/>
  <c r="AK52" i="16" s="1"/>
  <c r="AH52" i="16"/>
  <c r="AG52" i="16"/>
  <c r="AX52" i="16"/>
  <c r="CC51" i="16"/>
  <c r="AX51" i="16"/>
  <c r="AQ51" i="16"/>
  <c r="AR51" i="16" s="1"/>
  <c r="AP51" i="16"/>
  <c r="AN51" i="16"/>
  <c r="AO51" i="16" s="1"/>
  <c r="AL51" i="16"/>
  <c r="AM51" i="16" s="1"/>
  <c r="AB51" i="16"/>
  <c r="AJ51" i="16"/>
  <c r="AK51" i="16" s="1"/>
  <c r="AA51" i="16"/>
  <c r="AF51" i="16"/>
  <c r="CC50" i="16"/>
  <c r="AF50" i="16"/>
  <c r="AS50" i="16"/>
  <c r="CE50" i="16"/>
  <c r="AP50" i="16"/>
  <c r="AN50" i="16"/>
  <c r="AO50" i="16" s="1"/>
  <c r="AD50" i="16"/>
  <c r="AJ50" i="16"/>
  <c r="AK50" i="16" s="1"/>
  <c r="AH50" i="16"/>
  <c r="AE50" i="16"/>
  <c r="AX50" i="16"/>
  <c r="CC49" i="16"/>
  <c r="AX49" i="16"/>
  <c r="AN49" i="16"/>
  <c r="AO49" i="16" s="1"/>
  <c r="AS49" i="16"/>
  <c r="CE49" i="16"/>
  <c r="AQ49" i="16"/>
  <c r="AR49" i="16" s="1"/>
  <c r="AP49" i="16"/>
  <c r="AD49" i="16"/>
  <c r="AJ49" i="16"/>
  <c r="AK49" i="16" s="1"/>
  <c r="AH49" i="16"/>
  <c r="AE49" i="16"/>
  <c r="AF49" i="16"/>
  <c r="CC48" i="16"/>
  <c r="AF48" i="16"/>
  <c r="AS48" i="16"/>
  <c r="CE48" i="16"/>
  <c r="AP48" i="16"/>
  <c r="AN48" i="16"/>
  <c r="AO48" i="16" s="1"/>
  <c r="AD48" i="16"/>
  <c r="AJ48" i="16"/>
  <c r="AK48" i="16" s="1"/>
  <c r="AH48" i="16"/>
  <c r="AG48" i="16"/>
  <c r="AX48" i="16"/>
  <c r="CC47" i="16"/>
  <c r="AX47" i="16"/>
  <c r="AQ47" i="16"/>
  <c r="AR47" i="16" s="1"/>
  <c r="AP47" i="16"/>
  <c r="AN47" i="16"/>
  <c r="AO47" i="16" s="1"/>
  <c r="AL47" i="16"/>
  <c r="AM47" i="16" s="1"/>
  <c r="AB47" i="16"/>
  <c r="AJ47" i="16"/>
  <c r="AK47" i="16" s="1"/>
  <c r="AA47" i="16"/>
  <c r="AF47" i="16"/>
  <c r="CC46" i="16"/>
  <c r="AQ46" i="16"/>
  <c r="AR46" i="16" s="1"/>
  <c r="AP46" i="16"/>
  <c r="AN46" i="16"/>
  <c r="AO46" i="16" s="1"/>
  <c r="AF46" i="16"/>
  <c r="AX46" i="16"/>
  <c r="CC45" i="16"/>
  <c r="AS45" i="16"/>
  <c r="AT45" i="16" s="1"/>
  <c r="AP45" i="16"/>
  <c r="AJ45" i="16"/>
  <c r="AK45" i="16" s="1"/>
  <c r="AX45" i="16"/>
  <c r="CC44" i="16"/>
  <c r="AC44" i="16"/>
  <c r="AS44" i="16"/>
  <c r="AT44" i="16" s="1"/>
  <c r="AQ44" i="16"/>
  <c r="AR44" i="16" s="1"/>
  <c r="AP44" i="16"/>
  <c r="AN44" i="16"/>
  <c r="AO44" i="16" s="1"/>
  <c r="AL44" i="16"/>
  <c r="AA44" i="16"/>
  <c r="AF44" i="16"/>
  <c r="AX44" i="16"/>
  <c r="CC43" i="16"/>
  <c r="AC43" i="16"/>
  <c r="AA43" i="16"/>
  <c r="AS43" i="16"/>
  <c r="AT43" i="16" s="1"/>
  <c r="AQ43" i="16"/>
  <c r="AR43" i="16" s="1"/>
  <c r="AP43" i="16"/>
  <c r="AN43" i="16"/>
  <c r="AO43" i="16" s="1"/>
  <c r="AF43" i="16"/>
  <c r="AG43" i="16" s="1"/>
  <c r="AX43" i="16"/>
  <c r="CC42" i="16"/>
  <c r="AS42" i="16"/>
  <c r="AP42" i="16"/>
  <c r="AJ42" i="16"/>
  <c r="AK42" i="16" s="1"/>
  <c r="AX42" i="16"/>
  <c r="CC41" i="16"/>
  <c r="AE41" i="16"/>
  <c r="AS41" i="16"/>
  <c r="AT41" i="16" s="1"/>
  <c r="AQ41" i="16"/>
  <c r="AR41" i="16" s="1"/>
  <c r="AP41" i="16"/>
  <c r="AN41" i="16"/>
  <c r="AH41" i="16"/>
  <c r="AI41" i="16" s="1"/>
  <c r="AF41" i="16"/>
  <c r="AX41" i="16"/>
  <c r="CC40" i="16"/>
  <c r="AS40" i="16"/>
  <c r="AP40" i="16"/>
  <c r="AC40" i="16"/>
  <c r="AJ40" i="16"/>
  <c r="AK40" i="16" s="1"/>
  <c r="AX40" i="16"/>
  <c r="CC39" i="16"/>
  <c r="AC39" i="16"/>
  <c r="AS39" i="16"/>
  <c r="AT39" i="16" s="1"/>
  <c r="AQ39" i="16"/>
  <c r="AR39" i="16" s="1"/>
  <c r="AP39" i="16"/>
  <c r="AN39" i="16"/>
  <c r="AO39" i="16" s="1"/>
  <c r="AL39" i="16"/>
  <c r="AD39" i="16"/>
  <c r="AH39" i="16"/>
  <c r="AF39" i="16"/>
  <c r="AX39" i="16"/>
  <c r="CC38" i="16"/>
  <c r="AE38" i="16"/>
  <c r="AP38" i="16"/>
  <c r="AA38" i="16"/>
  <c r="AX38" i="16"/>
  <c r="CC37" i="16"/>
  <c r="AX37" i="16"/>
  <c r="AA37" i="16"/>
  <c r="CE37" i="16"/>
  <c r="AQ37" i="16"/>
  <c r="AR37" i="16" s="1"/>
  <c r="AP37" i="16"/>
  <c r="AN37" i="16"/>
  <c r="AO37" i="16" s="1"/>
  <c r="AL37" i="16"/>
  <c r="AM37" i="16" s="1"/>
  <c r="AJ37" i="16"/>
  <c r="AF37" i="16"/>
  <c r="CC36" i="16"/>
  <c r="AP36" i="16"/>
  <c r="AL36" i="16"/>
  <c r="AM36" i="16" s="1"/>
  <c r="AJ36" i="16"/>
  <c r="AA36" i="16"/>
  <c r="AF36" i="16"/>
  <c r="AX36" i="16"/>
  <c r="CC35" i="16"/>
  <c r="AE35" i="16"/>
  <c r="AP35" i="16"/>
  <c r="AL35" i="16"/>
  <c r="AM35" i="16" s="1"/>
  <c r="AJ35" i="16"/>
  <c r="AK35" i="16" s="1"/>
  <c r="AA35" i="16"/>
  <c r="AX35" i="16"/>
  <c r="CC34" i="16"/>
  <c r="AE34" i="16"/>
  <c r="AA34" i="16"/>
  <c r="AQ34" i="16"/>
  <c r="AR34" i="16" s="1"/>
  <c r="AP34" i="16"/>
  <c r="AN34" i="16"/>
  <c r="AO34" i="16" s="1"/>
  <c r="AL34" i="16"/>
  <c r="AM34" i="16" s="1"/>
  <c r="AJ34" i="16"/>
  <c r="AF34" i="16"/>
  <c r="AX34" i="16"/>
  <c r="CC33" i="16"/>
  <c r="AA33" i="16"/>
  <c r="AQ33" i="16"/>
  <c r="AR33" i="16" s="1"/>
  <c r="AP33" i="16"/>
  <c r="AN33" i="16"/>
  <c r="AO33" i="16" s="1"/>
  <c r="AL33" i="16"/>
  <c r="AM33" i="16" s="1"/>
  <c r="AE33" i="16"/>
  <c r="AF33" i="16"/>
  <c r="AX33" i="16"/>
  <c r="CC32" i="16"/>
  <c r="AE32" i="16"/>
  <c r="AP32" i="16"/>
  <c r="AL32" i="16"/>
  <c r="AM32" i="16" s="1"/>
  <c r="AJ32" i="16"/>
  <c r="AA32" i="16"/>
  <c r="AX32" i="16"/>
  <c r="CC31" i="16"/>
  <c r="AA31" i="16"/>
  <c r="AE31" i="16"/>
  <c r="AQ31" i="16"/>
  <c r="AR31" i="16" s="1"/>
  <c r="AP31" i="16"/>
  <c r="AN31" i="16"/>
  <c r="AO31" i="16" s="1"/>
  <c r="AF31" i="16"/>
  <c r="AX31" i="16"/>
  <c r="CC30" i="16"/>
  <c r="AE30" i="16"/>
  <c r="AA30" i="16"/>
  <c r="AQ30" i="16"/>
  <c r="AR30" i="16" s="1"/>
  <c r="AP30" i="16"/>
  <c r="AN30" i="16"/>
  <c r="AO30" i="16" s="1"/>
  <c r="AL30" i="16"/>
  <c r="AM30" i="16" s="1"/>
  <c r="AJ30" i="16"/>
  <c r="AF30" i="16"/>
  <c r="AX30" i="16"/>
  <c r="CC29" i="16"/>
  <c r="AS29" i="16"/>
  <c r="AT29" i="16" s="1"/>
  <c r="AQ29" i="16"/>
  <c r="AP29" i="16"/>
  <c r="AC29" i="16"/>
  <c r="AN29" i="16"/>
  <c r="AO29" i="16" s="1"/>
  <c r="AL29" i="16"/>
  <c r="AM29" i="16" s="1"/>
  <c r="AJ29" i="16"/>
  <c r="AK29" i="16" s="1"/>
  <c r="AH29" i="16"/>
  <c r="AA29" i="16"/>
  <c r="AF29" i="16"/>
  <c r="AX29" i="16"/>
  <c r="CC28" i="16"/>
  <c r="AC28" i="16"/>
  <c r="AS28" i="16"/>
  <c r="AT28" i="16" s="1"/>
  <c r="AQ28" i="16"/>
  <c r="AR28" i="16" s="1"/>
  <c r="AP28" i="16"/>
  <c r="AN28" i="16"/>
  <c r="AO28" i="16" s="1"/>
  <c r="AB28" i="16"/>
  <c r="AH28" i="16"/>
  <c r="AF28" i="16"/>
  <c r="AG28" i="16" s="1"/>
  <c r="AX28" i="16"/>
  <c r="CC27" i="16"/>
  <c r="AS27" i="16"/>
  <c r="AT27" i="16" s="1"/>
  <c r="AQ27" i="16"/>
  <c r="AP27" i="16"/>
  <c r="AN27" i="16"/>
  <c r="AJ27" i="16"/>
  <c r="AF27" i="16"/>
  <c r="AG27" i="16" s="1"/>
  <c r="AX27" i="16"/>
  <c r="CC26" i="16"/>
  <c r="AS26" i="16"/>
  <c r="AT26" i="16" s="1"/>
  <c r="AQ26" i="16"/>
  <c r="AP26" i="16"/>
  <c r="AN26" i="16"/>
  <c r="AJ26" i="16"/>
  <c r="AF26" i="16"/>
  <c r="AX26" i="16"/>
  <c r="CC25" i="16"/>
  <c r="AS25" i="16"/>
  <c r="AT25" i="16" s="1"/>
  <c r="AQ25" i="16"/>
  <c r="AP25" i="16"/>
  <c r="AC25" i="16"/>
  <c r="AN25" i="16"/>
  <c r="AO25" i="16" s="1"/>
  <c r="AL25" i="16"/>
  <c r="AM25" i="16" s="1"/>
  <c r="AJ25" i="16"/>
  <c r="AK25" i="16" s="1"/>
  <c r="AH25" i="16"/>
  <c r="AA25" i="16"/>
  <c r="AF25" i="16"/>
  <c r="AX25" i="16"/>
  <c r="CC24" i="16"/>
  <c r="AC24" i="16"/>
  <c r="AS24" i="16"/>
  <c r="AT24" i="16" s="1"/>
  <c r="AQ24" i="16"/>
  <c r="AR24" i="16" s="1"/>
  <c r="AP24" i="16"/>
  <c r="AN24" i="16"/>
  <c r="AO24" i="16" s="1"/>
  <c r="AB24" i="16"/>
  <c r="AH24" i="16"/>
  <c r="AF24" i="16"/>
  <c r="AG24" i="16" s="1"/>
  <c r="AX24" i="16"/>
  <c r="CC23" i="16"/>
  <c r="AS23" i="16"/>
  <c r="AT23" i="16" s="1"/>
  <c r="AQ23" i="16"/>
  <c r="AP23" i="16"/>
  <c r="AN23" i="16"/>
  <c r="AJ23" i="16"/>
  <c r="AF23" i="16"/>
  <c r="AG23" i="16" s="1"/>
  <c r="AX23" i="16"/>
  <c r="CC22" i="16"/>
  <c r="AS22" i="16"/>
  <c r="AT22" i="16" s="1"/>
  <c r="AQ22" i="16"/>
  <c r="AP22" i="16"/>
  <c r="AN22" i="16"/>
  <c r="AJ22" i="16"/>
  <c r="AF22" i="16"/>
  <c r="AX22" i="16"/>
  <c r="CC21" i="16"/>
  <c r="AS21" i="16"/>
  <c r="AT21" i="16" s="1"/>
  <c r="AQ21" i="16"/>
  <c r="AP21" i="16"/>
  <c r="AC21" i="16"/>
  <c r="AN21" i="16"/>
  <c r="AO21" i="16" s="1"/>
  <c r="AL21" i="16"/>
  <c r="AM21" i="16" s="1"/>
  <c r="AJ21" i="16"/>
  <c r="AK21" i="16" s="1"/>
  <c r="AH21" i="16"/>
  <c r="AA21" i="16"/>
  <c r="AF21" i="16"/>
  <c r="AX21" i="16"/>
  <c r="CC20" i="16"/>
  <c r="AC20" i="16"/>
  <c r="AS20" i="16"/>
  <c r="AT20" i="16" s="1"/>
  <c r="AQ20" i="16"/>
  <c r="AR20" i="16" s="1"/>
  <c r="AP20" i="16"/>
  <c r="AN20" i="16"/>
  <c r="AO20" i="16" s="1"/>
  <c r="AB20" i="16"/>
  <c r="AH20" i="16"/>
  <c r="AA20" i="16"/>
  <c r="AF20" i="16"/>
  <c r="AG20" i="16" s="1"/>
  <c r="AX20" i="16"/>
  <c r="CC19" i="16"/>
  <c r="AS19" i="16"/>
  <c r="AT19" i="16" s="1"/>
  <c r="AQ19" i="16"/>
  <c r="AP19" i="16"/>
  <c r="AN19" i="16"/>
  <c r="AF19" i="16"/>
  <c r="AG19" i="16" s="1"/>
  <c r="AX19" i="16"/>
  <c r="CC18" i="16"/>
  <c r="AS18" i="16"/>
  <c r="AT18" i="16" s="1"/>
  <c r="AQ18" i="16"/>
  <c r="AP18" i="16"/>
  <c r="AN18" i="16"/>
  <c r="AJ18" i="16"/>
  <c r="AF18" i="16"/>
  <c r="AX18" i="16"/>
  <c r="CC17" i="16"/>
  <c r="AS17" i="16"/>
  <c r="AT17" i="16" s="1"/>
  <c r="AQ17" i="16"/>
  <c r="AP17" i="16"/>
  <c r="AC17" i="16"/>
  <c r="AN17" i="16"/>
  <c r="AO17" i="16" s="1"/>
  <c r="AL17" i="16"/>
  <c r="AM17" i="16" s="1"/>
  <c r="AJ17" i="16"/>
  <c r="AK17" i="16" s="1"/>
  <c r="AH17" i="16"/>
  <c r="AA17" i="16"/>
  <c r="AF17" i="16"/>
  <c r="AX17" i="16"/>
  <c r="CC16" i="16"/>
  <c r="AC16" i="16"/>
  <c r="AS16" i="16"/>
  <c r="AT16" i="16" s="1"/>
  <c r="AQ16" i="16"/>
  <c r="AR16" i="16" s="1"/>
  <c r="AP16" i="16"/>
  <c r="AN16" i="16"/>
  <c r="AO16" i="16" s="1"/>
  <c r="AB16" i="16"/>
  <c r="AH16" i="16"/>
  <c r="AA16" i="16"/>
  <c r="AF16" i="16"/>
  <c r="AG16" i="16" s="1"/>
  <c r="AX16" i="16"/>
  <c r="CC15" i="16"/>
  <c r="AS15" i="16"/>
  <c r="AT15" i="16" s="1"/>
  <c r="AQ15" i="16"/>
  <c r="AP15" i="16"/>
  <c r="AN15" i="16"/>
  <c r="AJ15" i="16"/>
  <c r="AF15" i="16"/>
  <c r="AG15" i="16" s="1"/>
  <c r="AX15" i="16"/>
  <c r="CC14" i="16"/>
  <c r="AS14" i="16"/>
  <c r="AT14" i="16" s="1"/>
  <c r="AQ14" i="16"/>
  <c r="AP14" i="16"/>
  <c r="AN14" i="16"/>
  <c r="AJ14" i="16"/>
  <c r="AF14" i="16"/>
  <c r="AX14" i="16"/>
  <c r="CC13" i="16"/>
  <c r="AS13" i="16"/>
  <c r="AT13" i="16" s="1"/>
  <c r="AQ13" i="16"/>
  <c r="AP13" i="16"/>
  <c r="AN13" i="16"/>
  <c r="AO13" i="16" s="1"/>
  <c r="AL13" i="16"/>
  <c r="AM13" i="16" s="1"/>
  <c r="AJ13" i="16"/>
  <c r="AK13" i="16" s="1"/>
  <c r="AH13" i="16"/>
  <c r="AI13" i="16" s="1"/>
  <c r="AA13" i="16"/>
  <c r="AF13" i="16"/>
  <c r="AX13" i="16"/>
  <c r="CC12" i="16"/>
  <c r="AA12" i="16"/>
  <c r="AQ12" i="16"/>
  <c r="AR12" i="16" s="1"/>
  <c r="AP12" i="16"/>
  <c r="AC12" i="16"/>
  <c r="AN12" i="16"/>
  <c r="AO12" i="16" s="1"/>
  <c r="AF12" i="16"/>
  <c r="AX12" i="16"/>
  <c r="CC11" i="16"/>
  <c r="AP11" i="16"/>
  <c r="AC11" i="16"/>
  <c r="AL11" i="16"/>
  <c r="AM11" i="16" s="1"/>
  <c r="AJ11" i="16"/>
  <c r="AA11" i="16"/>
  <c r="AH11" i="16"/>
  <c r="AX11" i="16"/>
  <c r="CC10" i="16"/>
  <c r="AP10" i="16"/>
  <c r="AJ10" i="16"/>
  <c r="AK10" i="16" s="1"/>
  <c r="AH10" i="16"/>
  <c r="AX10" i="16"/>
  <c r="CC9" i="16"/>
  <c r="AC9" i="16"/>
  <c r="AX9" i="16"/>
  <c r="AE52" i="16" l="1"/>
  <c r="AB55" i="16"/>
  <c r="AC56" i="16"/>
  <c r="CE36" i="16"/>
  <c r="AC38" i="16"/>
  <c r="AC48" i="16"/>
  <c r="AC50" i="16"/>
  <c r="AB53" i="16"/>
  <c r="V59" i="16"/>
  <c r="AA10" i="16"/>
  <c r="AC32" i="16"/>
  <c r="CE32" i="16"/>
  <c r="AC35" i="16"/>
  <c r="CE35" i="16"/>
  <c r="AJ38" i="16"/>
  <c r="AK38" i="16" s="1"/>
  <c r="AA40" i="16"/>
  <c r="AL40" i="16"/>
  <c r="AM40" i="16" s="1"/>
  <c r="AT40" i="16"/>
  <c r="AA42" i="16"/>
  <c r="AL42" i="16"/>
  <c r="AM42" i="16" s="1"/>
  <c r="AC42" i="16"/>
  <c r="AL45" i="16"/>
  <c r="AM45" i="16" s="1"/>
  <c r="AD47" i="16"/>
  <c r="AB49" i="16"/>
  <c r="AD51" i="16"/>
  <c r="CE52" i="16"/>
  <c r="AC57" i="16"/>
  <c r="AE57" i="16"/>
  <c r="AC52" i="16"/>
  <c r="AE54" i="16"/>
  <c r="J59" i="16"/>
  <c r="Z59" i="16"/>
  <c r="AE10" i="16"/>
  <c r="AI10" i="16"/>
  <c r="AF11" i="16"/>
  <c r="AG11" i="16" s="1"/>
  <c r="AN11" i="16"/>
  <c r="AO11" i="16" s="1"/>
  <c r="AQ11" i="16"/>
  <c r="AR11" i="16" s="1"/>
  <c r="AS11" i="16"/>
  <c r="AT11" i="16" s="1"/>
  <c r="AR13" i="16"/>
  <c r="AU13" i="16" s="1"/>
  <c r="AV13" i="16" s="1"/>
  <c r="AW13" i="16" s="1"/>
  <c r="AC13" i="16"/>
  <c r="AA14" i="16"/>
  <c r="AK14" i="16"/>
  <c r="AL14" i="16"/>
  <c r="AM14" i="16" s="1"/>
  <c r="AC14" i="16"/>
  <c r="AA15" i="16"/>
  <c r="AK15" i="16"/>
  <c r="AL15" i="16"/>
  <c r="AM15" i="16" s="1"/>
  <c r="AC15" i="16"/>
  <c r="AG17" i="16"/>
  <c r="AB17" i="16"/>
  <c r="AR17" i="16"/>
  <c r="AA18" i="16"/>
  <c r="AK18" i="16"/>
  <c r="AL18" i="16"/>
  <c r="AM18" i="16" s="1"/>
  <c r="AC18" i="16"/>
  <c r="AA19" i="16"/>
  <c r="AJ19" i="16"/>
  <c r="AK19" i="16" s="1"/>
  <c r="AL19" i="16"/>
  <c r="AM19" i="16" s="1"/>
  <c r="AC19" i="16"/>
  <c r="AG21" i="16"/>
  <c r="AB21" i="16"/>
  <c r="AR21" i="16"/>
  <c r="AA22" i="16"/>
  <c r="AK22" i="16"/>
  <c r="AL22" i="16"/>
  <c r="AM22" i="16" s="1"/>
  <c r="AC22" i="16"/>
  <c r="AA23" i="16"/>
  <c r="AK23" i="16"/>
  <c r="AL23" i="16"/>
  <c r="AM23" i="16" s="1"/>
  <c r="AC23" i="16"/>
  <c r="AB25" i="16"/>
  <c r="AR25" i="16"/>
  <c r="AA26" i="16"/>
  <c r="AK26" i="16"/>
  <c r="AL26" i="16"/>
  <c r="AM26" i="16" s="1"/>
  <c r="AC26" i="16"/>
  <c r="AA27" i="16"/>
  <c r="AK27" i="16"/>
  <c r="AL27" i="16"/>
  <c r="AM27" i="16" s="1"/>
  <c r="AC27" i="16"/>
  <c r="AB29" i="16"/>
  <c r="AR29" i="16"/>
  <c r="AG30" i="16"/>
  <c r="AK30" i="16"/>
  <c r="AC30" i="16"/>
  <c r="CE30" i="16"/>
  <c r="AL31" i="16"/>
  <c r="AM31" i="16" s="1"/>
  <c r="AH32" i="16"/>
  <c r="AI32" i="16" s="1"/>
  <c r="AS32" i="16"/>
  <c r="AT32" i="16" s="1"/>
  <c r="AC34" i="16"/>
  <c r="CE34" i="16"/>
  <c r="AN36" i="16"/>
  <c r="AO36" i="16" s="1"/>
  <c r="AQ36" i="16"/>
  <c r="AR36" i="16" s="1"/>
  <c r="AE37" i="16"/>
  <c r="AF38" i="16"/>
  <c r="AG38" i="16" s="1"/>
  <c r="AN38" i="16"/>
  <c r="AO38" i="16" s="1"/>
  <c r="AQ38" i="16"/>
  <c r="AR38" i="16" s="1"/>
  <c r="AH42" i="16"/>
  <c r="AJ43" i="16"/>
  <c r="AK43" i="16" s="1"/>
  <c r="AL43" i="16"/>
  <c r="AM43" i="16" s="1"/>
  <c r="AH45" i="16"/>
  <c r="AI45" i="16" s="1"/>
  <c r="AA46" i="16"/>
  <c r="AJ46" i="16"/>
  <c r="AK46" i="16" s="1"/>
  <c r="AL46" i="16"/>
  <c r="AM46" i="16" s="1"/>
  <c r="AG47" i="16"/>
  <c r="AC47" i="16"/>
  <c r="AE47" i="16"/>
  <c r="AQ48" i="16"/>
  <c r="AR48" i="16" s="1"/>
  <c r="AB48" i="16"/>
  <c r="AA49" i="16"/>
  <c r="AL49" i="16"/>
  <c r="AM49" i="16" s="1"/>
  <c r="AQ50" i="16"/>
  <c r="AR50" i="16" s="1"/>
  <c r="AB50" i="16"/>
  <c r="AG51" i="16"/>
  <c r="AC51" i="16"/>
  <c r="AE51" i="16"/>
  <c r="AQ52" i="16"/>
  <c r="AR52" i="16" s="1"/>
  <c r="AB52" i="16"/>
  <c r="AG53" i="16"/>
  <c r="AC53" i="16"/>
  <c r="AE53" i="16"/>
  <c r="AQ54" i="16"/>
  <c r="AR54" i="16" s="1"/>
  <c r="AB54" i="16"/>
  <c r="AC55" i="16"/>
  <c r="AR56" i="16"/>
  <c r="AB56" i="16"/>
  <c r="CE57" i="16"/>
  <c r="AC36" i="16"/>
  <c r="AE48" i="16"/>
  <c r="AC54" i="16"/>
  <c r="AE56" i="16"/>
  <c r="N59" i="16"/>
  <c r="AC10" i="16"/>
  <c r="AS12" i="16"/>
  <c r="AT12" i="16" s="1"/>
  <c r="D59" i="16"/>
  <c r="H59" i="16"/>
  <c r="H60" i="16" s="1"/>
  <c r="P59" i="16"/>
  <c r="T59" i="16"/>
  <c r="X59" i="16"/>
  <c r="AS9" i="16"/>
  <c r="AT9" i="16" s="1"/>
  <c r="AF10" i="16"/>
  <c r="AN10" i="16"/>
  <c r="AO10" i="16" s="1"/>
  <c r="AQ10" i="16"/>
  <c r="AR10" i="16" s="1"/>
  <c r="AS10" i="16"/>
  <c r="AT10" i="16" s="1"/>
  <c r="AG12" i="16"/>
  <c r="AJ12" i="16"/>
  <c r="AK12" i="16" s="1"/>
  <c r="AL12" i="16"/>
  <c r="AM12" i="16" s="1"/>
  <c r="AH14" i="16"/>
  <c r="AI14" i="16" s="1"/>
  <c r="AH15" i="16"/>
  <c r="AJ16" i="16"/>
  <c r="AK16" i="16" s="1"/>
  <c r="AL16" i="16"/>
  <c r="AM16" i="16" s="1"/>
  <c r="AH18" i="16"/>
  <c r="AI18" i="16" s="1"/>
  <c r="AH19" i="16"/>
  <c r="AJ20" i="16"/>
  <c r="AK20" i="16" s="1"/>
  <c r="AL20" i="16"/>
  <c r="AM20" i="16" s="1"/>
  <c r="AH22" i="16"/>
  <c r="AI22" i="16" s="1"/>
  <c r="AH23" i="16"/>
  <c r="AA24" i="16"/>
  <c r="AJ24" i="16"/>
  <c r="AK24" i="16" s="1"/>
  <c r="AL24" i="16"/>
  <c r="AM24" i="16" s="1"/>
  <c r="AH26" i="16"/>
  <c r="AH27" i="16"/>
  <c r="AI27" i="16" s="1"/>
  <c r="AA28" i="16"/>
  <c r="AJ28" i="16"/>
  <c r="AK28" i="16" s="1"/>
  <c r="AL28" i="16"/>
  <c r="AM28" i="16" s="1"/>
  <c r="AH30" i="16"/>
  <c r="AI30" i="16" s="1"/>
  <c r="AS30" i="16"/>
  <c r="AT30" i="16" s="1"/>
  <c r="AJ31" i="16"/>
  <c r="AK31" i="16" s="1"/>
  <c r="AC31" i="16"/>
  <c r="CE31" i="16"/>
  <c r="AF32" i="16"/>
  <c r="AG32" i="16" s="1"/>
  <c r="AN32" i="16"/>
  <c r="AO32" i="16" s="1"/>
  <c r="AQ32" i="16"/>
  <c r="AR32" i="16" s="1"/>
  <c r="AG33" i="16"/>
  <c r="AJ33" i="16"/>
  <c r="AK33" i="16" s="1"/>
  <c r="AC33" i="16"/>
  <c r="CE33" i="16"/>
  <c r="AF35" i="16"/>
  <c r="AG35" i="16" s="1"/>
  <c r="AN35" i="16"/>
  <c r="AO35" i="16" s="1"/>
  <c r="AQ35" i="16"/>
  <c r="AR35" i="16" s="1"/>
  <c r="AE36" i="16"/>
  <c r="AG37" i="16"/>
  <c r="AC37" i="16"/>
  <c r="AL38" i="16"/>
  <c r="AM38" i="16" s="1"/>
  <c r="AG39" i="16"/>
  <c r="AJ39" i="16"/>
  <c r="AK39" i="16" s="1"/>
  <c r="AM39" i="16"/>
  <c r="AF40" i="16"/>
  <c r="AG40" i="16" s="1"/>
  <c r="AN40" i="16"/>
  <c r="AO40" i="16" s="1"/>
  <c r="AQ40" i="16"/>
  <c r="AR40" i="16" s="1"/>
  <c r="AJ41" i="16"/>
  <c r="AK41" i="16" s="1"/>
  <c r="AL41" i="16"/>
  <c r="AM41" i="16" s="1"/>
  <c r="AF42" i="16"/>
  <c r="AN42" i="16"/>
  <c r="AO42" i="16" s="1"/>
  <c r="AQ42" i="16"/>
  <c r="AR42" i="16" s="1"/>
  <c r="AT42" i="16"/>
  <c r="AG42" i="16"/>
  <c r="AJ44" i="16"/>
  <c r="AK44" i="16" s="1"/>
  <c r="AM44" i="16"/>
  <c r="AF45" i="16"/>
  <c r="AG45" i="16" s="1"/>
  <c r="AN45" i="16"/>
  <c r="AQ45" i="16"/>
  <c r="AR45" i="16" s="1"/>
  <c r="AH46" i="16"/>
  <c r="AI46" i="16" s="1"/>
  <c r="AH47" i="16"/>
  <c r="AI47" i="16" s="1"/>
  <c r="AS47" i="16"/>
  <c r="AT47" i="16" s="1"/>
  <c r="CE47" i="16"/>
  <c r="AA48" i="16"/>
  <c r="AL48" i="16"/>
  <c r="AM48" i="16" s="1"/>
  <c r="AT48" i="16"/>
  <c r="AC49" i="16"/>
  <c r="AA50" i="16"/>
  <c r="AL50" i="16"/>
  <c r="AM50" i="16" s="1"/>
  <c r="AH51" i="16"/>
  <c r="AS51" i="16"/>
  <c r="AT51" i="16" s="1"/>
  <c r="CE51" i="16"/>
  <c r="AA52" i="16"/>
  <c r="AL52" i="16"/>
  <c r="AM52" i="16" s="1"/>
  <c r="AH53" i="16"/>
  <c r="AS53" i="16"/>
  <c r="AT53" i="16" s="1"/>
  <c r="CE53" i="16"/>
  <c r="AA54" i="16"/>
  <c r="AL54" i="16"/>
  <c r="AM54" i="16" s="1"/>
  <c r="AH55" i="16"/>
  <c r="AS55" i="16"/>
  <c r="AT55" i="16" s="1"/>
  <c r="AA56" i="16"/>
  <c r="AL56" i="16"/>
  <c r="AM56" i="16" s="1"/>
  <c r="AD57" i="16"/>
  <c r="AB57" i="16"/>
  <c r="CE14" i="16"/>
  <c r="AE14" i="16"/>
  <c r="CE18" i="16"/>
  <c r="AE18" i="16"/>
  <c r="CE22" i="16"/>
  <c r="AE22" i="16"/>
  <c r="CE26" i="16"/>
  <c r="AE26" i="16"/>
  <c r="AI29" i="16"/>
  <c r="AU29" i="16" s="1"/>
  <c r="AV29" i="16" s="1"/>
  <c r="AW29" i="16" s="1"/>
  <c r="AD34" i="16"/>
  <c r="AB34" i="16"/>
  <c r="AD36" i="16"/>
  <c r="AB36" i="16"/>
  <c r="AI25" i="16"/>
  <c r="E59" i="16"/>
  <c r="I59" i="16"/>
  <c r="AJ9" i="16"/>
  <c r="M59" i="16"/>
  <c r="Q59" i="16"/>
  <c r="U59" i="16"/>
  <c r="CE9" i="16"/>
  <c r="Y59" i="16"/>
  <c r="AE9" i="16"/>
  <c r="AG10" i="16"/>
  <c r="AB11" i="16"/>
  <c r="AD11" i="16"/>
  <c r="AI11" i="16"/>
  <c r="CE13" i="16"/>
  <c r="AE13" i="16"/>
  <c r="AO14" i="16"/>
  <c r="CE15" i="16"/>
  <c r="AE15" i="16"/>
  <c r="AO18" i="16"/>
  <c r="CE19" i="16"/>
  <c r="AE19" i="16"/>
  <c r="AO22" i="16"/>
  <c r="CE23" i="16"/>
  <c r="AE23" i="16"/>
  <c r="AI26" i="16"/>
  <c r="AO26" i="16"/>
  <c r="CE27" i="16"/>
  <c r="AE27" i="16"/>
  <c r="AI17" i="16"/>
  <c r="F59" i="16"/>
  <c r="AH9" i="16"/>
  <c r="R59" i="16"/>
  <c r="AP9" i="16"/>
  <c r="AB10" i="16"/>
  <c r="AD10" i="16"/>
  <c r="AK11" i="16"/>
  <c r="CE12" i="16"/>
  <c r="AE12" i="16"/>
  <c r="AG13" i="16"/>
  <c r="AB14" i="16"/>
  <c r="AR14" i="16"/>
  <c r="AI15" i="16"/>
  <c r="AO15" i="16"/>
  <c r="CE16" i="16"/>
  <c r="AE16" i="16"/>
  <c r="AB18" i="16"/>
  <c r="AR18" i="16"/>
  <c r="AI19" i="16"/>
  <c r="AO19" i="16"/>
  <c r="CE20" i="16"/>
  <c r="AE20" i="16"/>
  <c r="AB22" i="16"/>
  <c r="AR22" i="16"/>
  <c r="AI23" i="16"/>
  <c r="AO23" i="16"/>
  <c r="CE24" i="16"/>
  <c r="AE24" i="16"/>
  <c r="AG25" i="16"/>
  <c r="AB26" i="16"/>
  <c r="AR26" i="16"/>
  <c r="AO27" i="16"/>
  <c r="CE28" i="16"/>
  <c r="AE28" i="16"/>
  <c r="AG29" i="16"/>
  <c r="L59" i="16"/>
  <c r="AL9" i="16"/>
  <c r="CE10" i="16"/>
  <c r="AB12" i="16"/>
  <c r="AD12" i="16"/>
  <c r="AI21" i="16"/>
  <c r="AU21" i="16" s="1"/>
  <c r="AV21" i="16" s="1"/>
  <c r="AW21" i="16" s="1"/>
  <c r="C59" i="16"/>
  <c r="AF9" i="16"/>
  <c r="G59" i="16"/>
  <c r="K59" i="16"/>
  <c r="AB9" i="16"/>
  <c r="AD9" i="16"/>
  <c r="O59" i="16"/>
  <c r="AN9" i="16"/>
  <c r="S59" i="16"/>
  <c r="W59" i="16"/>
  <c r="AA9" i="16"/>
  <c r="AQ9" i="16"/>
  <c r="AL10" i="16"/>
  <c r="AM10" i="16" s="1"/>
  <c r="CE11" i="16"/>
  <c r="AE11" i="16"/>
  <c r="AH12" i="16"/>
  <c r="AB13" i="16"/>
  <c r="AD13" i="16"/>
  <c r="AG14" i="16"/>
  <c r="AB15" i="16"/>
  <c r="AR15" i="16"/>
  <c r="AI16" i="16"/>
  <c r="CE17" i="16"/>
  <c r="AE17" i="16"/>
  <c r="AG18" i="16"/>
  <c r="AB19" i="16"/>
  <c r="AR19" i="16"/>
  <c r="AI20" i="16"/>
  <c r="CE21" i="16"/>
  <c r="AE21" i="16"/>
  <c r="AG22" i="16"/>
  <c r="AB23" i="16"/>
  <c r="AR23" i="16"/>
  <c r="AI24" i="16"/>
  <c r="CE25" i="16"/>
  <c r="AE25" i="16"/>
  <c r="AG26" i="16"/>
  <c r="AB27" i="16"/>
  <c r="AR27" i="16"/>
  <c r="AI28" i="16"/>
  <c r="CE29" i="16"/>
  <c r="AE29" i="16"/>
  <c r="AD31" i="16"/>
  <c r="AB31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D32" i="16"/>
  <c r="AB32" i="16"/>
  <c r="AH33" i="16"/>
  <c r="AS33" i="16"/>
  <c r="AT33" i="16" s="1"/>
  <c r="AH35" i="16"/>
  <c r="AS35" i="16"/>
  <c r="AT35" i="16" s="1"/>
  <c r="AH37" i="16"/>
  <c r="AK37" i="16"/>
  <c r="AS37" i="16"/>
  <c r="AT37" i="16" s="1"/>
  <c r="AH38" i="16"/>
  <c r="AS38" i="16"/>
  <c r="AT38" i="16" s="1"/>
  <c r="AI39" i="16"/>
  <c r="AA45" i="16"/>
  <c r="AC45" i="16"/>
  <c r="AO45" i="16"/>
  <c r="CE45" i="16"/>
  <c r="AG31" i="16"/>
  <c r="AD33" i="16"/>
  <c r="AB33" i="16"/>
  <c r="AG34" i="16"/>
  <c r="AK34" i="16"/>
  <c r="AD35" i="16"/>
  <c r="AB35" i="16"/>
  <c r="AG36" i="16"/>
  <c r="AK36" i="16"/>
  <c r="AD37" i="16"/>
  <c r="AB37" i="16"/>
  <c r="AD38" i="16"/>
  <c r="AB38" i="16"/>
  <c r="AB43" i="16"/>
  <c r="AD43" i="16"/>
  <c r="AD30" i="16"/>
  <c r="AB30" i="16"/>
  <c r="AH31" i="16"/>
  <c r="AS31" i="16"/>
  <c r="AT31" i="16" s="1"/>
  <c r="AK32" i="16"/>
  <c r="AH34" i="16"/>
  <c r="AS34" i="16"/>
  <c r="AT34" i="16" s="1"/>
  <c r="AH36" i="16"/>
  <c r="AS36" i="16"/>
  <c r="AT36" i="16" s="1"/>
  <c r="AA41" i="16"/>
  <c r="AG41" i="16"/>
  <c r="AC41" i="16"/>
  <c r="AO41" i="16"/>
  <c r="CE41" i="16"/>
  <c r="AI42" i="16"/>
  <c r="AE45" i="16"/>
  <c r="CE39" i="16"/>
  <c r="CE40" i="16"/>
  <c r="AE40" i="16"/>
  <c r="AB42" i="16"/>
  <c r="AD42" i="16"/>
  <c r="CE44" i="16"/>
  <c r="AE44" i="16"/>
  <c r="AB46" i="16"/>
  <c r="AD46" i="16"/>
  <c r="AC46" i="16"/>
  <c r="CE38" i="16"/>
  <c r="AE39" i="16"/>
  <c r="AH40" i="16"/>
  <c r="AB41" i="16"/>
  <c r="AD41" i="16"/>
  <c r="CE43" i="16"/>
  <c r="AE43" i="16"/>
  <c r="AH44" i="16"/>
  <c r="AG44" i="16"/>
  <c r="AB45" i="16"/>
  <c r="AD45" i="16"/>
  <c r="AG46" i="16"/>
  <c r="AI48" i="16"/>
  <c r="AB39" i="16"/>
  <c r="AA39" i="16"/>
  <c r="AB40" i="16"/>
  <c r="AD40" i="16"/>
  <c r="CE42" i="16"/>
  <c r="AE42" i="16"/>
  <c r="AH43" i="16"/>
  <c r="AB44" i="16"/>
  <c r="AD44" i="16"/>
  <c r="AE46" i="16"/>
  <c r="CE46" i="16"/>
  <c r="AS46" i="16"/>
  <c r="AT46" i="16" s="1"/>
  <c r="AG57" i="16"/>
  <c r="AI57" i="16"/>
  <c r="AT57" i="16"/>
  <c r="AI49" i="16"/>
  <c r="AT49" i="16"/>
  <c r="AI50" i="16"/>
  <c r="AT50" i="16"/>
  <c r="AI51" i="16"/>
  <c r="AI52" i="16"/>
  <c r="AT52" i="16"/>
  <c r="AI53" i="16"/>
  <c r="AI54" i="16"/>
  <c r="AT54" i="16"/>
  <c r="AI55" i="16"/>
  <c r="AI56" i="16"/>
  <c r="AT56" i="16"/>
  <c r="AQ57" i="16"/>
  <c r="AR57" i="16" s="1"/>
  <c r="AG49" i="16"/>
  <c r="AG50" i="16"/>
  <c r="AG55" i="16"/>
  <c r="A6" i="6"/>
  <c r="AU24" i="16" l="1"/>
  <c r="AV24" i="16" s="1"/>
  <c r="AW24" i="16" s="1"/>
  <c r="AU17" i="16"/>
  <c r="AV17" i="16" s="1"/>
  <c r="AW17" i="16" s="1"/>
  <c r="AU28" i="16"/>
  <c r="AV28" i="16" s="1"/>
  <c r="AW28" i="16" s="1"/>
  <c r="N60" i="16"/>
  <c r="AU39" i="16"/>
  <c r="AV39" i="16" s="1"/>
  <c r="AW39" i="16" s="1"/>
  <c r="AU15" i="16"/>
  <c r="AV15" i="16" s="1"/>
  <c r="AW15" i="16" s="1"/>
  <c r="AU56" i="16"/>
  <c r="AV56" i="16" s="1"/>
  <c r="AW56" i="16" s="1"/>
  <c r="AU16" i="16"/>
  <c r="AV16" i="16" s="1"/>
  <c r="AW16" i="16" s="1"/>
  <c r="AU48" i="16"/>
  <c r="AV48" i="16" s="1"/>
  <c r="AW48" i="16" s="1"/>
  <c r="AU41" i="16"/>
  <c r="AV41" i="16" s="1"/>
  <c r="AW41" i="16" s="1"/>
  <c r="Z60" i="16"/>
  <c r="AU26" i="16"/>
  <c r="AV26" i="16" s="1"/>
  <c r="AW26" i="16" s="1"/>
  <c r="AU30" i="16"/>
  <c r="AV30" i="16" s="1"/>
  <c r="AW30" i="16" s="1"/>
  <c r="AU54" i="16"/>
  <c r="AV54" i="16" s="1"/>
  <c r="AW54" i="16" s="1"/>
  <c r="AU52" i="16"/>
  <c r="AV52" i="16" s="1"/>
  <c r="AW52" i="16" s="1"/>
  <c r="AU50" i="16"/>
  <c r="AV50" i="16" s="1"/>
  <c r="AW50" i="16" s="1"/>
  <c r="AF59" i="16"/>
  <c r="D60" i="16"/>
  <c r="AU23" i="16"/>
  <c r="AV23" i="16" s="1"/>
  <c r="AW23" i="16" s="1"/>
  <c r="AU25" i="16"/>
  <c r="AV25" i="16" s="1"/>
  <c r="AW25" i="16" s="1"/>
  <c r="AU42" i="16"/>
  <c r="AV42" i="16" s="1"/>
  <c r="AW42" i="16" s="1"/>
  <c r="X60" i="16"/>
  <c r="AU20" i="16"/>
  <c r="AV20" i="16" s="1"/>
  <c r="AW20" i="16" s="1"/>
  <c r="AU14" i="16"/>
  <c r="AV14" i="16" s="1"/>
  <c r="AW14" i="16" s="1"/>
  <c r="AU51" i="16"/>
  <c r="AV51" i="16" s="1"/>
  <c r="AW51" i="16" s="1"/>
  <c r="C60" i="16"/>
  <c r="AU27" i="16"/>
  <c r="AV27" i="16" s="1"/>
  <c r="AW27" i="16" s="1"/>
  <c r="Y60" i="16"/>
  <c r="AU55" i="16"/>
  <c r="AV55" i="16" s="1"/>
  <c r="AW55" i="16" s="1"/>
  <c r="AU49" i="16"/>
  <c r="AV49" i="16" s="1"/>
  <c r="AW49" i="16" s="1"/>
  <c r="AU47" i="16"/>
  <c r="AV47" i="16" s="1"/>
  <c r="AW47" i="16" s="1"/>
  <c r="AU45" i="16"/>
  <c r="AV45" i="16" s="1"/>
  <c r="AW45" i="16" s="1"/>
  <c r="AU19" i="16"/>
  <c r="AV19" i="16" s="1"/>
  <c r="AW19" i="16" s="1"/>
  <c r="AU53" i="16"/>
  <c r="AV53" i="16" s="1"/>
  <c r="AW53" i="16" s="1"/>
  <c r="AU57" i="16"/>
  <c r="AV57" i="16" s="1"/>
  <c r="AW57" i="16" s="1"/>
  <c r="AU18" i="16"/>
  <c r="AV18" i="16" s="1"/>
  <c r="AW18" i="16" s="1"/>
  <c r="AU11" i="16"/>
  <c r="AV11" i="16" s="1"/>
  <c r="AW11" i="16" s="1"/>
  <c r="AU32" i="16"/>
  <c r="AV32" i="16" s="1"/>
  <c r="AW32" i="16" s="1"/>
  <c r="AU46" i="16"/>
  <c r="AV46" i="16" s="1"/>
  <c r="AW46" i="16" s="1"/>
  <c r="AU22" i="16"/>
  <c r="AV22" i="16" s="1"/>
  <c r="AW22" i="16" s="1"/>
  <c r="E60" i="16"/>
  <c r="D63" i="6"/>
  <c r="B62" i="6"/>
  <c r="B59" i="6"/>
  <c r="AI38" i="16"/>
  <c r="AU38" i="16" s="1"/>
  <c r="AV38" i="16" s="1"/>
  <c r="AW38" i="16" s="1"/>
  <c r="AI37" i="16"/>
  <c r="AU37" i="16" s="1"/>
  <c r="AV37" i="16" s="1"/>
  <c r="AW37" i="16" s="1"/>
  <c r="AL59" i="16"/>
  <c r="AM9" i="16"/>
  <c r="AM59" i="16" s="1"/>
  <c r="AP59" i="16"/>
  <c r="AA59" i="16"/>
  <c r="AJ59" i="16"/>
  <c r="AK9" i="16"/>
  <c r="AK59" i="16" s="1"/>
  <c r="AU10" i="16"/>
  <c r="AV10" i="16" s="1"/>
  <c r="AW10" i="16" s="1"/>
  <c r="AI43" i="16"/>
  <c r="AU43" i="16" s="1"/>
  <c r="AV43" i="16" s="1"/>
  <c r="AW43" i="16" s="1"/>
  <c r="AI40" i="16"/>
  <c r="AU40" i="16" s="1"/>
  <c r="AV40" i="16" s="1"/>
  <c r="AW40" i="16" s="1"/>
  <c r="AI34" i="16"/>
  <c r="AU34" i="16" s="1"/>
  <c r="AV34" i="16" s="1"/>
  <c r="AW34" i="16" s="1"/>
  <c r="AE59" i="16"/>
  <c r="CE59" i="16"/>
  <c r="U60" i="16"/>
  <c r="AT59" i="16"/>
  <c r="AI36" i="16"/>
  <c r="AU36" i="16" s="1"/>
  <c r="AV36" i="16" s="1"/>
  <c r="AW36" i="16" s="1"/>
  <c r="AI31" i="16"/>
  <c r="AU31" i="16" s="1"/>
  <c r="AV31" i="16" s="1"/>
  <c r="AW31" i="16" s="1"/>
  <c r="AI33" i="16"/>
  <c r="AU33" i="16" s="1"/>
  <c r="AV33" i="16" s="1"/>
  <c r="AW33" i="16" s="1"/>
  <c r="Q60" i="16"/>
  <c r="AC59" i="16"/>
  <c r="AS59" i="16"/>
  <c r="AI44" i="16"/>
  <c r="AU44" i="16" s="1"/>
  <c r="AV44" i="16" s="1"/>
  <c r="AW44" i="16" s="1"/>
  <c r="AI35" i="16"/>
  <c r="AU35" i="16" s="1"/>
  <c r="AV35" i="16" s="1"/>
  <c r="AW35" i="16" s="1"/>
  <c r="AI12" i="16"/>
  <c r="AU12" i="16" s="1"/>
  <c r="AV12" i="16" s="1"/>
  <c r="AW12" i="16" s="1"/>
  <c r="AQ59" i="16"/>
  <c r="AR9" i="16"/>
  <c r="AR59" i="16" s="1"/>
  <c r="AN59" i="16"/>
  <c r="AO9" i="16"/>
  <c r="AO59" i="16" s="1"/>
  <c r="AB59" i="16"/>
  <c r="K60" i="16"/>
  <c r="AD59" i="16"/>
  <c r="AG9" i="16"/>
  <c r="AG59" i="16" s="1"/>
  <c r="AH59" i="16"/>
  <c r="AI9" i="16"/>
  <c r="A1" i="15"/>
  <c r="C50" i="14" l="1"/>
  <c r="C11" i="14"/>
  <c r="C15" i="14"/>
  <c r="C19" i="14"/>
  <c r="C23" i="14"/>
  <c r="C27" i="14"/>
  <c r="C31" i="14"/>
  <c r="C35" i="14"/>
  <c r="C39" i="14"/>
  <c r="C43" i="14"/>
  <c r="C48" i="14"/>
  <c r="C55" i="14"/>
  <c r="C53" i="14"/>
  <c r="C12" i="14"/>
  <c r="C16" i="14"/>
  <c r="C20" i="14"/>
  <c r="C24" i="14"/>
  <c r="C28" i="14"/>
  <c r="C32" i="14"/>
  <c r="C36" i="14"/>
  <c r="C40" i="14"/>
  <c r="C44" i="14"/>
  <c r="C49" i="14"/>
  <c r="C56" i="14"/>
  <c r="C46" i="14"/>
  <c r="C9" i="14"/>
  <c r="C13" i="14"/>
  <c r="C17" i="14"/>
  <c r="C21" i="14"/>
  <c r="C25" i="14"/>
  <c r="C29" i="14"/>
  <c r="C33" i="14"/>
  <c r="C37" i="14"/>
  <c r="C41" i="14"/>
  <c r="C45" i="14"/>
  <c r="C51" i="14"/>
  <c r="C54" i="14"/>
  <c r="C10" i="14"/>
  <c r="C14" i="14"/>
  <c r="C18" i="14"/>
  <c r="C22" i="14"/>
  <c r="C26" i="14"/>
  <c r="C30" i="14"/>
  <c r="C34" i="14"/>
  <c r="C38" i="14"/>
  <c r="C42" i="14"/>
  <c r="C47" i="14"/>
  <c r="C52" i="14"/>
  <c r="N63" i="6"/>
  <c r="AE62" i="6"/>
  <c r="H63" i="6"/>
  <c r="Z63" i="6"/>
  <c r="AD62" i="6"/>
  <c r="Y63" i="6"/>
  <c r="AA62" i="6"/>
  <c r="X63" i="6"/>
  <c r="K63" i="6"/>
  <c r="Q63" i="6"/>
  <c r="AC62" i="6"/>
  <c r="U63" i="6"/>
  <c r="AB62" i="6"/>
  <c r="AB63" i="6" s="1"/>
  <c r="AI59" i="16"/>
  <c r="AB60" i="16"/>
  <c r="C63" i="6"/>
  <c r="E63" i="6" s="1"/>
  <c r="AU9" i="16"/>
  <c r="AC60" i="16"/>
  <c r="AC63" i="6" l="1"/>
  <c r="AU59" i="16"/>
  <c r="AV9" i="16"/>
  <c r="M58" i="15"/>
  <c r="M56" i="15"/>
  <c r="M55" i="15"/>
  <c r="M54" i="15"/>
  <c r="M53" i="15"/>
  <c r="M51" i="15"/>
  <c r="M50" i="15"/>
  <c r="M49" i="15"/>
  <c r="M48" i="15"/>
  <c r="M47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AV59" i="16" l="1"/>
  <c r="AW9" i="16"/>
  <c r="AW59" i="16" s="1"/>
  <c r="D78" i="4" l="1"/>
  <c r="D3" i="15"/>
  <c r="F76" i="4" s="1"/>
  <c r="D72" i="4"/>
  <c r="AN7" i="2"/>
  <c r="E6" i="2" l="1"/>
  <c r="AH6" i="2" s="1"/>
  <c r="AL6" i="2" s="1"/>
  <c r="E7" i="2"/>
  <c r="V7" i="2" l="1"/>
  <c r="F8" i="4" l="1"/>
  <c r="L8" i="4" s="1"/>
  <c r="E2" i="4"/>
  <c r="J10" i="15" l="1"/>
  <c r="I10" i="15"/>
  <c r="E9" i="15" l="1"/>
  <c r="H9" i="15" s="1"/>
  <c r="D9" i="15"/>
  <c r="G9" i="15" l="1"/>
  <c r="F9" i="15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N4" i="2"/>
  <c r="D68" i="4" s="1"/>
  <c r="K5" i="2"/>
  <c r="L9" i="15" l="1"/>
  <c r="K9" i="15"/>
  <c r="Q4" i="2"/>
  <c r="M7" i="2"/>
  <c r="S3" i="2"/>
  <c r="D63" i="4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H15" i="6" l="1"/>
  <c r="AG47" i="6"/>
  <c r="AF16" i="6"/>
  <c r="AK24" i="6"/>
  <c r="AG36" i="6"/>
  <c r="H51" i="14"/>
  <c r="AF52" i="6"/>
  <c r="AH23" i="6"/>
  <c r="AN9" i="6"/>
  <c r="AL46" i="6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M6" i="14"/>
  <c r="I9" i="15"/>
  <c r="E7" i="14"/>
  <c r="G6" i="14"/>
  <c r="F7" i="14"/>
  <c r="D7" i="14"/>
  <c r="K7" i="14" s="1"/>
  <c r="M7" i="14" s="1"/>
  <c r="H6" i="14"/>
  <c r="B1" i="14"/>
  <c r="D11" i="15"/>
  <c r="G11" i="15" s="1"/>
  <c r="N69" i="4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61" i="7"/>
  <c r="AG62" i="7"/>
  <c r="AG63" i="7"/>
  <c r="AG9" i="7"/>
  <c r="AE63" i="7"/>
  <c r="AE62" i="7"/>
  <c r="AE61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C55" i="4"/>
  <c r="C52" i="4"/>
  <c r="C45" i="4"/>
  <c r="C44" i="4"/>
  <c r="C41" i="4"/>
  <c r="C36" i="4"/>
  <c r="C35" i="4"/>
  <c r="C29" i="4"/>
  <c r="C21" i="4"/>
  <c r="C20" i="4"/>
  <c r="C17" i="4"/>
  <c r="C16" i="4"/>
  <c r="C13" i="4"/>
  <c r="X64" i="13"/>
  <c r="X63" i="13"/>
  <c r="X62" i="13"/>
  <c r="X61" i="13"/>
  <c r="X60" i="13"/>
  <c r="X59" i="13"/>
  <c r="X58" i="13"/>
  <c r="X57" i="13"/>
  <c r="X56" i="13"/>
  <c r="X55" i="13"/>
  <c r="X54" i="13"/>
  <c r="X53" i="13"/>
  <c r="X52" i="13"/>
  <c r="X51" i="13"/>
  <c r="X50" i="13"/>
  <c r="X49" i="13"/>
  <c r="X48" i="13"/>
  <c r="X47" i="13"/>
  <c r="X46" i="13"/>
  <c r="X45" i="13"/>
  <c r="X44" i="13"/>
  <c r="X43" i="13"/>
  <c r="X42" i="13"/>
  <c r="X41" i="13"/>
  <c r="X40" i="13"/>
  <c r="X39" i="13"/>
  <c r="X38" i="13"/>
  <c r="X37" i="13"/>
  <c r="X36" i="13"/>
  <c r="X35" i="13"/>
  <c r="X34" i="13"/>
  <c r="X33" i="13"/>
  <c r="X32" i="13"/>
  <c r="X31" i="13"/>
  <c r="X30" i="13"/>
  <c r="X29" i="13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S65" i="13"/>
  <c r="R65" i="13"/>
  <c r="Q65" i="13"/>
  <c r="P65" i="13"/>
  <c r="O65" i="13"/>
  <c r="N65" i="13"/>
  <c r="M65" i="13"/>
  <c r="L65" i="13"/>
  <c r="K65" i="13"/>
  <c r="I65" i="13"/>
  <c r="H65" i="13"/>
  <c r="F65" i="13"/>
  <c r="E65" i="13"/>
  <c r="D65" i="13"/>
  <c r="C65" i="13"/>
  <c r="G11" i="13"/>
  <c r="V11" i="13" s="1"/>
  <c r="G12" i="13"/>
  <c r="Y12" i="13" s="1"/>
  <c r="G13" i="13"/>
  <c r="T13" i="13" s="1"/>
  <c r="G14" i="13"/>
  <c r="G15" i="13"/>
  <c r="U15" i="13" s="1"/>
  <c r="G16" i="13"/>
  <c r="V16" i="13" s="1"/>
  <c r="G17" i="13"/>
  <c r="Y17" i="13" s="1"/>
  <c r="G18" i="13"/>
  <c r="T18" i="13" s="1"/>
  <c r="G19" i="13"/>
  <c r="W19" i="13" s="1"/>
  <c r="G20" i="13"/>
  <c r="W20" i="13" s="1"/>
  <c r="G21" i="13"/>
  <c r="W21" i="13" s="1"/>
  <c r="G22" i="13"/>
  <c r="U22" i="13" s="1"/>
  <c r="G23" i="13"/>
  <c r="U23" i="13" s="1"/>
  <c r="G24" i="13"/>
  <c r="V24" i="13" s="1"/>
  <c r="G25" i="13"/>
  <c r="T25" i="13" s="1"/>
  <c r="G26" i="13"/>
  <c r="W26" i="13" s="1"/>
  <c r="G27" i="13"/>
  <c r="W27" i="13" s="1"/>
  <c r="G28" i="13"/>
  <c r="G29" i="13"/>
  <c r="T29" i="13" s="1"/>
  <c r="G30" i="13"/>
  <c r="V30" i="13" s="1"/>
  <c r="G31" i="13"/>
  <c r="U31" i="13" s="1"/>
  <c r="G32" i="13"/>
  <c r="T32" i="13" s="1"/>
  <c r="G33" i="13"/>
  <c r="W33" i="13" s="1"/>
  <c r="G34" i="13"/>
  <c r="T34" i="13" s="1"/>
  <c r="G35" i="13"/>
  <c r="W35" i="13" s="1"/>
  <c r="G36" i="13"/>
  <c r="W36" i="13" s="1"/>
  <c r="G37" i="13"/>
  <c r="G38" i="13"/>
  <c r="W38" i="13" s="1"/>
  <c r="G39" i="13"/>
  <c r="V39" i="13" s="1"/>
  <c r="G40" i="13"/>
  <c r="V40" i="13" s="1"/>
  <c r="G41" i="13"/>
  <c r="W41" i="13" s="1"/>
  <c r="G42" i="13"/>
  <c r="V42" i="13" s="1"/>
  <c r="G43" i="13"/>
  <c r="V43" i="13" s="1"/>
  <c r="G44" i="13"/>
  <c r="Y44" i="13" s="1"/>
  <c r="G45" i="13"/>
  <c r="T45" i="13" s="1"/>
  <c r="W45" i="13"/>
  <c r="G46" i="13"/>
  <c r="G47" i="13"/>
  <c r="G48" i="13"/>
  <c r="V48" i="13"/>
  <c r="G49" i="13"/>
  <c r="Y49" i="13" s="1"/>
  <c r="G50" i="13"/>
  <c r="U50" i="13" s="1"/>
  <c r="G51" i="13"/>
  <c r="U51" i="13" s="1"/>
  <c r="G52" i="13"/>
  <c r="Y52" i="13" s="1"/>
  <c r="G53" i="13"/>
  <c r="W53" i="13" s="1"/>
  <c r="G54" i="13"/>
  <c r="W54" i="13" s="1"/>
  <c r="G55" i="13"/>
  <c r="T55" i="13" s="1"/>
  <c r="G56" i="13"/>
  <c r="V56" i="13" s="1"/>
  <c r="G57" i="13"/>
  <c r="T57" i="13" s="1"/>
  <c r="G58" i="13"/>
  <c r="V58" i="13" s="1"/>
  <c r="G59" i="13"/>
  <c r="U59" i="13" s="1"/>
  <c r="G60" i="13"/>
  <c r="G61" i="13"/>
  <c r="T61" i="13" s="1"/>
  <c r="G62" i="13"/>
  <c r="V62" i="13" s="1"/>
  <c r="G63" i="13"/>
  <c r="W63" i="13" s="1"/>
  <c r="G64" i="13"/>
  <c r="G10" i="13"/>
  <c r="W10" i="13" s="1"/>
  <c r="G9" i="13"/>
  <c r="Y9" i="13" s="1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O7" i="4"/>
  <c r="O8" i="4"/>
  <c r="C49" i="4"/>
  <c r="E1" i="2"/>
  <c r="S4" i="2"/>
  <c r="T4" i="2"/>
  <c r="S5" i="2"/>
  <c r="T5" i="2"/>
  <c r="S6" i="2"/>
  <c r="T6" i="2"/>
  <c r="S7" i="2"/>
  <c r="AO7" i="2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C24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C56" i="4"/>
  <c r="D56" i="4"/>
  <c r="C57" i="4"/>
  <c r="D57" i="4"/>
  <c r="C58" i="4"/>
  <c r="D58" i="4"/>
  <c r="D10" i="4"/>
  <c r="AK58" i="2"/>
  <c r="C28" i="4"/>
  <c r="C31" i="4"/>
  <c r="C32" i="4"/>
  <c r="C33" i="4"/>
  <c r="C40" i="4"/>
  <c r="C42" i="4"/>
  <c r="C46" i="4"/>
  <c r="A67" i="14"/>
  <c r="B67" i="14"/>
  <c r="A68" i="14"/>
  <c r="B68" i="14"/>
  <c r="C34" i="4"/>
  <c r="C22" i="4"/>
  <c r="C37" i="4"/>
  <c r="C12" i="4"/>
  <c r="C30" i="4"/>
  <c r="C48" i="4"/>
  <c r="C51" i="4"/>
  <c r="C39" i="4"/>
  <c r="C25" i="4"/>
  <c r="T63" i="13"/>
  <c r="U63" i="13"/>
  <c r="T59" i="13"/>
  <c r="W55" i="13"/>
  <c r="V55" i="13"/>
  <c r="W51" i="13"/>
  <c r="V51" i="13"/>
  <c r="T51" i="13"/>
  <c r="Y51" i="13"/>
  <c r="W47" i="13"/>
  <c r="V47" i="13"/>
  <c r="T47" i="13"/>
  <c r="U47" i="13"/>
  <c r="Y47" i="13"/>
  <c r="U39" i="13"/>
  <c r="T31" i="13"/>
  <c r="U27" i="13"/>
  <c r="T23" i="13"/>
  <c r="V15" i="13"/>
  <c r="T48" i="13"/>
  <c r="T16" i="13"/>
  <c r="Y48" i="13"/>
  <c r="Y16" i="13"/>
  <c r="U12" i="13"/>
  <c r="U16" i="13"/>
  <c r="U36" i="13"/>
  <c r="U44" i="13"/>
  <c r="U48" i="13"/>
  <c r="W16" i="13"/>
  <c r="W24" i="13"/>
  <c r="W48" i="13"/>
  <c r="AG69" i="7"/>
  <c r="V12" i="13"/>
  <c r="V44" i="13"/>
  <c r="U13" i="13"/>
  <c r="U29" i="13"/>
  <c r="U41" i="13"/>
  <c r="U45" i="13"/>
  <c r="U53" i="13"/>
  <c r="Y62" i="13"/>
  <c r="Y54" i="13"/>
  <c r="Y50" i="13"/>
  <c r="Y46" i="13"/>
  <c r="Y14" i="13"/>
  <c r="V13" i="13"/>
  <c r="V21" i="13"/>
  <c r="V29" i="13"/>
  <c r="V45" i="13"/>
  <c r="E54" i="14"/>
  <c r="E36" i="14"/>
  <c r="F19" i="14"/>
  <c r="E9" i="14"/>
  <c r="E21" i="14"/>
  <c r="E25" i="14"/>
  <c r="E37" i="14"/>
  <c r="E41" i="14"/>
  <c r="E52" i="14"/>
  <c r="E56" i="14"/>
  <c r="F20" i="14"/>
  <c r="F24" i="14"/>
  <c r="F36" i="14"/>
  <c r="F40" i="14"/>
  <c r="F51" i="14"/>
  <c r="F55" i="14"/>
  <c r="E18" i="14"/>
  <c r="E22" i="14"/>
  <c r="E34" i="14"/>
  <c r="E38" i="14"/>
  <c r="E49" i="14"/>
  <c r="E53" i="14"/>
  <c r="F17" i="14"/>
  <c r="F21" i="14"/>
  <c r="F33" i="14"/>
  <c r="F37" i="14"/>
  <c r="F48" i="14"/>
  <c r="F52" i="14"/>
  <c r="C23" i="4"/>
  <c r="C27" i="4"/>
  <c r="C47" i="4"/>
  <c r="C50" i="4"/>
  <c r="C54" i="4"/>
  <c r="C38" i="4"/>
  <c r="C11" i="4"/>
  <c r="C15" i="4"/>
  <c r="C19" i="4"/>
  <c r="C43" i="4"/>
  <c r="C18" i="4"/>
  <c r="AF24" i="6"/>
  <c r="AJ39" i="6"/>
  <c r="AJ52" i="6"/>
  <c r="C14" i="4"/>
  <c r="AP12" i="6"/>
  <c r="AP28" i="6"/>
  <c r="AP48" i="6"/>
  <c r="AG16" i="6"/>
  <c r="AF34" i="6"/>
  <c r="AI36" i="6"/>
  <c r="AG55" i="6"/>
  <c r="AP22" i="6"/>
  <c r="AF27" i="6"/>
  <c r="C53" i="4"/>
  <c r="C26" i="4"/>
  <c r="AP43" i="6"/>
  <c r="H43" i="14"/>
  <c r="AP33" i="6"/>
  <c r="AP24" i="6"/>
  <c r="Y26" i="13" l="1"/>
  <c r="V53" i="13"/>
  <c r="V23" i="13"/>
  <c r="H24" i="14"/>
  <c r="F29" i="14"/>
  <c r="E46" i="14"/>
  <c r="E14" i="14"/>
  <c r="F47" i="14"/>
  <c r="F32" i="14"/>
  <c r="F16" i="14"/>
  <c r="E48" i="14"/>
  <c r="E33" i="14"/>
  <c r="E17" i="14"/>
  <c r="E19" i="14"/>
  <c r="Y30" i="13"/>
  <c r="T56" i="13"/>
  <c r="Y23" i="13"/>
  <c r="W23" i="13"/>
  <c r="V27" i="13"/>
  <c r="T35" i="13"/>
  <c r="U19" i="13"/>
  <c r="T27" i="13"/>
  <c r="U35" i="13"/>
  <c r="F45" i="14"/>
  <c r="F13" i="14"/>
  <c r="E30" i="14"/>
  <c r="F56" i="14"/>
  <c r="F41" i="14"/>
  <c r="F25" i="14"/>
  <c r="F9" i="14"/>
  <c r="E42" i="14"/>
  <c r="E26" i="14"/>
  <c r="E10" i="14"/>
  <c r="D43" i="14"/>
  <c r="I43" i="14" s="1"/>
  <c r="F44" i="14"/>
  <c r="F28" i="14"/>
  <c r="F12" i="14"/>
  <c r="E45" i="14"/>
  <c r="E29" i="14"/>
  <c r="E13" i="14"/>
  <c r="F39" i="14"/>
  <c r="V41" i="13"/>
  <c r="Y10" i="13"/>
  <c r="Y34" i="13"/>
  <c r="U33" i="13"/>
  <c r="Y56" i="13"/>
  <c r="T15" i="13"/>
  <c r="Y27" i="13"/>
  <c r="Y39" i="13"/>
  <c r="Y55" i="13"/>
  <c r="V59" i="13"/>
  <c r="U18" i="13"/>
  <c r="W58" i="13"/>
  <c r="V38" i="13"/>
  <c r="V17" i="13"/>
  <c r="Y18" i="13"/>
  <c r="Y38" i="13"/>
  <c r="U21" i="13"/>
  <c r="V36" i="13"/>
  <c r="W56" i="13"/>
  <c r="U56" i="13"/>
  <c r="U24" i="13"/>
  <c r="Y15" i="13"/>
  <c r="W15" i="13"/>
  <c r="V35" i="13"/>
  <c r="W39" i="13"/>
  <c r="U55" i="13"/>
  <c r="Y59" i="13"/>
  <c r="W59" i="13"/>
  <c r="V63" i="13"/>
  <c r="W57" i="13"/>
  <c r="T54" i="13"/>
  <c r="W13" i="13"/>
  <c r="Y13" i="13"/>
  <c r="U58" i="13"/>
  <c r="J9" i="14"/>
  <c r="J22" i="14"/>
  <c r="J38" i="14"/>
  <c r="J53" i="14"/>
  <c r="J43" i="14"/>
  <c r="J16" i="14"/>
  <c r="J32" i="14"/>
  <c r="J47" i="14"/>
  <c r="J17" i="14"/>
  <c r="J33" i="14"/>
  <c r="J48" i="14"/>
  <c r="J27" i="14"/>
  <c r="J50" i="14"/>
  <c r="J52" i="14"/>
  <c r="J46" i="14"/>
  <c r="J24" i="14"/>
  <c r="J25" i="14"/>
  <c r="J39" i="14"/>
  <c r="J10" i="14"/>
  <c r="J26" i="14"/>
  <c r="J42" i="14"/>
  <c r="J15" i="14"/>
  <c r="J54" i="14"/>
  <c r="J20" i="14"/>
  <c r="J36" i="14"/>
  <c r="J51" i="14"/>
  <c r="J21" i="14"/>
  <c r="J37" i="14"/>
  <c r="J19" i="14"/>
  <c r="J40" i="14"/>
  <c r="J41" i="14"/>
  <c r="J14" i="14"/>
  <c r="J18" i="14"/>
  <c r="J34" i="14"/>
  <c r="J49" i="14"/>
  <c r="J31" i="14"/>
  <c r="J12" i="14"/>
  <c r="J28" i="14"/>
  <c r="J44" i="14"/>
  <c r="J13" i="14"/>
  <c r="J29" i="14"/>
  <c r="J45" i="14"/>
  <c r="J23" i="14"/>
  <c r="J35" i="14"/>
  <c r="J30" i="14"/>
  <c r="J11" i="14"/>
  <c r="J55" i="14"/>
  <c r="J56" i="14"/>
  <c r="V33" i="13"/>
  <c r="Y42" i="13"/>
  <c r="Y58" i="13"/>
  <c r="U17" i="13"/>
  <c r="V20" i="13"/>
  <c r="U20" i="13"/>
  <c r="Y24" i="13"/>
  <c r="T24" i="13"/>
  <c r="Y35" i="13"/>
  <c r="Y63" i="13"/>
  <c r="T36" i="13"/>
  <c r="T17" i="13"/>
  <c r="AE69" i="7"/>
  <c r="AL41" i="6"/>
  <c r="AH25" i="6"/>
  <c r="H53" i="14"/>
  <c r="F50" i="14"/>
  <c r="F35" i="14"/>
  <c r="F15" i="14"/>
  <c r="E20" i="14"/>
  <c r="F38" i="14"/>
  <c r="E50" i="14"/>
  <c r="V61" i="13"/>
  <c r="U61" i="13"/>
  <c r="T19" i="13"/>
  <c r="V31" i="13"/>
  <c r="Y36" i="13"/>
  <c r="V22" i="13"/>
  <c r="U42" i="13"/>
  <c r="W52" i="13"/>
  <c r="F31" i="14"/>
  <c r="E51" i="14"/>
  <c r="E16" i="14"/>
  <c r="F34" i="14"/>
  <c r="E39" i="14"/>
  <c r="Y22" i="13"/>
  <c r="U40" i="13"/>
  <c r="Y40" i="13"/>
  <c r="V19" i="13"/>
  <c r="Y31" i="13"/>
  <c r="W31" i="13"/>
  <c r="J65" i="13"/>
  <c r="T50" i="13"/>
  <c r="T38" i="13"/>
  <c r="W29" i="13"/>
  <c r="T20" i="13"/>
  <c r="Z65" i="13"/>
  <c r="Y33" i="13"/>
  <c r="U26" i="13"/>
  <c r="T49" i="13"/>
  <c r="W42" i="13"/>
  <c r="N9" i="2"/>
  <c r="V9" i="2" s="1"/>
  <c r="M56" i="2"/>
  <c r="M52" i="2"/>
  <c r="M48" i="2"/>
  <c r="M45" i="2"/>
  <c r="M41" i="2"/>
  <c r="M37" i="2"/>
  <c r="M33" i="2"/>
  <c r="M29" i="2"/>
  <c r="M25" i="2"/>
  <c r="M21" i="2"/>
  <c r="M17" i="2"/>
  <c r="M13" i="2"/>
  <c r="M9" i="2"/>
  <c r="M46" i="2"/>
  <c r="M34" i="2"/>
  <c r="M22" i="2"/>
  <c r="M10" i="2"/>
  <c r="M55" i="2"/>
  <c r="M51" i="2"/>
  <c r="M47" i="2"/>
  <c r="M44" i="2"/>
  <c r="M40" i="2"/>
  <c r="M36" i="2"/>
  <c r="M32" i="2"/>
  <c r="M28" i="2"/>
  <c r="M24" i="2"/>
  <c r="M20" i="2"/>
  <c r="M16" i="2"/>
  <c r="M12" i="2"/>
  <c r="M49" i="2"/>
  <c r="M38" i="2"/>
  <c r="M26" i="2"/>
  <c r="M14" i="2"/>
  <c r="M54" i="2"/>
  <c r="M50" i="2"/>
  <c r="M39" i="2"/>
  <c r="M35" i="2"/>
  <c r="M31" i="2"/>
  <c r="M27" i="2"/>
  <c r="M23" i="2"/>
  <c r="M19" i="2"/>
  <c r="M15" i="2"/>
  <c r="M11" i="2"/>
  <c r="M53" i="2"/>
  <c r="M42" i="2"/>
  <c r="M30" i="2"/>
  <c r="M18" i="2"/>
  <c r="L5" i="14"/>
  <c r="I6" i="14"/>
  <c r="F43" i="14"/>
  <c r="F23" i="14"/>
  <c r="E47" i="14"/>
  <c r="F22" i="14"/>
  <c r="E23" i="14"/>
  <c r="V49" i="13"/>
  <c r="U49" i="13"/>
  <c r="V52" i="13"/>
  <c r="W40" i="13"/>
  <c r="U52" i="13"/>
  <c r="T40" i="13"/>
  <c r="Y19" i="13"/>
  <c r="W61" i="13"/>
  <c r="T52" i="13"/>
  <c r="W25" i="13"/>
  <c r="T22" i="13"/>
  <c r="Y45" i="13"/>
  <c r="Y21" i="13"/>
  <c r="U10" i="13"/>
  <c r="V54" i="13"/>
  <c r="T33" i="13"/>
  <c r="AG37" i="6"/>
  <c r="AH19" i="6"/>
  <c r="AG19" i="6"/>
  <c r="AH54" i="6"/>
  <c r="AL34" i="6"/>
  <c r="H46" i="14"/>
  <c r="AH14" i="6"/>
  <c r="AF47" i="6"/>
  <c r="H35" i="14"/>
  <c r="AG24" i="6"/>
  <c r="H17" i="14"/>
  <c r="AP15" i="6"/>
  <c r="H11" i="14"/>
  <c r="AG9" i="6"/>
  <c r="H15" i="14"/>
  <c r="H48" i="14"/>
  <c r="AP44" i="6"/>
  <c r="AI31" i="6"/>
  <c r="AH24" i="6"/>
  <c r="AP42" i="6"/>
  <c r="H45" i="14"/>
  <c r="AP47" i="6"/>
  <c r="AI41" i="6"/>
  <c r="AI40" i="6"/>
  <c r="AP19" i="6"/>
  <c r="AJ49" i="6"/>
  <c r="AJ20" i="6"/>
  <c r="AF45" i="6"/>
  <c r="AG40" i="6"/>
  <c r="AI32" i="6"/>
  <c r="AG32" i="6"/>
  <c r="AJ35" i="6"/>
  <c r="AI33" i="6"/>
  <c r="AF9" i="6"/>
  <c r="E32" i="14"/>
  <c r="F49" i="14"/>
  <c r="F18" i="14"/>
  <c r="E35" i="14"/>
  <c r="K9" i="2"/>
  <c r="K13" i="2"/>
  <c r="K17" i="2"/>
  <c r="K21" i="2"/>
  <c r="K25" i="2"/>
  <c r="K29" i="2"/>
  <c r="K33" i="2"/>
  <c r="K37" i="2"/>
  <c r="K41" i="2"/>
  <c r="K45" i="2"/>
  <c r="K48" i="2"/>
  <c r="K52" i="2"/>
  <c r="K56" i="2"/>
  <c r="K46" i="2"/>
  <c r="K53" i="2"/>
  <c r="K10" i="2"/>
  <c r="K14" i="2"/>
  <c r="K18" i="2"/>
  <c r="K22" i="2"/>
  <c r="K26" i="2"/>
  <c r="K30" i="2"/>
  <c r="K34" i="2"/>
  <c r="K38" i="2"/>
  <c r="K42" i="2"/>
  <c r="K49" i="2"/>
  <c r="K23" i="2"/>
  <c r="K31" i="2"/>
  <c r="K39" i="2"/>
  <c r="K50" i="2"/>
  <c r="K16" i="2"/>
  <c r="K24" i="2"/>
  <c r="K32" i="2"/>
  <c r="K40" i="2"/>
  <c r="K47" i="2"/>
  <c r="K55" i="2"/>
  <c r="K11" i="2"/>
  <c r="K15" i="2"/>
  <c r="K19" i="2"/>
  <c r="K27" i="2"/>
  <c r="K35" i="2"/>
  <c r="K54" i="2"/>
  <c r="K12" i="2"/>
  <c r="K20" i="2"/>
  <c r="K28" i="2"/>
  <c r="K36" i="2"/>
  <c r="K44" i="2"/>
  <c r="K51" i="2"/>
  <c r="N53" i="2"/>
  <c r="N48" i="2"/>
  <c r="N45" i="2"/>
  <c r="N41" i="2"/>
  <c r="N37" i="2"/>
  <c r="N33" i="2"/>
  <c r="N29" i="2"/>
  <c r="N25" i="2"/>
  <c r="N21" i="2"/>
  <c r="N17" i="2"/>
  <c r="N13" i="2"/>
  <c r="N52" i="2"/>
  <c r="N47" i="2"/>
  <c r="N44" i="2"/>
  <c r="N40" i="2"/>
  <c r="N36" i="2"/>
  <c r="N32" i="2"/>
  <c r="N28" i="2"/>
  <c r="N24" i="2"/>
  <c r="N20" i="2"/>
  <c r="N16" i="2"/>
  <c r="N12" i="2"/>
  <c r="N55" i="2"/>
  <c r="N51" i="2"/>
  <c r="N39" i="2"/>
  <c r="N35" i="2"/>
  <c r="N31" i="2"/>
  <c r="N27" i="2"/>
  <c r="N23" i="2"/>
  <c r="N19" i="2"/>
  <c r="N15" i="2"/>
  <c r="N11" i="2"/>
  <c r="N50" i="2"/>
  <c r="N46" i="2"/>
  <c r="N42" i="2"/>
  <c r="N38" i="2"/>
  <c r="N34" i="2"/>
  <c r="N30" i="2"/>
  <c r="N26" i="2"/>
  <c r="N22" i="2"/>
  <c r="N18" i="2"/>
  <c r="N14" i="2"/>
  <c r="N10" i="2"/>
  <c r="G38" i="14"/>
  <c r="AG51" i="6"/>
  <c r="H50" i="14"/>
  <c r="AJ29" i="6"/>
  <c r="AL29" i="6"/>
  <c r="H13" i="14"/>
  <c r="AI9" i="6"/>
  <c r="AP9" i="6"/>
  <c r="AL55" i="6"/>
  <c r="AJ42" i="6"/>
  <c r="AG42" i="6"/>
  <c r="AL42" i="6"/>
  <c r="AF38" i="6"/>
  <c r="AH38" i="6"/>
  <c r="AP38" i="6"/>
  <c r="H34" i="14"/>
  <c r="AF25" i="6"/>
  <c r="AJ25" i="6"/>
  <c r="AP25" i="6"/>
  <c r="AF18" i="6"/>
  <c r="AL16" i="6"/>
  <c r="AG50" i="6"/>
  <c r="AH50" i="6"/>
  <c r="AP35" i="6"/>
  <c r="AH21" i="6"/>
  <c r="AL21" i="6"/>
  <c r="AJ12" i="6"/>
  <c r="AJ57" i="6"/>
  <c r="AF46" i="6"/>
  <c r="AG46" i="6"/>
  <c r="AF43" i="6"/>
  <c r="AF41" i="6"/>
  <c r="AI39" i="6"/>
  <c r="AG39" i="6"/>
  <c r="AF33" i="6"/>
  <c r="AI24" i="6"/>
  <c r="AP56" i="6"/>
  <c r="AG49" i="6"/>
  <c r="AJ31" i="6"/>
  <c r="AH29" i="6"/>
  <c r="H29" i="14"/>
  <c r="AF22" i="6"/>
  <c r="AI20" i="6"/>
  <c r="AI15" i="6"/>
  <c r="AF11" i="6"/>
  <c r="H33" i="14"/>
  <c r="AH47" i="6"/>
  <c r="AF53" i="6"/>
  <c r="AJ45" i="6"/>
  <c r="AJ38" i="6"/>
  <c r="AL32" i="6"/>
  <c r="H23" i="14"/>
  <c r="AI19" i="6"/>
  <c r="AK54" i="6"/>
  <c r="AH12" i="6"/>
  <c r="AI46" i="6"/>
  <c r="AK46" i="6"/>
  <c r="AK41" i="6"/>
  <c r="AL39" i="6"/>
  <c r="AK33" i="6"/>
  <c r="AK17" i="6"/>
  <c r="AI45" i="6"/>
  <c r="H42" i="14"/>
  <c r="AK36" i="6"/>
  <c r="H30" i="14"/>
  <c r="AF26" i="6"/>
  <c r="H21" i="14"/>
  <c r="AK21" i="6"/>
  <c r="AJ14" i="6"/>
  <c r="AJ43" i="6"/>
  <c r="AJ37" i="6"/>
  <c r="AP17" i="6"/>
  <c r="AP36" i="6"/>
  <c r="H36" i="14"/>
  <c r="AL50" i="6"/>
  <c r="AF10" i="6"/>
  <c r="H41" i="14"/>
  <c r="AP41" i="6"/>
  <c r="H25" i="14"/>
  <c r="AP30" i="6"/>
  <c r="AJ44" i="6"/>
  <c r="AP34" i="6"/>
  <c r="AP26" i="6"/>
  <c r="AF37" i="6"/>
  <c r="H37" i="14"/>
  <c r="AP46" i="6"/>
  <c r="AP37" i="6"/>
  <c r="H38" i="14"/>
  <c r="H26" i="14"/>
  <c r="AI55" i="6"/>
  <c r="AH55" i="6"/>
  <c r="AK53" i="6"/>
  <c r="AL53" i="6"/>
  <c r="AG45" i="6"/>
  <c r="AK45" i="6"/>
  <c r="AL45" i="6"/>
  <c r="AF42" i="6"/>
  <c r="AH42" i="6"/>
  <c r="AF40" i="6"/>
  <c r="AH40" i="6"/>
  <c r="AP40" i="6"/>
  <c r="AG38" i="6"/>
  <c r="AK38" i="6"/>
  <c r="AF36" i="6"/>
  <c r="AH36" i="6"/>
  <c r="AG34" i="6"/>
  <c r="AH34" i="6"/>
  <c r="AK34" i="6"/>
  <c r="AF32" i="6"/>
  <c r="AJ32" i="6"/>
  <c r="AK32" i="6"/>
  <c r="AG25" i="6"/>
  <c r="AL25" i="6"/>
  <c r="AH18" i="6"/>
  <c r="AL18" i="6"/>
  <c r="AK56" i="6"/>
  <c r="AL56" i="6"/>
  <c r="AI50" i="6"/>
  <c r="AF48" i="6"/>
  <c r="AH48" i="6"/>
  <c r="H47" i="14"/>
  <c r="AG35" i="6"/>
  <c r="AL35" i="6"/>
  <c r="AG30" i="6"/>
  <c r="AJ30" i="6"/>
  <c r="AF28" i="6"/>
  <c r="AK28" i="6"/>
  <c r="AK26" i="6"/>
  <c r="AG23" i="6"/>
  <c r="AH10" i="6"/>
  <c r="AH52" i="6"/>
  <c r="AL43" i="6"/>
  <c r="AG33" i="6"/>
  <c r="AF17" i="6"/>
  <c r="AH16" i="6"/>
  <c r="AF50" i="6"/>
  <c r="AP50" i="6"/>
  <c r="AG48" i="6"/>
  <c r="AF35" i="6"/>
  <c r="AL30" i="6"/>
  <c r="AG28" i="6"/>
  <c r="AJ26" i="6"/>
  <c r="AP54" i="6"/>
  <c r="H32" i="14"/>
  <c r="AP51" i="6"/>
  <c r="AP16" i="6"/>
  <c r="AF44" i="6"/>
  <c r="AH44" i="6"/>
  <c r="AK44" i="6"/>
  <c r="AK31" i="6"/>
  <c r="AI29" i="6"/>
  <c r="K59" i="6"/>
  <c r="K62" i="19" s="1"/>
  <c r="AK27" i="6"/>
  <c r="AL27" i="6"/>
  <c r="AH22" i="6"/>
  <c r="AF20" i="6"/>
  <c r="AK15" i="6"/>
  <c r="AL15" i="6"/>
  <c r="AF13" i="6"/>
  <c r="D59" i="6"/>
  <c r="D62" i="19" s="1"/>
  <c r="AK13" i="6"/>
  <c r="AG11" i="6"/>
  <c r="H59" i="6"/>
  <c r="H62" i="19" s="1"/>
  <c r="W59" i="6"/>
  <c r="W62" i="19" s="1"/>
  <c r="AG57" i="6"/>
  <c r="AI57" i="6"/>
  <c r="AL24" i="6"/>
  <c r="AF54" i="6"/>
  <c r="H16" i="14"/>
  <c r="AH51" i="6"/>
  <c r="AG21" i="6"/>
  <c r="AJ54" i="6"/>
  <c r="AL52" i="6"/>
  <c r="AL17" i="6"/>
  <c r="AJ17" i="6"/>
  <c r="AP32" i="6"/>
  <c r="H40" i="14"/>
  <c r="H28" i="14"/>
  <c r="AK51" i="6"/>
  <c r="AI44" i="6"/>
  <c r="AH20" i="6"/>
  <c r="AH9" i="6"/>
  <c r="AL9" i="6"/>
  <c r="AI34" i="6"/>
  <c r="AI18" i="6"/>
  <c r="AG56" i="6"/>
  <c r="AL23" i="6"/>
  <c r="AJ23" i="6"/>
  <c r="AK23" i="6"/>
  <c r="AJ19" i="6"/>
  <c r="AF19" i="6"/>
  <c r="H19" i="14"/>
  <c r="AL19" i="6"/>
  <c r="AK14" i="6"/>
  <c r="AL14" i="6"/>
  <c r="AF12" i="6"/>
  <c r="AG12" i="6"/>
  <c r="AL10" i="6"/>
  <c r="AF57" i="6"/>
  <c r="AK11" i="6"/>
  <c r="AP11" i="6"/>
  <c r="AL11" i="6"/>
  <c r="H31" i="14"/>
  <c r="AJ33" i="6"/>
  <c r="AJ24" i="6"/>
  <c r="AI17" i="6"/>
  <c r="AF15" i="6"/>
  <c r="H44" i="14"/>
  <c r="AF31" i="6"/>
  <c r="AF14" i="6"/>
  <c r="AG52" i="6"/>
  <c r="AJ40" i="6"/>
  <c r="AJ36" i="6"/>
  <c r="AG18" i="6"/>
  <c r="AK48" i="6"/>
  <c r="AI35" i="6"/>
  <c r="AF49" i="6"/>
  <c r="AL47" i="6"/>
  <c r="AG31" i="6"/>
  <c r="AL31" i="6"/>
  <c r="AG22" i="6"/>
  <c r="AL22" i="6"/>
  <c r="H20" i="14"/>
  <c r="AG15" i="6"/>
  <c r="AG13" i="6"/>
  <c r="AG53" i="6"/>
  <c r="AI42" i="6"/>
  <c r="AL38" i="6"/>
  <c r="AK30" i="6"/>
  <c r="AI26" i="6"/>
  <c r="AL26" i="6"/>
  <c r="AI23" i="6"/>
  <c r="AL57" i="6"/>
  <c r="AG43" i="6"/>
  <c r="AL33" i="6"/>
  <c r="AJ51" i="6"/>
  <c r="AH49" i="6"/>
  <c r="AI49" i="6"/>
  <c r="AK49" i="6"/>
  <c r="AI47" i="6"/>
  <c r="AJ47" i="6"/>
  <c r="AK47" i="6"/>
  <c r="AL44" i="6"/>
  <c r="AP31" i="6"/>
  <c r="AP29" i="6"/>
  <c r="AK29" i="6"/>
  <c r="AK22" i="6"/>
  <c r="AG20" i="6"/>
  <c r="AP13" i="6"/>
  <c r="AI13" i="6"/>
  <c r="AL13" i="6"/>
  <c r="AH11" i="6"/>
  <c r="AJ55" i="6"/>
  <c r="AK55" i="6"/>
  <c r="AH53" i="6"/>
  <c r="AI53" i="6"/>
  <c r="AJ53" i="6"/>
  <c r="AH45" i="6"/>
  <c r="AK18" i="6"/>
  <c r="AK16" i="6"/>
  <c r="AH56" i="6"/>
  <c r="AJ56" i="6"/>
  <c r="AJ50" i="6"/>
  <c r="AL48" i="6"/>
  <c r="AJ48" i="6"/>
  <c r="AH35" i="6"/>
  <c r="AF30" i="6"/>
  <c r="AL28" i="6"/>
  <c r="AJ28" i="6"/>
  <c r="AG26" i="6"/>
  <c r="AI12" i="6"/>
  <c r="AJ10" i="6"/>
  <c r="AK57" i="6"/>
  <c r="AJ46" i="6"/>
  <c r="AH43" i="6"/>
  <c r="AK43" i="6"/>
  <c r="AG41" i="6"/>
  <c r="AK39" i="6"/>
  <c r="AI37" i="6"/>
  <c r="AK37" i="6"/>
  <c r="AL37" i="6"/>
  <c r="AH33" i="6"/>
  <c r="AL51" i="6"/>
  <c r="AP49" i="6"/>
  <c r="AG29" i="6"/>
  <c r="AH27" i="6"/>
  <c r="AI27" i="6"/>
  <c r="AF55" i="6"/>
  <c r="AK25" i="6"/>
  <c r="AK50" i="6"/>
  <c r="AI14" i="6"/>
  <c r="H12" i="14"/>
  <c r="AL12" i="6"/>
  <c r="AK10" i="6"/>
  <c r="AI54" i="6"/>
  <c r="AP52" i="6"/>
  <c r="AH17" i="6"/>
  <c r="AG17" i="6"/>
  <c r="T59" i="6"/>
  <c r="T62" i="19" s="1"/>
  <c r="R59" i="6"/>
  <c r="R62" i="19" s="1"/>
  <c r="Y59" i="6"/>
  <c r="Y62" i="19" s="1"/>
  <c r="C59" i="6"/>
  <c r="C62" i="19" s="1"/>
  <c r="J59" i="6"/>
  <c r="J62" i="19" s="1"/>
  <c r="C68" i="14"/>
  <c r="C67" i="14"/>
  <c r="AP53" i="6"/>
  <c r="AF56" i="6"/>
  <c r="AH28" i="6"/>
  <c r="AJ21" i="6"/>
  <c r="AG14" i="6"/>
  <c r="AK12" i="6"/>
  <c r="S59" i="6"/>
  <c r="S62" i="19" s="1"/>
  <c r="AH57" i="6"/>
  <c r="AI43" i="6"/>
  <c r="AF39" i="6"/>
  <c r="AP10" i="6"/>
  <c r="AP18" i="6"/>
  <c r="AK19" i="6"/>
  <c r="AI52" i="6"/>
  <c r="H39" i="14"/>
  <c r="I59" i="6"/>
  <c r="I62" i="19" s="1"/>
  <c r="AP55" i="6"/>
  <c r="X59" i="6"/>
  <c r="X62" i="19" s="1"/>
  <c r="H10" i="14"/>
  <c r="H18" i="14"/>
  <c r="H52" i="14"/>
  <c r="AH46" i="6"/>
  <c r="AI21" i="6"/>
  <c r="AK52" i="6"/>
  <c r="AF51" i="6"/>
  <c r="AH31" i="6"/>
  <c r="AG27" i="6"/>
  <c r="H27" i="14"/>
  <c r="AP27" i="6"/>
  <c r="AI22" i="6"/>
  <c r="AJ22" i="6"/>
  <c r="H22" i="14"/>
  <c r="AH13" i="6"/>
  <c r="AI11" i="6"/>
  <c r="L59" i="6"/>
  <c r="L62" i="19" s="1"/>
  <c r="F59" i="6"/>
  <c r="F62" i="19" s="1"/>
  <c r="Z59" i="6"/>
  <c r="Z62" i="19" s="1"/>
  <c r="N59" i="6"/>
  <c r="N62" i="19" s="1"/>
  <c r="P59" i="6"/>
  <c r="P62" i="19" s="1"/>
  <c r="H9" i="14"/>
  <c r="U59" i="6"/>
  <c r="U62" i="19" s="1"/>
  <c r="AG54" i="6"/>
  <c r="AL54" i="6"/>
  <c r="AI16" i="6"/>
  <c r="AI56" i="6"/>
  <c r="AI48" i="6"/>
  <c r="AP23" i="6"/>
  <c r="H14" i="14"/>
  <c r="AP14" i="6"/>
  <c r="AH41" i="6"/>
  <c r="AJ41" i="6"/>
  <c r="AH39" i="6"/>
  <c r="AH37" i="6"/>
  <c r="V59" i="6"/>
  <c r="V62" i="19" s="1"/>
  <c r="AP39" i="6"/>
  <c r="Q59" i="6"/>
  <c r="Q62" i="19" s="1"/>
  <c r="H55" i="14"/>
  <c r="E59" i="6"/>
  <c r="AP57" i="6"/>
  <c r="AH30" i="6"/>
  <c r="AI28" i="6"/>
  <c r="AF29" i="6"/>
  <c r="AJ15" i="6"/>
  <c r="AJ11" i="6"/>
  <c r="O59" i="6"/>
  <c r="O62" i="19" s="1"/>
  <c r="AJ9" i="6"/>
  <c r="AI30" i="6"/>
  <c r="AH26" i="6"/>
  <c r="AF23" i="6"/>
  <c r="AP21" i="6"/>
  <c r="AF21" i="6"/>
  <c r="AG10" i="6"/>
  <c r="G59" i="6"/>
  <c r="G62" i="19" s="1"/>
  <c r="M59" i="6"/>
  <c r="M62" i="19" s="1"/>
  <c r="AI10" i="6"/>
  <c r="AI51" i="6"/>
  <c r="AL49" i="6"/>
  <c r="AG44" i="6"/>
  <c r="AJ27" i="6"/>
  <c r="AK20" i="6"/>
  <c r="AP20" i="6"/>
  <c r="AL20" i="6"/>
  <c r="AJ13" i="6"/>
  <c r="AK9" i="6"/>
  <c r="AK42" i="6"/>
  <c r="AK40" i="6"/>
  <c r="AJ18" i="6"/>
  <c r="AJ16" i="6"/>
  <c r="AK35" i="6"/>
  <c r="AJ9" i="2"/>
  <c r="AK9" i="2" s="1"/>
  <c r="AP45" i="6"/>
  <c r="AL40" i="6"/>
  <c r="AI38" i="6"/>
  <c r="AL36" i="6"/>
  <c r="AJ34" i="6"/>
  <c r="AH32" i="6"/>
  <c r="AI25" i="6"/>
  <c r="V64" i="13"/>
  <c r="W64" i="13"/>
  <c r="Y64" i="13"/>
  <c r="U64" i="13"/>
  <c r="T64" i="13"/>
  <c r="U46" i="13"/>
  <c r="T46" i="13"/>
  <c r="W46" i="13"/>
  <c r="V46" i="13"/>
  <c r="T43" i="13"/>
  <c r="U43" i="13"/>
  <c r="W43" i="13"/>
  <c r="Y43" i="13"/>
  <c r="Y37" i="13"/>
  <c r="W37" i="13"/>
  <c r="T37" i="13"/>
  <c r="U37" i="13"/>
  <c r="V37" i="13"/>
  <c r="G26" i="14"/>
  <c r="E11" i="14"/>
  <c r="E27" i="14"/>
  <c r="E43" i="14"/>
  <c r="F10" i="14"/>
  <c r="F26" i="14"/>
  <c r="F42" i="14"/>
  <c r="F53" i="14"/>
  <c r="E24" i="14"/>
  <c r="E40" i="14"/>
  <c r="E55" i="14"/>
  <c r="G53" i="14"/>
  <c r="G22" i="14"/>
  <c r="E15" i="14"/>
  <c r="E31" i="14"/>
  <c r="F14" i="14"/>
  <c r="F30" i="14"/>
  <c r="F46" i="14"/>
  <c r="E12" i="14"/>
  <c r="E28" i="14"/>
  <c r="E44" i="14"/>
  <c r="F11" i="14"/>
  <c r="F27" i="14"/>
  <c r="G42" i="14"/>
  <c r="G10" i="14"/>
  <c r="V32" i="13"/>
  <c r="W32" i="13"/>
  <c r="Y32" i="13"/>
  <c r="U32" i="13"/>
  <c r="U14" i="13"/>
  <c r="T14" i="13"/>
  <c r="W14" i="13"/>
  <c r="V14" i="13"/>
  <c r="T11" i="13"/>
  <c r="U11" i="13"/>
  <c r="W11" i="13"/>
  <c r="Y11" i="13"/>
  <c r="G65" i="13"/>
  <c r="G9" i="14"/>
  <c r="V9" i="13"/>
  <c r="U9" i="13"/>
  <c r="W60" i="13"/>
  <c r="Y60" i="13"/>
  <c r="T60" i="13"/>
  <c r="W34" i="13"/>
  <c r="V34" i="13"/>
  <c r="Y28" i="13"/>
  <c r="T28" i="13"/>
  <c r="W28" i="13"/>
  <c r="X65" i="13"/>
  <c r="Y57" i="13"/>
  <c r="V60" i="13"/>
  <c r="V28" i="13"/>
  <c r="U60" i="13"/>
  <c r="U28" i="13"/>
  <c r="T39" i="13"/>
  <c r="U62" i="13"/>
  <c r="T62" i="13"/>
  <c r="W62" i="13"/>
  <c r="U30" i="13"/>
  <c r="T30" i="13"/>
  <c r="Y53" i="13"/>
  <c r="U34" i="13"/>
  <c r="T9" i="13"/>
  <c r="W30" i="13"/>
  <c r="V57" i="13"/>
  <c r="V25" i="13"/>
  <c r="U57" i="13"/>
  <c r="U25" i="13"/>
  <c r="W9" i="13"/>
  <c r="W50" i="13"/>
  <c r="V50" i="13"/>
  <c r="W44" i="13"/>
  <c r="T44" i="13"/>
  <c r="T41" i="13"/>
  <c r="Y41" i="13"/>
  <c r="W18" i="13"/>
  <c r="V18" i="13"/>
  <c r="W12" i="13"/>
  <c r="T12" i="13"/>
  <c r="Y25" i="13"/>
  <c r="T53" i="13"/>
  <c r="T21" i="13"/>
  <c r="T10" i="13"/>
  <c r="T58" i="13"/>
  <c r="W49" i="13"/>
  <c r="T42" i="13"/>
  <c r="T26" i="13"/>
  <c r="W17" i="13"/>
  <c r="Y61" i="13"/>
  <c r="Y29" i="13"/>
  <c r="Y20" i="13"/>
  <c r="V10" i="13"/>
  <c r="V26" i="13"/>
  <c r="W22" i="13"/>
  <c r="C8" i="14"/>
  <c r="F11" i="15"/>
  <c r="G29" i="14"/>
  <c r="G25" i="14"/>
  <c r="G21" i="14"/>
  <c r="G17" i="14"/>
  <c r="G13" i="14"/>
  <c r="F54" i="14"/>
  <c r="G14" i="14"/>
  <c r="G30" i="14"/>
  <c r="G46" i="14"/>
  <c r="U38" i="13"/>
  <c r="U54" i="13"/>
  <c r="G33" i="14"/>
  <c r="G18" i="14"/>
  <c r="G34" i="14"/>
  <c r="G11" i="14"/>
  <c r="G15" i="14"/>
  <c r="G19" i="14"/>
  <c r="G23" i="14"/>
  <c r="G27" i="14"/>
  <c r="G31" i="14"/>
  <c r="G35" i="14"/>
  <c r="G39" i="14"/>
  <c r="G43" i="14"/>
  <c r="G50" i="14"/>
  <c r="G12" i="14"/>
  <c r="G16" i="14"/>
  <c r="G20" i="14"/>
  <c r="G24" i="14"/>
  <c r="G28" i="14"/>
  <c r="G32" i="14"/>
  <c r="G36" i="14"/>
  <c r="G40" i="14"/>
  <c r="G44" i="14"/>
  <c r="G47" i="14"/>
  <c r="G51" i="14"/>
  <c r="G55" i="14"/>
  <c r="G37" i="14"/>
  <c r="G41" i="14"/>
  <c r="G45" i="14"/>
  <c r="G48" i="14"/>
  <c r="G52" i="14"/>
  <c r="U63" i="19" l="1"/>
  <c r="E60" i="6"/>
  <c r="E62" i="19"/>
  <c r="AE62" i="19" s="1"/>
  <c r="E8" i="14"/>
  <c r="M58" i="2"/>
  <c r="H56" i="14"/>
  <c r="H54" i="14"/>
  <c r="H49" i="14"/>
  <c r="V10" i="2"/>
  <c r="AH10" i="2" s="1"/>
  <c r="V26" i="2"/>
  <c r="V42" i="2"/>
  <c r="AH42" i="2" s="1"/>
  <c r="V11" i="2"/>
  <c r="AH11" i="2" s="1"/>
  <c r="V27" i="2"/>
  <c r="AH27" i="2" s="1"/>
  <c r="V12" i="2"/>
  <c r="AH12" i="2" s="1"/>
  <c r="V28" i="2"/>
  <c r="AH28" i="2" s="1"/>
  <c r="V44" i="2"/>
  <c r="AH44" i="2" s="1"/>
  <c r="V13" i="2"/>
  <c r="AH13" i="2" s="1"/>
  <c r="V29" i="2"/>
  <c r="AH29" i="2" s="1"/>
  <c r="V45" i="2"/>
  <c r="AH45" i="2" s="1"/>
  <c r="V14" i="2"/>
  <c r="AH14" i="2" s="1"/>
  <c r="V30" i="2"/>
  <c r="AH30" i="2" s="1"/>
  <c r="V46" i="2"/>
  <c r="AH46" i="2" s="1"/>
  <c r="V15" i="2"/>
  <c r="AH15" i="2" s="1"/>
  <c r="V31" i="2"/>
  <c r="AH31" i="2" s="1"/>
  <c r="V16" i="2"/>
  <c r="AH16" i="2" s="1"/>
  <c r="V32" i="2"/>
  <c r="AH32" i="2" s="1"/>
  <c r="V47" i="2"/>
  <c r="AH47" i="2" s="1"/>
  <c r="V17" i="2"/>
  <c r="AH17" i="2" s="1"/>
  <c r="V33" i="2"/>
  <c r="V48" i="2"/>
  <c r="AH48" i="2" s="1"/>
  <c r="V18" i="2"/>
  <c r="AH18" i="2" s="1"/>
  <c r="V34" i="2"/>
  <c r="AH34" i="2" s="1"/>
  <c r="V50" i="2"/>
  <c r="AH50" i="2" s="1"/>
  <c r="V19" i="2"/>
  <c r="AH19" i="2" s="1"/>
  <c r="V35" i="2"/>
  <c r="AH35" i="2" s="1"/>
  <c r="V51" i="2"/>
  <c r="AH51" i="2" s="1"/>
  <c r="V20" i="2"/>
  <c r="AH20" i="2" s="1"/>
  <c r="V36" i="2"/>
  <c r="AH36" i="2" s="1"/>
  <c r="V52" i="2"/>
  <c r="V21" i="2"/>
  <c r="AH21" i="2" s="1"/>
  <c r="V37" i="2"/>
  <c r="AH37" i="2" s="1"/>
  <c r="V53" i="2"/>
  <c r="AH53" i="2" s="1"/>
  <c r="V22" i="2"/>
  <c r="AH22" i="2" s="1"/>
  <c r="V38" i="2"/>
  <c r="AH38" i="2" s="1"/>
  <c r="V23" i="2"/>
  <c r="AH23" i="2" s="1"/>
  <c r="V39" i="2"/>
  <c r="AH39" i="2" s="1"/>
  <c r="V55" i="2"/>
  <c r="AH55" i="2" s="1"/>
  <c r="V24" i="2"/>
  <c r="AH24" i="2" s="1"/>
  <c r="V40" i="2"/>
  <c r="AH40" i="2" s="1"/>
  <c r="V25" i="2"/>
  <c r="AH25" i="2" s="1"/>
  <c r="V41" i="2"/>
  <c r="AH41" i="2" s="1"/>
  <c r="L24" i="2"/>
  <c r="L26" i="2"/>
  <c r="N56" i="2"/>
  <c r="L29" i="2"/>
  <c r="AM33" i="6"/>
  <c r="AM55" i="6"/>
  <c r="L38" i="2"/>
  <c r="O38" i="2"/>
  <c r="P38" i="2" s="1"/>
  <c r="AM52" i="6"/>
  <c r="Z60" i="6"/>
  <c r="L42" i="2"/>
  <c r="AM24" i="6"/>
  <c r="C69" i="14"/>
  <c r="L33" i="2"/>
  <c r="L17" i="2"/>
  <c r="L36" i="2"/>
  <c r="L35" i="2"/>
  <c r="L51" i="2"/>
  <c r="L25" i="2"/>
  <c r="AM36" i="6"/>
  <c r="AM35" i="6"/>
  <c r="AM42" i="6"/>
  <c r="L28" i="2"/>
  <c r="AM39" i="6"/>
  <c r="AM46" i="6"/>
  <c r="L32" i="2"/>
  <c r="L19" i="2"/>
  <c r="AM41" i="6"/>
  <c r="L40" i="2"/>
  <c r="L53" i="2"/>
  <c r="L45" i="2"/>
  <c r="AM29" i="6"/>
  <c r="AM44" i="6"/>
  <c r="L10" i="2"/>
  <c r="AM45" i="6"/>
  <c r="O32" i="2"/>
  <c r="P32" i="2" s="1"/>
  <c r="AM32" i="6"/>
  <c r="AM38" i="6"/>
  <c r="AM51" i="6"/>
  <c r="AM34" i="6"/>
  <c r="AM21" i="6"/>
  <c r="N49" i="2"/>
  <c r="AM47" i="6"/>
  <c r="L44" i="2"/>
  <c r="AM23" i="6"/>
  <c r="L34" i="2"/>
  <c r="L15" i="2"/>
  <c r="K43" i="14"/>
  <c r="M43" i="14" s="1"/>
  <c r="AM25" i="6"/>
  <c r="AM18" i="6"/>
  <c r="L22" i="2"/>
  <c r="L47" i="2"/>
  <c r="L31" i="2"/>
  <c r="AM50" i="6"/>
  <c r="AM19" i="6"/>
  <c r="AM12" i="6"/>
  <c r="AL59" i="6"/>
  <c r="AM22" i="6"/>
  <c r="AM31" i="6"/>
  <c r="AM57" i="6"/>
  <c r="AM14" i="6"/>
  <c r="AM15" i="6"/>
  <c r="AM16" i="6"/>
  <c r="O44" i="2"/>
  <c r="P44" i="2" s="1"/>
  <c r="AM49" i="6"/>
  <c r="AM26" i="6"/>
  <c r="AM30" i="6"/>
  <c r="AM37" i="6"/>
  <c r="AM48" i="6"/>
  <c r="AM56" i="6"/>
  <c r="AM11" i="6"/>
  <c r="AM43" i="6"/>
  <c r="O46" i="2"/>
  <c r="P46" i="2" s="1"/>
  <c r="AI59" i="6"/>
  <c r="L46" i="2"/>
  <c r="AM17" i="6"/>
  <c r="AM53" i="6"/>
  <c r="O14" i="2"/>
  <c r="P14" i="2" s="1"/>
  <c r="O28" i="2"/>
  <c r="T28" i="2" s="1"/>
  <c r="L9" i="2"/>
  <c r="L27" i="2"/>
  <c r="O50" i="2"/>
  <c r="P50" i="2" s="1"/>
  <c r="O20" i="2"/>
  <c r="P20" i="2" s="1"/>
  <c r="O40" i="2"/>
  <c r="P40" i="2" s="1"/>
  <c r="O47" i="2"/>
  <c r="T47" i="2" s="1"/>
  <c r="L20" i="2"/>
  <c r="L23" i="2"/>
  <c r="O55" i="2"/>
  <c r="P55" i="2" s="1"/>
  <c r="O51" i="2"/>
  <c r="P51" i="2" s="1"/>
  <c r="O48" i="2"/>
  <c r="P48" i="2" s="1"/>
  <c r="AJ10" i="2"/>
  <c r="AK10" i="2" s="1"/>
  <c r="AP59" i="6"/>
  <c r="AE59" i="6"/>
  <c r="U60" i="6"/>
  <c r="O18" i="2"/>
  <c r="T18" i="2" s="1"/>
  <c r="O29" i="2"/>
  <c r="P29" i="2" s="1"/>
  <c r="W65" i="13"/>
  <c r="AE65" i="13" s="1"/>
  <c r="V65" i="13"/>
  <c r="T65" i="13"/>
  <c r="AA65" i="13" s="1"/>
  <c r="Y65" i="13"/>
  <c r="U65" i="13"/>
  <c r="J66" i="13"/>
  <c r="O42" i="2"/>
  <c r="P42" i="2" s="1"/>
  <c r="O22" i="2"/>
  <c r="T22" i="2" s="1"/>
  <c r="L52" i="2"/>
  <c r="AK59" i="6"/>
  <c r="L56" i="2"/>
  <c r="AM9" i="6"/>
  <c r="AJ59" i="6"/>
  <c r="L18" i="2"/>
  <c r="L30" i="2"/>
  <c r="O13" i="2"/>
  <c r="P13" i="2" s="1"/>
  <c r="L13" i="2"/>
  <c r="G49" i="14"/>
  <c r="C60" i="6"/>
  <c r="O11" i="2"/>
  <c r="P11" i="2" s="1"/>
  <c r="O25" i="2"/>
  <c r="P25" i="2" s="1"/>
  <c r="L21" i="2"/>
  <c r="AM28" i="6"/>
  <c r="L12" i="2"/>
  <c r="O37" i="2"/>
  <c r="P37" i="2" s="1"/>
  <c r="O12" i="2"/>
  <c r="P12" i="2" s="1"/>
  <c r="O33" i="2"/>
  <c r="P33" i="2" s="1"/>
  <c r="O17" i="2"/>
  <c r="P17" i="2" s="1"/>
  <c r="AM20" i="6"/>
  <c r="Q60" i="6"/>
  <c r="AC59" i="6"/>
  <c r="AD59" i="6"/>
  <c r="L37" i="2"/>
  <c r="AH59" i="6"/>
  <c r="AM13" i="6"/>
  <c r="L50" i="2"/>
  <c r="L16" i="2"/>
  <c r="AA59" i="6"/>
  <c r="AF59" i="6"/>
  <c r="L54" i="2"/>
  <c r="Y60" i="6"/>
  <c r="O23" i="2"/>
  <c r="P23" i="2" s="1"/>
  <c r="H60" i="6"/>
  <c r="D60" i="6"/>
  <c r="O34" i="2"/>
  <c r="P34" i="2" s="1"/>
  <c r="L41" i="2"/>
  <c r="L11" i="2"/>
  <c r="L55" i="2"/>
  <c r="O45" i="2"/>
  <c r="P45" i="2" s="1"/>
  <c r="O27" i="2"/>
  <c r="P27" i="2" s="1"/>
  <c r="O24" i="2"/>
  <c r="P24" i="2" s="1"/>
  <c r="O52" i="2"/>
  <c r="T52" i="2" s="1"/>
  <c r="O31" i="2"/>
  <c r="P31" i="2" s="1"/>
  <c r="O15" i="2"/>
  <c r="P15" i="2" s="1"/>
  <c r="O21" i="2"/>
  <c r="T21" i="2" s="1"/>
  <c r="AM40" i="6"/>
  <c r="L48" i="2"/>
  <c r="AG59" i="6"/>
  <c r="AM10" i="6"/>
  <c r="AM54" i="6"/>
  <c r="N60" i="6"/>
  <c r="AM27" i="6"/>
  <c r="L49" i="2"/>
  <c r="X60" i="6"/>
  <c r="AB59" i="6"/>
  <c r="L14" i="2"/>
  <c r="K60" i="6"/>
  <c r="L39" i="2"/>
  <c r="O36" i="2"/>
  <c r="P36" i="2" s="1"/>
  <c r="O10" i="2"/>
  <c r="P10" i="2" s="1"/>
  <c r="O16" i="2"/>
  <c r="P16" i="2" s="1"/>
  <c r="H63" i="19" l="1"/>
  <c r="D63" i="19"/>
  <c r="AC62" i="19"/>
  <c r="Q63" i="19"/>
  <c r="X63" i="19"/>
  <c r="K63" i="19"/>
  <c r="Z63" i="19"/>
  <c r="C63" i="19"/>
  <c r="E63" i="19" s="1"/>
  <c r="AA62" i="19"/>
  <c r="AB62" i="19"/>
  <c r="N63" i="19"/>
  <c r="AD62" i="19"/>
  <c r="AC63" i="19" s="1"/>
  <c r="Y63" i="19"/>
  <c r="AH65" i="13"/>
  <c r="AC65" i="13"/>
  <c r="G54" i="14"/>
  <c r="N54" i="2"/>
  <c r="V54" i="2" s="1"/>
  <c r="AH54" i="2" s="1"/>
  <c r="T46" i="2"/>
  <c r="T51" i="2"/>
  <c r="T25" i="2"/>
  <c r="T34" i="2"/>
  <c r="T32" i="2"/>
  <c r="T44" i="2"/>
  <c r="T27" i="2"/>
  <c r="T10" i="2"/>
  <c r="AI10" i="2" s="1"/>
  <c r="T40" i="2"/>
  <c r="T23" i="2"/>
  <c r="T33" i="2"/>
  <c r="T14" i="2"/>
  <c r="T16" i="2"/>
  <c r="T45" i="2"/>
  <c r="T11" i="2"/>
  <c r="T15" i="2"/>
  <c r="AI15" i="2" s="1"/>
  <c r="T24" i="2"/>
  <c r="T36" i="2"/>
  <c r="T48" i="2"/>
  <c r="T31" i="2"/>
  <c r="T13" i="2"/>
  <c r="AI13" i="2" s="1"/>
  <c r="T29" i="2"/>
  <c r="T12" i="2"/>
  <c r="T42" i="2"/>
  <c r="T55" i="2"/>
  <c r="T38" i="2"/>
  <c r="AI38" i="2" s="1"/>
  <c r="T37" i="2"/>
  <c r="T20" i="2"/>
  <c r="AI20" i="2" s="1"/>
  <c r="T50" i="2"/>
  <c r="T17" i="2"/>
  <c r="V49" i="2"/>
  <c r="AH49" i="2" s="1"/>
  <c r="I11" i="15"/>
  <c r="G56" i="14"/>
  <c r="O56" i="2"/>
  <c r="P56" i="2" s="1"/>
  <c r="V56" i="2"/>
  <c r="AH56" i="2" s="1"/>
  <c r="G8" i="2"/>
  <c r="K11" i="15"/>
  <c r="J8" i="14" s="1"/>
  <c r="L11" i="15"/>
  <c r="AL10" i="2"/>
  <c r="P47" i="2"/>
  <c r="P21" i="2"/>
  <c r="AM21" i="2" s="1"/>
  <c r="P52" i="2"/>
  <c r="P22" i="2"/>
  <c r="P18" i="2"/>
  <c r="P28" i="2"/>
  <c r="AM44" i="2"/>
  <c r="AM27" i="2"/>
  <c r="Y10" i="2"/>
  <c r="AM33" i="2"/>
  <c r="AM51" i="2"/>
  <c r="O39" i="2"/>
  <c r="T39" i="2" s="1"/>
  <c r="AM55" i="2"/>
  <c r="AM32" i="2"/>
  <c r="O9" i="2"/>
  <c r="AM17" i="2"/>
  <c r="AM12" i="2"/>
  <c r="AM48" i="2"/>
  <c r="AM15" i="2"/>
  <c r="AH9" i="2"/>
  <c r="AL9" i="2" s="1"/>
  <c r="Y9" i="2"/>
  <c r="AM13" i="2"/>
  <c r="AM24" i="2"/>
  <c r="AH52" i="2"/>
  <c r="AC60" i="6"/>
  <c r="AH33" i="2"/>
  <c r="O35" i="2"/>
  <c r="T35" i="2" s="1"/>
  <c r="O19" i="2"/>
  <c r="T19" i="2" s="1"/>
  <c r="AB60" i="6"/>
  <c r="O41" i="2"/>
  <c r="T41" i="2" s="1"/>
  <c r="O53" i="2"/>
  <c r="T53" i="2" s="1"/>
  <c r="O30" i="2"/>
  <c r="T30" i="2" s="1"/>
  <c r="AB65" i="13"/>
  <c r="AI65" i="13" s="1"/>
  <c r="AG65" i="13"/>
  <c r="AD65" i="13"/>
  <c r="AK65" i="13" s="1"/>
  <c r="AJ11" i="2"/>
  <c r="AK11" i="2" s="1"/>
  <c r="AL11" i="2" s="1"/>
  <c r="Y11" i="2"/>
  <c r="AM25" i="2"/>
  <c r="AH26" i="2"/>
  <c r="O26" i="2"/>
  <c r="T26" i="2" s="1"/>
  <c r="AM59" i="6"/>
  <c r="AM42" i="2"/>
  <c r="AF65" i="13"/>
  <c r="AI50" i="2"/>
  <c r="AM50" i="2"/>
  <c r="AM20" i="2"/>
  <c r="AM16" i="2"/>
  <c r="AI36" i="2"/>
  <c r="AM36" i="2"/>
  <c r="AM10" i="2"/>
  <c r="AM14" i="2"/>
  <c r="AM38" i="2"/>
  <c r="AM40" i="2"/>
  <c r="AM37" i="2"/>
  <c r="AM46" i="2"/>
  <c r="AB63" i="19" l="1"/>
  <c r="T9" i="2"/>
  <c r="P9" i="2"/>
  <c r="O54" i="2"/>
  <c r="T54" i="2" s="1"/>
  <c r="AL65" i="13"/>
  <c r="AJ65" i="13"/>
  <c r="AI37" i="2"/>
  <c r="AI42" i="2"/>
  <c r="AI16" i="2"/>
  <c r="AI48" i="2"/>
  <c r="AI40" i="2"/>
  <c r="AI25" i="2"/>
  <c r="AI14" i="2"/>
  <c r="T56" i="2"/>
  <c r="AI32" i="2"/>
  <c r="AI12" i="2"/>
  <c r="AI44" i="2"/>
  <c r="AI51" i="2"/>
  <c r="AI55" i="2"/>
  <c r="AI46" i="2"/>
  <c r="AI18" i="2"/>
  <c r="G8" i="14"/>
  <c r="N58" i="2"/>
  <c r="P53" i="2"/>
  <c r="P35" i="2"/>
  <c r="AM35" i="2" s="1"/>
  <c r="P39" i="2"/>
  <c r="AM39" i="2" s="1"/>
  <c r="P26" i="2"/>
  <c r="AI26" i="2"/>
  <c r="P30" i="2"/>
  <c r="AM30" i="2" s="1"/>
  <c r="P41" i="2"/>
  <c r="AM41" i="2" s="1"/>
  <c r="P19" i="2"/>
  <c r="AM56" i="2"/>
  <c r="M11" i="15"/>
  <c r="AI22" i="2"/>
  <c r="AM22" i="2"/>
  <c r="AM18" i="2"/>
  <c r="AI52" i="2"/>
  <c r="AM52" i="2"/>
  <c r="AI28" i="2"/>
  <c r="AM28" i="2"/>
  <c r="AM47" i="2"/>
  <c r="AM23" i="2"/>
  <c r="AI17" i="2"/>
  <c r="AI19" i="2"/>
  <c r="AM34" i="2"/>
  <c r="AI34" i="2"/>
  <c r="O49" i="2"/>
  <c r="T49" i="2" s="1"/>
  <c r="AM11" i="2"/>
  <c r="AI11" i="2"/>
  <c r="AM29" i="2"/>
  <c r="AJ12" i="2"/>
  <c r="AK12" i="2" s="1"/>
  <c r="AL12" i="2" s="1"/>
  <c r="Y12" i="2"/>
  <c r="AI45" i="2"/>
  <c r="AM45" i="2"/>
  <c r="AM31" i="2"/>
  <c r="P54" i="2" l="1"/>
  <c r="AI56" i="2"/>
  <c r="AM53" i="2"/>
  <c r="AI33" i="2"/>
  <c r="AI54" i="2"/>
  <c r="AI23" i="2"/>
  <c r="AI39" i="2"/>
  <c r="AI24" i="2"/>
  <c r="AI21" i="2"/>
  <c r="AM19" i="2"/>
  <c r="AM54" i="2"/>
  <c r="AM26" i="2"/>
  <c r="P49" i="2"/>
  <c r="AM49" i="2" s="1"/>
  <c r="AJ13" i="2"/>
  <c r="AK13" i="2" s="1"/>
  <c r="AL13" i="2" s="1"/>
  <c r="Y13" i="2"/>
  <c r="AI41" i="2" l="1"/>
  <c r="AI35" i="2"/>
  <c r="AI30" i="2"/>
  <c r="AJ14" i="2"/>
  <c r="AK14" i="2" s="1"/>
  <c r="AL14" i="2" s="1"/>
  <c r="Y14" i="2"/>
  <c r="AM9" i="2"/>
  <c r="AI49" i="2" l="1"/>
  <c r="AJ50" i="2"/>
  <c r="AK50" i="2" s="1"/>
  <c r="AL50" i="2" s="1"/>
  <c r="Y50" i="2"/>
  <c r="AJ15" i="2" l="1"/>
  <c r="AK15" i="2" s="1"/>
  <c r="AL15" i="2" s="1"/>
  <c r="Y15" i="2"/>
  <c r="AJ16" i="2" l="1"/>
  <c r="AK16" i="2" s="1"/>
  <c r="AL16" i="2" s="1"/>
  <c r="Y16" i="2"/>
  <c r="AJ17" i="2" l="1"/>
  <c r="AK17" i="2" s="1"/>
  <c r="AL17" i="2" s="1"/>
  <c r="Y17" i="2"/>
  <c r="AJ18" i="2" l="1"/>
  <c r="AK18" i="2" s="1"/>
  <c r="AL18" i="2" s="1"/>
  <c r="Y18" i="2"/>
  <c r="AJ19" i="2" l="1"/>
  <c r="AK19" i="2" s="1"/>
  <c r="AL19" i="2" s="1"/>
  <c r="Y19" i="2"/>
  <c r="AJ20" i="2" l="1"/>
  <c r="AK20" i="2" s="1"/>
  <c r="AL20" i="2" s="1"/>
  <c r="Y20" i="2"/>
  <c r="AJ21" i="2" l="1"/>
  <c r="AK21" i="2" s="1"/>
  <c r="AL21" i="2" s="1"/>
  <c r="Y21" i="2"/>
  <c r="AJ22" i="2" l="1"/>
  <c r="AK22" i="2" s="1"/>
  <c r="AL22" i="2" s="1"/>
  <c r="Y22" i="2"/>
  <c r="AJ23" i="2" l="1"/>
  <c r="AK23" i="2" s="1"/>
  <c r="AL23" i="2" s="1"/>
  <c r="Y23" i="2"/>
  <c r="AJ24" i="2" l="1"/>
  <c r="AK24" i="2" s="1"/>
  <c r="AL24" i="2" s="1"/>
  <c r="Y24" i="2"/>
  <c r="AJ25" i="2" l="1"/>
  <c r="AK25" i="2" s="1"/>
  <c r="AL25" i="2" s="1"/>
  <c r="Y25" i="2"/>
  <c r="AJ26" i="2" l="1"/>
  <c r="AK26" i="2" s="1"/>
  <c r="AL26" i="2" s="1"/>
  <c r="Y26" i="2"/>
  <c r="AJ27" i="2" l="1"/>
  <c r="AK27" i="2" s="1"/>
  <c r="AL27" i="2" s="1"/>
  <c r="Y27" i="2"/>
  <c r="AJ28" i="2" l="1"/>
  <c r="AK28" i="2" s="1"/>
  <c r="AL28" i="2" s="1"/>
  <c r="Y28" i="2"/>
  <c r="AJ29" i="2" l="1"/>
  <c r="AK29" i="2" s="1"/>
  <c r="AL29" i="2" s="1"/>
  <c r="Y29" i="2"/>
  <c r="AJ30" i="2" l="1"/>
  <c r="AK30" i="2" s="1"/>
  <c r="AL30" i="2" s="1"/>
  <c r="Y30" i="2"/>
  <c r="AJ31" i="2" l="1"/>
  <c r="AK31" i="2" s="1"/>
  <c r="AL31" i="2" s="1"/>
  <c r="Y31" i="2"/>
  <c r="AJ32" i="2" l="1"/>
  <c r="AK32" i="2" s="1"/>
  <c r="AL32" i="2" s="1"/>
  <c r="Y32" i="2"/>
  <c r="AJ33" i="2" l="1"/>
  <c r="AK33" i="2" s="1"/>
  <c r="AL33" i="2" s="1"/>
  <c r="Y33" i="2"/>
  <c r="AJ34" i="2" l="1"/>
  <c r="AK34" i="2" s="1"/>
  <c r="AL34" i="2" s="1"/>
  <c r="Y34" i="2"/>
  <c r="AJ35" i="2" l="1"/>
  <c r="AK35" i="2" s="1"/>
  <c r="AL35" i="2" s="1"/>
  <c r="Y35" i="2"/>
  <c r="AJ36" i="2" l="1"/>
  <c r="AK36" i="2" s="1"/>
  <c r="AL36" i="2" s="1"/>
  <c r="Y36" i="2"/>
  <c r="AJ37" i="2" l="1"/>
  <c r="AK37" i="2" s="1"/>
  <c r="AL37" i="2" s="1"/>
  <c r="Y37" i="2"/>
  <c r="AJ38" i="2" l="1"/>
  <c r="AK38" i="2" s="1"/>
  <c r="AL38" i="2" s="1"/>
  <c r="Y38" i="2"/>
  <c r="AJ39" i="2" l="1"/>
  <c r="AK39" i="2" s="1"/>
  <c r="AL39" i="2" s="1"/>
  <c r="Y39" i="2"/>
  <c r="AJ40" i="2" l="1"/>
  <c r="AK40" i="2" s="1"/>
  <c r="AL40" i="2" s="1"/>
  <c r="Y40" i="2"/>
  <c r="AJ41" i="2" l="1"/>
  <c r="AK41" i="2" s="1"/>
  <c r="AL41" i="2" s="1"/>
  <c r="Y41" i="2"/>
  <c r="AJ42" i="2" l="1"/>
  <c r="AK42" i="2" s="1"/>
  <c r="AL42" i="2" s="1"/>
  <c r="Y42" i="2"/>
  <c r="AJ44" i="2" l="1"/>
  <c r="AK44" i="2" s="1"/>
  <c r="AL44" i="2" s="1"/>
  <c r="Y44" i="2"/>
  <c r="AJ45" i="2" l="1"/>
  <c r="AK45" i="2" s="1"/>
  <c r="AL45" i="2" s="1"/>
  <c r="Y45" i="2"/>
  <c r="E45" i="4" l="1"/>
  <c r="K45" i="4"/>
  <c r="AJ46" i="2"/>
  <c r="AK46" i="2" s="1"/>
  <c r="AL46" i="2" s="1"/>
  <c r="Y46" i="2"/>
  <c r="L45" i="4" l="1"/>
  <c r="M45" i="4" s="1"/>
  <c r="N45" i="4" s="1"/>
  <c r="O45" i="4" s="1"/>
  <c r="F45" i="4"/>
  <c r="AJ49" i="2"/>
  <c r="AK49" i="2" s="1"/>
  <c r="AL49" i="2" s="1"/>
  <c r="Y49" i="2"/>
  <c r="G45" i="4" l="1"/>
  <c r="R45" i="4"/>
  <c r="H45" i="4"/>
  <c r="I45" i="4" s="1"/>
  <c r="Q45" i="4"/>
  <c r="AJ47" i="2" l="1"/>
  <c r="AK47" i="2" s="1"/>
  <c r="AL47" i="2" s="1"/>
  <c r="Y47" i="2"/>
  <c r="Y48" i="2" l="1"/>
  <c r="AJ48" i="2"/>
  <c r="AK48" i="2" s="1"/>
  <c r="AL48" i="2" s="1"/>
  <c r="AJ51" i="2" l="1"/>
  <c r="AK51" i="2" s="1"/>
  <c r="AL51" i="2" s="1"/>
  <c r="Y51" i="2"/>
  <c r="AJ52" i="2" l="1"/>
  <c r="AK52" i="2" s="1"/>
  <c r="AL52" i="2" s="1"/>
  <c r="Y52" i="2"/>
  <c r="Y53" i="2" l="1"/>
  <c r="AJ53" i="2"/>
  <c r="AK53" i="2" s="1"/>
  <c r="AL53" i="2" s="1"/>
  <c r="AJ54" i="2" l="1"/>
  <c r="AK54" i="2" s="1"/>
  <c r="AL54" i="2" s="1"/>
  <c r="Y54" i="2"/>
  <c r="AJ55" i="2"/>
  <c r="AK55" i="2" s="1"/>
  <c r="AL55" i="2" s="1"/>
  <c r="Y55" i="2"/>
  <c r="AJ56" i="2" l="1"/>
  <c r="AK56" i="2" s="1"/>
  <c r="AL56" i="2" s="1"/>
  <c r="Y56" i="2"/>
  <c r="D55" i="14" l="1"/>
  <c r="D52" i="14" l="1"/>
  <c r="D46" i="14"/>
  <c r="D50" i="14"/>
  <c r="D54" i="14"/>
  <c r="D49" i="14"/>
  <c r="D45" i="14"/>
  <c r="D53" i="14"/>
  <c r="D68" i="14"/>
  <c r="I68" i="14" s="1"/>
  <c r="K55" i="14"/>
  <c r="M55" i="14" s="1"/>
  <c r="E55" i="2" s="1"/>
  <c r="Q55" i="2" s="1"/>
  <c r="S55" i="2" s="1"/>
  <c r="I55" i="14"/>
  <c r="D47" i="14"/>
  <c r="D48" i="14"/>
  <c r="D51" i="14"/>
  <c r="D56" i="14"/>
  <c r="I53" i="14" l="1"/>
  <c r="K53" i="14"/>
  <c r="M53" i="14" s="1"/>
  <c r="E53" i="2" s="1"/>
  <c r="Q53" i="2" s="1"/>
  <c r="S53" i="2" s="1"/>
  <c r="I49" i="14"/>
  <c r="K49" i="14"/>
  <c r="M49" i="14" s="1"/>
  <c r="E49" i="2" s="1"/>
  <c r="Q49" i="2" s="1"/>
  <c r="S49" i="2" s="1"/>
  <c r="I50" i="14"/>
  <c r="K50" i="14"/>
  <c r="M50" i="14" s="1"/>
  <c r="E50" i="2" s="1"/>
  <c r="Q50" i="2" s="1"/>
  <c r="S50" i="2" s="1"/>
  <c r="I46" i="14"/>
  <c r="K46" i="14"/>
  <c r="M46" i="14" s="1"/>
  <c r="E46" i="2" s="1"/>
  <c r="Q46" i="2" s="1"/>
  <c r="S46" i="2" s="1"/>
  <c r="D44" i="14"/>
  <c r="I56" i="14"/>
  <c r="K56" i="14"/>
  <c r="M56" i="14" s="1"/>
  <c r="E56" i="2" s="1"/>
  <c r="Q56" i="2" s="1"/>
  <c r="S56" i="2" s="1"/>
  <c r="I48" i="14"/>
  <c r="K48" i="14"/>
  <c r="M48" i="14" s="1"/>
  <c r="E48" i="2" s="1"/>
  <c r="Q48" i="2" s="1"/>
  <c r="S48" i="2" s="1"/>
  <c r="AN55" i="2"/>
  <c r="AQ55" i="2" s="1"/>
  <c r="U55" i="2"/>
  <c r="W55" i="2" s="1"/>
  <c r="Z55" i="2"/>
  <c r="AA55" i="2" s="1"/>
  <c r="I45" i="14"/>
  <c r="K45" i="14"/>
  <c r="M45" i="14" s="1"/>
  <c r="E45" i="2" s="1"/>
  <c r="Q45" i="2" s="1"/>
  <c r="S45" i="2" s="1"/>
  <c r="I54" i="14"/>
  <c r="K54" i="14"/>
  <c r="M54" i="14" s="1"/>
  <c r="E54" i="2" s="1"/>
  <c r="Q54" i="2" s="1"/>
  <c r="S54" i="2" s="1"/>
  <c r="I52" i="14"/>
  <c r="K52" i="14"/>
  <c r="M52" i="14" s="1"/>
  <c r="E52" i="2" s="1"/>
  <c r="Q52" i="2" s="1"/>
  <c r="S52" i="2" s="1"/>
  <c r="I51" i="14"/>
  <c r="K51" i="14"/>
  <c r="M51" i="14" s="1"/>
  <c r="E51" i="2" s="1"/>
  <c r="Q51" i="2" s="1"/>
  <c r="S51" i="2" s="1"/>
  <c r="K47" i="14"/>
  <c r="M47" i="14" s="1"/>
  <c r="E47" i="2" s="1"/>
  <c r="Q47" i="2" s="1"/>
  <c r="S47" i="2" s="1"/>
  <c r="I47" i="14"/>
  <c r="AI47" i="2" l="1"/>
  <c r="AN47" i="2"/>
  <c r="AQ47" i="2" s="1"/>
  <c r="U47" i="2"/>
  <c r="W47" i="2" s="1"/>
  <c r="Z47" i="2"/>
  <c r="AA47" i="2" s="1"/>
  <c r="U56" i="2"/>
  <c r="W56" i="2" s="1"/>
  <c r="AN56" i="2"/>
  <c r="AQ56" i="2" s="1"/>
  <c r="Z56" i="2"/>
  <c r="AA56" i="2" s="1"/>
  <c r="AN46" i="2"/>
  <c r="AQ46" i="2" s="1"/>
  <c r="U46" i="2"/>
  <c r="W46" i="2" s="1"/>
  <c r="Z46" i="2"/>
  <c r="AA46" i="2" s="1"/>
  <c r="AN49" i="2"/>
  <c r="AQ49" i="2" s="1"/>
  <c r="U49" i="2"/>
  <c r="W49" i="2" s="1"/>
  <c r="Z49" i="2"/>
  <c r="AA49" i="2" s="1"/>
  <c r="U51" i="2"/>
  <c r="W51" i="2" s="1"/>
  <c r="AN51" i="2"/>
  <c r="AQ51" i="2" s="1"/>
  <c r="Z51" i="2"/>
  <c r="AA51" i="2" s="1"/>
  <c r="AN45" i="2"/>
  <c r="AQ45" i="2" s="1"/>
  <c r="U45" i="2"/>
  <c r="W45" i="2" s="1"/>
  <c r="Z45" i="2"/>
  <c r="AA45" i="2" s="1"/>
  <c r="AN48" i="2"/>
  <c r="AQ48" i="2" s="1"/>
  <c r="U48" i="2"/>
  <c r="W48" i="2" s="1"/>
  <c r="Z48" i="2"/>
  <c r="AA48" i="2" s="1"/>
  <c r="K44" i="14"/>
  <c r="M44" i="14" s="1"/>
  <c r="E44" i="2" s="1"/>
  <c r="Q44" i="2" s="1"/>
  <c r="S44" i="2" s="1"/>
  <c r="I44" i="14"/>
  <c r="U50" i="2"/>
  <c r="W50" i="2" s="1"/>
  <c r="AN50" i="2"/>
  <c r="AQ50" i="2" s="1"/>
  <c r="Z50" i="2"/>
  <c r="AA50" i="2" s="1"/>
  <c r="AI53" i="2"/>
  <c r="U53" i="2"/>
  <c r="W53" i="2" s="1"/>
  <c r="AN53" i="2"/>
  <c r="AQ53" i="2" s="1"/>
  <c r="Z53" i="2"/>
  <c r="AA53" i="2" s="1"/>
  <c r="AN52" i="2"/>
  <c r="AQ52" i="2" s="1"/>
  <c r="U52" i="2"/>
  <c r="W52" i="2" s="1"/>
  <c r="Z52" i="2"/>
  <c r="AA52" i="2" s="1"/>
  <c r="AN54" i="2"/>
  <c r="AQ54" i="2" s="1"/>
  <c r="U54" i="2"/>
  <c r="W54" i="2" s="1"/>
  <c r="Z54" i="2"/>
  <c r="AA54" i="2" s="1"/>
  <c r="AO55" i="2"/>
  <c r="AR55" i="2" s="1"/>
  <c r="AB55" i="2"/>
  <c r="AC55" i="2" s="1"/>
  <c r="D32" i="14"/>
  <c r="D13" i="14"/>
  <c r="D24" i="14"/>
  <c r="D34" i="14"/>
  <c r="D38" i="14"/>
  <c r="D41" i="14"/>
  <c r="D40" i="14"/>
  <c r="D18" i="14"/>
  <c r="D35" i="14"/>
  <c r="D33" i="14"/>
  <c r="D42" i="14"/>
  <c r="D16" i="14"/>
  <c r="D29" i="14"/>
  <c r="D28" i="14"/>
  <c r="D20" i="14"/>
  <c r="D11" i="14"/>
  <c r="D36" i="14"/>
  <c r="D14" i="14"/>
  <c r="D39" i="14"/>
  <c r="D37" i="14"/>
  <c r="D21" i="14"/>
  <c r="D12" i="14"/>
  <c r="D26" i="14"/>
  <c r="D15" i="14"/>
  <c r="D22" i="14"/>
  <c r="D30" i="14"/>
  <c r="D19" i="14"/>
  <c r="D27" i="14"/>
  <c r="D10" i="14"/>
  <c r="D17" i="14"/>
  <c r="D23" i="14"/>
  <c r="AB54" i="2" l="1"/>
  <c r="AC54" i="2" s="1"/>
  <c r="AO54" i="2"/>
  <c r="AR54" i="2" s="1"/>
  <c r="AO51" i="2"/>
  <c r="AR51" i="2" s="1"/>
  <c r="AB51" i="2"/>
  <c r="AC51" i="2" s="1"/>
  <c r="AB47" i="2"/>
  <c r="AC47" i="2" s="1"/>
  <c r="AO47" i="2"/>
  <c r="AR47" i="2" s="1"/>
  <c r="AB56" i="2"/>
  <c r="AC56" i="2" s="1"/>
  <c r="AO56" i="2"/>
  <c r="AR56" i="2" s="1"/>
  <c r="AD55" i="2"/>
  <c r="K57" i="4" s="1"/>
  <c r="L57" i="4" s="1"/>
  <c r="M57" i="4" s="1"/>
  <c r="N57" i="4" s="1"/>
  <c r="O57" i="4" s="1"/>
  <c r="AO53" i="2"/>
  <c r="AR53" i="2" s="1"/>
  <c r="AB53" i="2"/>
  <c r="AC53" i="2" s="1"/>
  <c r="AO50" i="2"/>
  <c r="AR50" i="2" s="1"/>
  <c r="AB50" i="2"/>
  <c r="AC50" i="2" s="1"/>
  <c r="AN44" i="2"/>
  <c r="AQ44" i="2" s="1"/>
  <c r="U44" i="2"/>
  <c r="W44" i="2" s="1"/>
  <c r="Z44" i="2"/>
  <c r="AA44" i="2" s="1"/>
  <c r="AO45" i="2"/>
  <c r="AR45" i="2" s="1"/>
  <c r="AB45" i="2"/>
  <c r="AC45" i="2" s="1"/>
  <c r="AB46" i="2"/>
  <c r="AC46" i="2" s="1"/>
  <c r="AO46" i="2"/>
  <c r="AR46" i="2" s="1"/>
  <c r="AO52" i="2"/>
  <c r="AR52" i="2" s="1"/>
  <c r="AB52" i="2"/>
  <c r="AC52" i="2" s="1"/>
  <c r="AB48" i="2"/>
  <c r="AC48" i="2" s="1"/>
  <c r="AO48" i="2"/>
  <c r="AR48" i="2" s="1"/>
  <c r="AB49" i="2"/>
  <c r="AC49" i="2" s="1"/>
  <c r="AO49" i="2"/>
  <c r="AR49" i="2" s="1"/>
  <c r="I23" i="14"/>
  <c r="K23" i="14"/>
  <c r="M23" i="14" s="1"/>
  <c r="E23" i="2" s="1"/>
  <c r="Q23" i="2" s="1"/>
  <c r="S23" i="2" s="1"/>
  <c r="I27" i="14"/>
  <c r="K27" i="14"/>
  <c r="M27" i="14" s="1"/>
  <c r="E27" i="2" s="1"/>
  <c r="Q27" i="2" s="1"/>
  <c r="S27" i="2" s="1"/>
  <c r="I30" i="14"/>
  <c r="K30" i="14"/>
  <c r="M30" i="14" s="1"/>
  <c r="E30" i="2" s="1"/>
  <c r="Q30" i="2" s="1"/>
  <c r="S30" i="2" s="1"/>
  <c r="I26" i="14"/>
  <c r="K26" i="14"/>
  <c r="M26" i="14" s="1"/>
  <c r="E26" i="2" s="1"/>
  <c r="Q26" i="2" s="1"/>
  <c r="S26" i="2" s="1"/>
  <c r="I39" i="14"/>
  <c r="K39" i="14"/>
  <c r="M39" i="14" s="1"/>
  <c r="E39" i="2" s="1"/>
  <c r="Q39" i="2" s="1"/>
  <c r="S39" i="2" s="1"/>
  <c r="I29" i="14"/>
  <c r="K29" i="14"/>
  <c r="M29" i="14" s="1"/>
  <c r="E29" i="2" s="1"/>
  <c r="Q29" i="2" s="1"/>
  <c r="S29" i="2" s="1"/>
  <c r="I35" i="14"/>
  <c r="K35" i="14"/>
  <c r="M35" i="14" s="1"/>
  <c r="E35" i="2" s="1"/>
  <c r="Q35" i="2" s="1"/>
  <c r="S35" i="2" s="1"/>
  <c r="K15" i="14"/>
  <c r="M15" i="14" s="1"/>
  <c r="E15" i="2" s="1"/>
  <c r="Q15" i="2" s="1"/>
  <c r="S15" i="2" s="1"/>
  <c r="I15" i="14"/>
  <c r="K12" i="14"/>
  <c r="M12" i="14" s="1"/>
  <c r="E12" i="2" s="1"/>
  <c r="Q12" i="2" s="1"/>
  <c r="S12" i="2" s="1"/>
  <c r="D67" i="14"/>
  <c r="I12" i="14"/>
  <c r="I14" i="14"/>
  <c r="K14" i="14"/>
  <c r="M14" i="14" s="1"/>
  <c r="E14" i="2" s="1"/>
  <c r="Q14" i="2" s="1"/>
  <c r="S14" i="2" s="1"/>
  <c r="I36" i="14"/>
  <c r="K36" i="14"/>
  <c r="M36" i="14" s="1"/>
  <c r="E36" i="2" s="1"/>
  <c r="Q36" i="2" s="1"/>
  <c r="S36" i="2" s="1"/>
  <c r="I11" i="14"/>
  <c r="K11" i="14"/>
  <c r="M11" i="14" s="1"/>
  <c r="E11" i="2" s="1"/>
  <c r="Q11" i="2" s="1"/>
  <c r="S11" i="2" s="1"/>
  <c r="I16" i="14"/>
  <c r="K16" i="14"/>
  <c r="M16" i="14" s="1"/>
  <c r="E16" i="2" s="1"/>
  <c r="Q16" i="2" s="1"/>
  <c r="S16" i="2" s="1"/>
  <c r="I40" i="14"/>
  <c r="K40" i="14"/>
  <c r="M40" i="14" s="1"/>
  <c r="E40" i="2" s="1"/>
  <c r="Q40" i="2" s="1"/>
  <c r="S40" i="2" s="1"/>
  <c r="I13" i="14"/>
  <c r="K13" i="14"/>
  <c r="M13" i="14" s="1"/>
  <c r="E13" i="2" s="1"/>
  <c r="Q13" i="2" s="1"/>
  <c r="S13" i="2" s="1"/>
  <c r="K32" i="14"/>
  <c r="M32" i="14" s="1"/>
  <c r="E32" i="2" s="1"/>
  <c r="Q32" i="2" s="1"/>
  <c r="S32" i="2" s="1"/>
  <c r="I32" i="14"/>
  <c r="I17" i="14"/>
  <c r="K17" i="14"/>
  <c r="M17" i="14" s="1"/>
  <c r="E17" i="2" s="1"/>
  <c r="Q17" i="2" s="1"/>
  <c r="S17" i="2" s="1"/>
  <c r="I19" i="14"/>
  <c r="K19" i="14"/>
  <c r="M19" i="14" s="1"/>
  <c r="E19" i="2" s="1"/>
  <c r="Q19" i="2" s="1"/>
  <c r="S19" i="2" s="1"/>
  <c r="I22" i="14"/>
  <c r="K22" i="14"/>
  <c r="M22" i="14" s="1"/>
  <c r="E22" i="2" s="1"/>
  <c r="Q22" i="2" s="1"/>
  <c r="S22" i="2" s="1"/>
  <c r="I37" i="14"/>
  <c r="K37" i="14"/>
  <c r="M37" i="14" s="1"/>
  <c r="E37" i="2" s="1"/>
  <c r="Q37" i="2" s="1"/>
  <c r="S37" i="2" s="1"/>
  <c r="I20" i="14"/>
  <c r="K20" i="14"/>
  <c r="M20" i="14" s="1"/>
  <c r="E20" i="2" s="1"/>
  <c r="Q20" i="2" s="1"/>
  <c r="S20" i="2" s="1"/>
  <c r="I33" i="14"/>
  <c r="K33" i="14"/>
  <c r="M33" i="14" s="1"/>
  <c r="E33" i="2" s="1"/>
  <c r="Q33" i="2" s="1"/>
  <c r="S33" i="2" s="1"/>
  <c r="I10" i="14"/>
  <c r="K10" i="14"/>
  <c r="M10" i="14" s="1"/>
  <c r="E10" i="2" s="1"/>
  <c r="Q10" i="2" s="1"/>
  <c r="S10" i="2" s="1"/>
  <c r="I21" i="14"/>
  <c r="K21" i="14"/>
  <c r="M21" i="14" s="1"/>
  <c r="E21" i="2" s="1"/>
  <c r="Q21" i="2" s="1"/>
  <c r="S21" i="2" s="1"/>
  <c r="I28" i="14"/>
  <c r="K28" i="14"/>
  <c r="M28" i="14" s="1"/>
  <c r="E28" i="2" s="1"/>
  <c r="Q28" i="2" s="1"/>
  <c r="S28" i="2" s="1"/>
  <c r="I42" i="14"/>
  <c r="K42" i="14"/>
  <c r="M42" i="14" s="1"/>
  <c r="E42" i="2" s="1"/>
  <c r="Q42" i="2" s="1"/>
  <c r="S42" i="2" s="1"/>
  <c r="K18" i="14"/>
  <c r="M18" i="14" s="1"/>
  <c r="E18" i="2" s="1"/>
  <c r="Q18" i="2" s="1"/>
  <c r="S18" i="2" s="1"/>
  <c r="I18" i="14"/>
  <c r="I41" i="14"/>
  <c r="K41" i="14"/>
  <c r="M41" i="14" s="1"/>
  <c r="E41" i="2" s="1"/>
  <c r="Q41" i="2" s="1"/>
  <c r="S41" i="2" s="1"/>
  <c r="I38" i="14"/>
  <c r="K38" i="14"/>
  <c r="M38" i="14" s="1"/>
  <c r="E38" i="2" s="1"/>
  <c r="Q38" i="2" s="1"/>
  <c r="S38" i="2" s="1"/>
  <c r="I34" i="14"/>
  <c r="K34" i="14"/>
  <c r="M34" i="14" s="1"/>
  <c r="E34" i="2" s="1"/>
  <c r="Q34" i="2" s="1"/>
  <c r="S34" i="2" s="1"/>
  <c r="I24" i="14"/>
  <c r="K24" i="14"/>
  <c r="M24" i="14" s="1"/>
  <c r="E24" i="2" s="1"/>
  <c r="Q24" i="2" s="1"/>
  <c r="S24" i="2" s="1"/>
  <c r="D31" i="14"/>
  <c r="D25" i="14"/>
  <c r="AE55" i="2" l="1"/>
  <c r="E57" i="4" s="1"/>
  <c r="F57" i="4" s="1"/>
  <c r="AD49" i="2"/>
  <c r="K51" i="4" s="1"/>
  <c r="L51" i="4" s="1"/>
  <c r="M51" i="4" s="1"/>
  <c r="N51" i="4" s="1"/>
  <c r="O51" i="4" s="1"/>
  <c r="AD50" i="2"/>
  <c r="K52" i="4" s="1"/>
  <c r="AD51" i="2"/>
  <c r="K53" i="4" s="1"/>
  <c r="L53" i="4" s="1"/>
  <c r="M53" i="4" s="1"/>
  <c r="N53" i="4" s="1"/>
  <c r="O53" i="4" s="1"/>
  <c r="AO44" i="2"/>
  <c r="AR44" i="2" s="1"/>
  <c r="AB44" i="2"/>
  <c r="AC44" i="2" s="1"/>
  <c r="AD48" i="2"/>
  <c r="K50" i="4" s="1"/>
  <c r="L50" i="4" s="1"/>
  <c r="M50" i="4" s="1"/>
  <c r="N50" i="4" s="1"/>
  <c r="O50" i="4" s="1"/>
  <c r="AD46" i="2"/>
  <c r="K48" i="4" s="1"/>
  <c r="L48" i="4" s="1"/>
  <c r="M48" i="4" s="1"/>
  <c r="N48" i="4" s="1"/>
  <c r="O48" i="4" s="1"/>
  <c r="AD53" i="2"/>
  <c r="K55" i="4" s="1"/>
  <c r="L55" i="4" s="1"/>
  <c r="M55" i="4" s="1"/>
  <c r="N55" i="4" s="1"/>
  <c r="O55" i="4" s="1"/>
  <c r="AD52" i="2"/>
  <c r="K54" i="4" s="1"/>
  <c r="L54" i="4" s="1"/>
  <c r="M54" i="4" s="1"/>
  <c r="N54" i="4" s="1"/>
  <c r="O54" i="4" s="1"/>
  <c r="AD45" i="2"/>
  <c r="K47" i="4" s="1"/>
  <c r="L47" i="4" s="1"/>
  <c r="M47" i="4" s="1"/>
  <c r="N47" i="4" s="1"/>
  <c r="O47" i="4" s="1"/>
  <c r="AD56" i="2"/>
  <c r="K58" i="4" s="1"/>
  <c r="AD47" i="2"/>
  <c r="K49" i="4" s="1"/>
  <c r="L49" i="4" s="1"/>
  <c r="M49" i="4" s="1"/>
  <c r="N49" i="4" s="1"/>
  <c r="O49" i="4" s="1"/>
  <c r="AD54" i="2"/>
  <c r="K56" i="4" s="1"/>
  <c r="L56" i="4" s="1"/>
  <c r="M56" i="4" s="1"/>
  <c r="N56" i="4" s="1"/>
  <c r="O56" i="4" s="1"/>
  <c r="AN32" i="2"/>
  <c r="AQ32" i="2" s="1"/>
  <c r="U32" i="2"/>
  <c r="W32" i="2" s="1"/>
  <c r="Z32" i="2"/>
  <c r="AA32" i="2" s="1"/>
  <c r="AI29" i="2"/>
  <c r="AN29" i="2"/>
  <c r="AQ29" i="2" s="1"/>
  <c r="U29" i="2"/>
  <c r="W29" i="2" s="1"/>
  <c r="Z29" i="2"/>
  <c r="AA29" i="2" s="1"/>
  <c r="AN26" i="2"/>
  <c r="AQ26" i="2" s="1"/>
  <c r="U26" i="2"/>
  <c r="W26" i="2" s="1"/>
  <c r="Z26" i="2"/>
  <c r="AA26" i="2" s="1"/>
  <c r="AI27" i="2"/>
  <c r="AN27" i="2"/>
  <c r="AQ27" i="2" s="1"/>
  <c r="U27" i="2"/>
  <c r="W27" i="2" s="1"/>
  <c r="Z27" i="2"/>
  <c r="AA27" i="2" s="1"/>
  <c r="I31" i="14"/>
  <c r="K31" i="14"/>
  <c r="M31" i="14" s="1"/>
  <c r="E31" i="2" s="1"/>
  <c r="Q31" i="2" s="1"/>
  <c r="S31" i="2" s="1"/>
  <c r="U24" i="2"/>
  <c r="W24" i="2" s="1"/>
  <c r="AN24" i="2"/>
  <c r="AQ24" i="2" s="1"/>
  <c r="Z24" i="2"/>
  <c r="AA24" i="2" s="1"/>
  <c r="AN38" i="2"/>
  <c r="AQ38" i="2" s="1"/>
  <c r="U38" i="2"/>
  <c r="W38" i="2" s="1"/>
  <c r="Z38" i="2"/>
  <c r="AA38" i="2" s="1"/>
  <c r="AN28" i="2"/>
  <c r="AQ28" i="2" s="1"/>
  <c r="U28" i="2"/>
  <c r="W28" i="2" s="1"/>
  <c r="Z28" i="2"/>
  <c r="AA28" i="2" s="1"/>
  <c r="U10" i="2"/>
  <c r="W10" i="2" s="1"/>
  <c r="AN10" i="2"/>
  <c r="AQ10" i="2" s="1"/>
  <c r="Z10" i="2"/>
  <c r="AA10" i="2" s="1"/>
  <c r="U20" i="2"/>
  <c r="W20" i="2" s="1"/>
  <c r="AN20" i="2"/>
  <c r="AQ20" i="2" s="1"/>
  <c r="Z20" i="2"/>
  <c r="AA20" i="2" s="1"/>
  <c r="U22" i="2"/>
  <c r="W22" i="2" s="1"/>
  <c r="AN22" i="2"/>
  <c r="AQ22" i="2" s="1"/>
  <c r="Z22" i="2"/>
  <c r="AA22" i="2" s="1"/>
  <c r="AN17" i="2"/>
  <c r="AQ17" i="2" s="1"/>
  <c r="U17" i="2"/>
  <c r="W17" i="2" s="1"/>
  <c r="Z17" i="2"/>
  <c r="AA17" i="2" s="1"/>
  <c r="U13" i="2"/>
  <c r="W13" i="2" s="1"/>
  <c r="AN13" i="2"/>
  <c r="AQ13" i="2" s="1"/>
  <c r="Z13" i="2"/>
  <c r="AA13" i="2" s="1"/>
  <c r="U16" i="2"/>
  <c r="W16" i="2" s="1"/>
  <c r="AN16" i="2"/>
  <c r="AQ16" i="2" s="1"/>
  <c r="Z16" i="2"/>
  <c r="AA16" i="2" s="1"/>
  <c r="AN36" i="2"/>
  <c r="AQ36" i="2" s="1"/>
  <c r="U36" i="2"/>
  <c r="W36" i="2" s="1"/>
  <c r="Z36" i="2"/>
  <c r="AA36" i="2" s="1"/>
  <c r="U15" i="2"/>
  <c r="W15" i="2" s="1"/>
  <c r="AN15" i="2"/>
  <c r="AQ15" i="2" s="1"/>
  <c r="Z15" i="2"/>
  <c r="AA15" i="2" s="1"/>
  <c r="I25" i="14"/>
  <c r="K25" i="14"/>
  <c r="M25" i="14" s="1"/>
  <c r="E25" i="2" s="1"/>
  <c r="Q25" i="2" s="1"/>
  <c r="S25" i="2" s="1"/>
  <c r="AN18" i="2"/>
  <c r="AQ18" i="2" s="1"/>
  <c r="U18" i="2"/>
  <c r="W18" i="2" s="1"/>
  <c r="Z18" i="2"/>
  <c r="AA18" i="2" s="1"/>
  <c r="I67" i="14"/>
  <c r="D69" i="14"/>
  <c r="I69" i="14" s="1"/>
  <c r="AN35" i="2"/>
  <c r="AQ35" i="2" s="1"/>
  <c r="U35" i="2"/>
  <c r="W35" i="2" s="1"/>
  <c r="Z35" i="2"/>
  <c r="AA35" i="2" s="1"/>
  <c r="U39" i="2"/>
  <c r="W39" i="2" s="1"/>
  <c r="AN39" i="2"/>
  <c r="AQ39" i="2" s="1"/>
  <c r="Z39" i="2"/>
  <c r="AA39" i="2" s="1"/>
  <c r="AN30" i="2"/>
  <c r="AQ30" i="2" s="1"/>
  <c r="U30" i="2"/>
  <c r="W30" i="2" s="1"/>
  <c r="Z30" i="2"/>
  <c r="AA30" i="2" s="1"/>
  <c r="AN23" i="2"/>
  <c r="AQ23" i="2" s="1"/>
  <c r="U23" i="2"/>
  <c r="W23" i="2" s="1"/>
  <c r="Z23" i="2"/>
  <c r="AA23" i="2" s="1"/>
  <c r="U34" i="2"/>
  <c r="W34" i="2" s="1"/>
  <c r="AN34" i="2"/>
  <c r="AQ34" i="2" s="1"/>
  <c r="Z34" i="2"/>
  <c r="AA34" i="2" s="1"/>
  <c r="AN41" i="2"/>
  <c r="AQ41" i="2" s="1"/>
  <c r="U41" i="2"/>
  <c r="W41" i="2" s="1"/>
  <c r="Z41" i="2"/>
  <c r="AA41" i="2" s="1"/>
  <c r="AN42" i="2"/>
  <c r="AQ42" i="2" s="1"/>
  <c r="U42" i="2"/>
  <c r="W42" i="2" s="1"/>
  <c r="Z42" i="2"/>
  <c r="AA42" i="2" s="1"/>
  <c r="AN21" i="2"/>
  <c r="AQ21" i="2" s="1"/>
  <c r="U21" i="2"/>
  <c r="W21" i="2" s="1"/>
  <c r="Z21" i="2"/>
  <c r="AA21" i="2" s="1"/>
  <c r="AN33" i="2"/>
  <c r="AQ33" i="2" s="1"/>
  <c r="U33" i="2"/>
  <c r="W33" i="2" s="1"/>
  <c r="Z33" i="2"/>
  <c r="AA33" i="2" s="1"/>
  <c r="AN37" i="2"/>
  <c r="AQ37" i="2" s="1"/>
  <c r="U37" i="2"/>
  <c r="W37" i="2" s="1"/>
  <c r="Z37" i="2"/>
  <c r="AA37" i="2" s="1"/>
  <c r="U19" i="2"/>
  <c r="W19" i="2" s="1"/>
  <c r="AN19" i="2"/>
  <c r="AQ19" i="2" s="1"/>
  <c r="Z19" i="2"/>
  <c r="AA19" i="2" s="1"/>
  <c r="AN40" i="2"/>
  <c r="AQ40" i="2" s="1"/>
  <c r="U40" i="2"/>
  <c r="W40" i="2" s="1"/>
  <c r="Z40" i="2"/>
  <c r="AA40" i="2" s="1"/>
  <c r="Z11" i="2"/>
  <c r="AA11" i="2" s="1"/>
  <c r="U11" i="2"/>
  <c r="W11" i="2" s="1"/>
  <c r="AN11" i="2"/>
  <c r="AQ11" i="2" s="1"/>
  <c r="U14" i="2"/>
  <c r="W14" i="2" s="1"/>
  <c r="AN14" i="2"/>
  <c r="AQ14" i="2" s="1"/>
  <c r="Z14" i="2"/>
  <c r="AA14" i="2" s="1"/>
  <c r="AN12" i="2"/>
  <c r="AQ12" i="2" s="1"/>
  <c r="Z12" i="2"/>
  <c r="AA12" i="2" s="1"/>
  <c r="U12" i="2"/>
  <c r="W12" i="2" s="1"/>
  <c r="G57" i="4" l="1"/>
  <c r="Q57" i="4" s="1"/>
  <c r="R57" i="4"/>
  <c r="AE50" i="2"/>
  <c r="E52" i="4" s="1"/>
  <c r="F52" i="4" s="1"/>
  <c r="AE54" i="2"/>
  <c r="E56" i="4" s="1"/>
  <c r="F56" i="4" s="1"/>
  <c r="AE49" i="2"/>
  <c r="E51" i="4" s="1"/>
  <c r="F51" i="4" s="1"/>
  <c r="AE56" i="2"/>
  <c r="E58" i="4" s="1"/>
  <c r="F58" i="4" s="1"/>
  <c r="AE46" i="2"/>
  <c r="E48" i="4" s="1"/>
  <c r="F48" i="4" s="1"/>
  <c r="AE52" i="2"/>
  <c r="E54" i="4" s="1"/>
  <c r="F54" i="4" s="1"/>
  <c r="AD44" i="2"/>
  <c r="K46" i="4" s="1"/>
  <c r="L46" i="4" s="1"/>
  <c r="M46" i="4" s="1"/>
  <c r="N46" i="4" s="1"/>
  <c r="O46" i="4" s="1"/>
  <c r="L58" i="4"/>
  <c r="M58" i="4" s="1"/>
  <c r="N58" i="4" s="1"/>
  <c r="O58" i="4" s="1"/>
  <c r="L52" i="4"/>
  <c r="M52" i="4" s="1"/>
  <c r="AE47" i="2"/>
  <c r="E49" i="4" s="1"/>
  <c r="F49" i="4" s="1"/>
  <c r="AE45" i="2"/>
  <c r="E47" i="4" s="1"/>
  <c r="F47" i="4" s="1"/>
  <c r="AE53" i="2"/>
  <c r="E55" i="4" s="1"/>
  <c r="F55" i="4" s="1"/>
  <c r="AE48" i="2"/>
  <c r="E50" i="4" s="1"/>
  <c r="F50" i="4" s="1"/>
  <c r="AE51" i="2"/>
  <c r="E53" i="4" s="1"/>
  <c r="F53" i="4" s="1"/>
  <c r="AB12" i="2"/>
  <c r="AC12" i="2" s="1"/>
  <c r="AD12" i="2" s="1"/>
  <c r="AO12" i="2"/>
  <c r="AR12" i="2" s="1"/>
  <c r="AO40" i="2"/>
  <c r="AR40" i="2" s="1"/>
  <c r="AB40" i="2"/>
  <c r="AC40" i="2" s="1"/>
  <c r="AO21" i="2"/>
  <c r="AR21" i="2" s="1"/>
  <c r="AB21" i="2"/>
  <c r="AC21" i="2" s="1"/>
  <c r="AB23" i="2"/>
  <c r="AC23" i="2" s="1"/>
  <c r="AO23" i="2"/>
  <c r="AR23" i="2" s="1"/>
  <c r="AO13" i="2"/>
  <c r="AR13" i="2" s="1"/>
  <c r="AB13" i="2"/>
  <c r="AC13" i="2" s="1"/>
  <c r="AB10" i="2"/>
  <c r="AC10" i="2" s="1"/>
  <c r="AO10" i="2"/>
  <c r="AR10" i="2" s="1"/>
  <c r="AI31" i="2"/>
  <c r="U31" i="2"/>
  <c r="W31" i="2" s="1"/>
  <c r="AN31" i="2"/>
  <c r="AQ31" i="2" s="1"/>
  <c r="Z31" i="2"/>
  <c r="AA31" i="2" s="1"/>
  <c r="AO33" i="2"/>
  <c r="AR33" i="2" s="1"/>
  <c r="AB33" i="2"/>
  <c r="AC33" i="2" s="1"/>
  <c r="AO34" i="2"/>
  <c r="AR34" i="2" s="1"/>
  <c r="AB34" i="2"/>
  <c r="AC34" i="2" s="1"/>
  <c r="AB35" i="2"/>
  <c r="AC35" i="2" s="1"/>
  <c r="AO35" i="2"/>
  <c r="AR35" i="2" s="1"/>
  <c r="AN25" i="2"/>
  <c r="AQ25" i="2" s="1"/>
  <c r="U25" i="2"/>
  <c r="W25" i="2" s="1"/>
  <c r="Z25" i="2"/>
  <c r="AA25" i="2" s="1"/>
  <c r="AB16" i="2"/>
  <c r="AC16" i="2" s="1"/>
  <c r="AO16" i="2"/>
  <c r="AR16" i="2" s="1"/>
  <c r="AO20" i="2"/>
  <c r="AR20" i="2" s="1"/>
  <c r="AB20" i="2"/>
  <c r="AC20" i="2" s="1"/>
  <c r="AO24" i="2"/>
  <c r="AR24" i="2" s="1"/>
  <c r="AB24" i="2"/>
  <c r="AC24" i="2" s="1"/>
  <c r="AO29" i="2"/>
  <c r="AR29" i="2" s="1"/>
  <c r="AB29" i="2"/>
  <c r="AC29" i="2" s="1"/>
  <c r="AO32" i="2"/>
  <c r="AR32" i="2" s="1"/>
  <c r="AB32" i="2"/>
  <c r="AC32" i="2" s="1"/>
  <c r="AO14" i="2"/>
  <c r="AR14" i="2" s="1"/>
  <c r="AB14" i="2"/>
  <c r="AC14" i="2" s="1"/>
  <c r="AO37" i="2"/>
  <c r="AR37" i="2" s="1"/>
  <c r="AB37" i="2"/>
  <c r="AC37" i="2" s="1"/>
  <c r="AO41" i="2"/>
  <c r="AR41" i="2" s="1"/>
  <c r="AB41" i="2"/>
  <c r="AC41" i="2" s="1"/>
  <c r="AO39" i="2"/>
  <c r="AR39" i="2" s="1"/>
  <c r="AB39" i="2"/>
  <c r="AC39" i="2" s="1"/>
  <c r="AB18" i="2"/>
  <c r="AC18" i="2" s="1"/>
  <c r="AO18" i="2"/>
  <c r="AR18" i="2" s="1"/>
  <c r="AB36" i="2"/>
  <c r="AC36" i="2" s="1"/>
  <c r="AO36" i="2"/>
  <c r="AR36" i="2" s="1"/>
  <c r="AO22" i="2"/>
  <c r="AR22" i="2" s="1"/>
  <c r="AB22" i="2"/>
  <c r="AC22" i="2" s="1"/>
  <c r="AO38" i="2"/>
  <c r="AR38" i="2" s="1"/>
  <c r="AB38" i="2"/>
  <c r="AC38" i="2" s="1"/>
  <c r="AB27" i="2"/>
  <c r="AC27" i="2" s="1"/>
  <c r="AO27" i="2"/>
  <c r="AR27" i="2" s="1"/>
  <c r="AB26" i="2"/>
  <c r="AC26" i="2" s="1"/>
  <c r="AO26" i="2"/>
  <c r="AR26" i="2" s="1"/>
  <c r="AB11" i="2"/>
  <c r="AC11" i="2" s="1"/>
  <c r="AO11" i="2"/>
  <c r="AR11" i="2" s="1"/>
  <c r="AO19" i="2"/>
  <c r="AR19" i="2" s="1"/>
  <c r="AB19" i="2"/>
  <c r="AC19" i="2" s="1"/>
  <c r="AO42" i="2"/>
  <c r="AR42" i="2" s="1"/>
  <c r="AB42" i="2"/>
  <c r="AC42" i="2" s="1"/>
  <c r="AB30" i="2"/>
  <c r="AC30" i="2" s="1"/>
  <c r="AO30" i="2"/>
  <c r="AR30" i="2" s="1"/>
  <c r="AO15" i="2"/>
  <c r="AR15" i="2" s="1"/>
  <c r="AB15" i="2"/>
  <c r="AC15" i="2" s="1"/>
  <c r="AB17" i="2"/>
  <c r="AC17" i="2" s="1"/>
  <c r="AO17" i="2"/>
  <c r="AR17" i="2" s="1"/>
  <c r="AO28" i="2"/>
  <c r="AR28" i="2" s="1"/>
  <c r="AB28" i="2"/>
  <c r="AC28" i="2" s="1"/>
  <c r="H57" i="4" l="1"/>
  <c r="I57" i="4" s="1"/>
  <c r="G55" i="4"/>
  <c r="Q55" i="4" s="1"/>
  <c r="R55" i="4"/>
  <c r="G58" i="4"/>
  <c r="Q58" i="4" s="1"/>
  <c r="R58" i="4"/>
  <c r="G52" i="4"/>
  <c r="H52" i="4" s="1"/>
  <c r="I52" i="4" s="1"/>
  <c r="R52" i="4"/>
  <c r="G47" i="4"/>
  <c r="H47" i="4" s="1"/>
  <c r="I47" i="4" s="1"/>
  <c r="R47" i="4"/>
  <c r="G51" i="4"/>
  <c r="Q51" i="4" s="1"/>
  <c r="R51" i="4"/>
  <c r="G53" i="4"/>
  <c r="H53" i="4" s="1"/>
  <c r="I53" i="4" s="1"/>
  <c r="R53" i="4"/>
  <c r="G49" i="4"/>
  <c r="H49" i="4" s="1"/>
  <c r="I49" i="4" s="1"/>
  <c r="R49" i="4"/>
  <c r="G54" i="4"/>
  <c r="H54" i="4" s="1"/>
  <c r="I54" i="4" s="1"/>
  <c r="R54" i="4"/>
  <c r="G50" i="4"/>
  <c r="H50" i="4" s="1"/>
  <c r="I50" i="4" s="1"/>
  <c r="R50" i="4"/>
  <c r="G48" i="4"/>
  <c r="Q48" i="4" s="1"/>
  <c r="R48" i="4"/>
  <c r="G56" i="4"/>
  <c r="H56" i="4" s="1"/>
  <c r="I56" i="4" s="1"/>
  <c r="R56" i="4"/>
  <c r="N52" i="4"/>
  <c r="O52" i="4" s="1"/>
  <c r="AE44" i="2"/>
  <c r="E46" i="4" s="1"/>
  <c r="F46" i="4" s="1"/>
  <c r="AD11" i="2"/>
  <c r="K13" i="4" s="1"/>
  <c r="L13" i="4" s="1"/>
  <c r="M13" i="4" s="1"/>
  <c r="N13" i="4" s="1"/>
  <c r="O13" i="4" s="1"/>
  <c r="AD27" i="2"/>
  <c r="K29" i="4" s="1"/>
  <c r="L29" i="4" s="1"/>
  <c r="M29" i="4" s="1"/>
  <c r="N29" i="4" s="1"/>
  <c r="O29" i="4" s="1"/>
  <c r="AD18" i="2"/>
  <c r="K20" i="4" s="1"/>
  <c r="L20" i="4" s="1"/>
  <c r="M20" i="4" s="1"/>
  <c r="N20" i="4" s="1"/>
  <c r="O20" i="4" s="1"/>
  <c r="AD34" i="2"/>
  <c r="K36" i="4" s="1"/>
  <c r="L36" i="4" s="1"/>
  <c r="M36" i="4" s="1"/>
  <c r="N36" i="4" s="1"/>
  <c r="O36" i="4" s="1"/>
  <c r="AO31" i="2"/>
  <c r="AR31" i="2" s="1"/>
  <c r="AB31" i="2"/>
  <c r="AC31" i="2" s="1"/>
  <c r="AD40" i="2"/>
  <c r="K42" i="4" s="1"/>
  <c r="L42" i="4" s="1"/>
  <c r="M42" i="4" s="1"/>
  <c r="N42" i="4" s="1"/>
  <c r="O42" i="4" s="1"/>
  <c r="AD19" i="2"/>
  <c r="K21" i="4" s="1"/>
  <c r="L21" i="4" s="1"/>
  <c r="M21" i="4" s="1"/>
  <c r="N21" i="4" s="1"/>
  <c r="O21" i="4" s="1"/>
  <c r="AD38" i="2"/>
  <c r="K40" i="4" s="1"/>
  <c r="L40" i="4" s="1"/>
  <c r="M40" i="4" s="1"/>
  <c r="N40" i="4" s="1"/>
  <c r="O40" i="4" s="1"/>
  <c r="AD39" i="2"/>
  <c r="K41" i="4" s="1"/>
  <c r="L41" i="4" s="1"/>
  <c r="M41" i="4" s="1"/>
  <c r="N41" i="4" s="1"/>
  <c r="O41" i="4" s="1"/>
  <c r="AD37" i="2"/>
  <c r="K39" i="4" s="1"/>
  <c r="L39" i="4" s="1"/>
  <c r="M39" i="4" s="1"/>
  <c r="N39" i="4" s="1"/>
  <c r="O39" i="4" s="1"/>
  <c r="AD32" i="2"/>
  <c r="K34" i="4" s="1"/>
  <c r="L34" i="4" s="1"/>
  <c r="M34" i="4" s="1"/>
  <c r="N34" i="4" s="1"/>
  <c r="O34" i="4" s="1"/>
  <c r="AD24" i="2"/>
  <c r="K26" i="4" s="1"/>
  <c r="L26" i="4" s="1"/>
  <c r="M26" i="4" s="1"/>
  <c r="N26" i="4" s="1"/>
  <c r="O26" i="4" s="1"/>
  <c r="AD10" i="2"/>
  <c r="K12" i="4" s="1"/>
  <c r="L12" i="4" s="1"/>
  <c r="M12" i="4" s="1"/>
  <c r="N12" i="4" s="1"/>
  <c r="O12" i="4" s="1"/>
  <c r="AD23" i="2"/>
  <c r="K25" i="4" s="1"/>
  <c r="AD17" i="2"/>
  <c r="K19" i="4" s="1"/>
  <c r="AD30" i="2"/>
  <c r="K32" i="4" s="1"/>
  <c r="L32" i="4" s="1"/>
  <c r="M32" i="4" s="1"/>
  <c r="N32" i="4" s="1"/>
  <c r="O32" i="4" s="1"/>
  <c r="AD26" i="2"/>
  <c r="K28" i="4" s="1"/>
  <c r="L28" i="4" s="1"/>
  <c r="M28" i="4" s="1"/>
  <c r="N28" i="4" s="1"/>
  <c r="O28" i="4" s="1"/>
  <c r="AD36" i="2"/>
  <c r="K38" i="4" s="1"/>
  <c r="L38" i="4" s="1"/>
  <c r="M38" i="4" s="1"/>
  <c r="N38" i="4" s="1"/>
  <c r="O38" i="4" s="1"/>
  <c r="AD16" i="2"/>
  <c r="K18" i="4" s="1"/>
  <c r="L18" i="4" s="1"/>
  <c r="M18" i="4" s="1"/>
  <c r="N18" i="4" s="1"/>
  <c r="O18" i="4" s="1"/>
  <c r="AD33" i="2"/>
  <c r="K35" i="4" s="1"/>
  <c r="L35" i="4" s="1"/>
  <c r="M35" i="4" s="1"/>
  <c r="N35" i="4" s="1"/>
  <c r="O35" i="4" s="1"/>
  <c r="AD13" i="2"/>
  <c r="K15" i="4" s="1"/>
  <c r="L15" i="4" s="1"/>
  <c r="M15" i="4" s="1"/>
  <c r="N15" i="4" s="1"/>
  <c r="O15" i="4" s="1"/>
  <c r="AD21" i="2"/>
  <c r="K23" i="4" s="1"/>
  <c r="AD28" i="2"/>
  <c r="K30" i="4" s="1"/>
  <c r="L30" i="4" s="1"/>
  <c r="M30" i="4" s="1"/>
  <c r="N30" i="4" s="1"/>
  <c r="O30" i="4" s="1"/>
  <c r="AD15" i="2"/>
  <c r="K17" i="4" s="1"/>
  <c r="L17" i="4" s="1"/>
  <c r="M17" i="4" s="1"/>
  <c r="N17" i="4" s="1"/>
  <c r="O17" i="4" s="1"/>
  <c r="AD42" i="2"/>
  <c r="K44" i="4" s="1"/>
  <c r="L44" i="4" s="1"/>
  <c r="M44" i="4" s="1"/>
  <c r="N44" i="4" s="1"/>
  <c r="O44" i="4" s="1"/>
  <c r="AD22" i="2"/>
  <c r="K24" i="4" s="1"/>
  <c r="L24" i="4" s="1"/>
  <c r="M24" i="4" s="1"/>
  <c r="N24" i="4" s="1"/>
  <c r="O24" i="4" s="1"/>
  <c r="AD41" i="2"/>
  <c r="K43" i="4" s="1"/>
  <c r="L43" i="4" s="1"/>
  <c r="M43" i="4" s="1"/>
  <c r="N43" i="4" s="1"/>
  <c r="O43" i="4" s="1"/>
  <c r="AD14" i="2"/>
  <c r="K16" i="4" s="1"/>
  <c r="AD29" i="2"/>
  <c r="K31" i="4" s="1"/>
  <c r="AD20" i="2"/>
  <c r="K22" i="4" s="1"/>
  <c r="AO25" i="2"/>
  <c r="AR25" i="2" s="1"/>
  <c r="AB25" i="2"/>
  <c r="AC25" i="2" s="1"/>
  <c r="AD35" i="2"/>
  <c r="K37" i="4" s="1"/>
  <c r="L37" i="4" s="1"/>
  <c r="M37" i="4" s="1"/>
  <c r="N37" i="4" s="1"/>
  <c r="O37" i="4" s="1"/>
  <c r="AE12" i="2"/>
  <c r="E14" i="4" s="1"/>
  <c r="F14" i="4" s="1"/>
  <c r="K14" i="4"/>
  <c r="E11" i="15"/>
  <c r="S11" i="15" s="1"/>
  <c r="D9" i="14"/>
  <c r="H55" i="4" l="1"/>
  <c r="I55" i="4" s="1"/>
  <c r="Q49" i="4"/>
  <c r="H48" i="4"/>
  <c r="I48" i="4" s="1"/>
  <c r="H51" i="4"/>
  <c r="I51" i="4" s="1"/>
  <c r="Q52" i="4"/>
  <c r="Q47" i="4"/>
  <c r="H58" i="4"/>
  <c r="I58" i="4" s="1"/>
  <c r="G46" i="4"/>
  <c r="Q46" i="4" s="1"/>
  <c r="R46" i="4"/>
  <c r="Q54" i="4"/>
  <c r="G14" i="4"/>
  <c r="H14" i="4" s="1"/>
  <c r="I14" i="4" s="1"/>
  <c r="Q50" i="4"/>
  <c r="Q53" i="4"/>
  <c r="Q56" i="4"/>
  <c r="AE41" i="2"/>
  <c r="E43" i="4" s="1"/>
  <c r="F43" i="4" s="1"/>
  <c r="AE42" i="2"/>
  <c r="E44" i="4" s="1"/>
  <c r="F44" i="4" s="1"/>
  <c r="AE27" i="2"/>
  <c r="E29" i="4" s="1"/>
  <c r="F29" i="4" s="1"/>
  <c r="AE16" i="2"/>
  <c r="E18" i="4" s="1"/>
  <c r="F18" i="4" s="1"/>
  <c r="AE13" i="2"/>
  <c r="E15" i="4" s="1"/>
  <c r="F15" i="4" s="1"/>
  <c r="H46" i="4"/>
  <c r="I46" i="4" s="1"/>
  <c r="AE39" i="2"/>
  <c r="E41" i="4" s="1"/>
  <c r="F41" i="4" s="1"/>
  <c r="AE18" i="2"/>
  <c r="E20" i="4" s="1"/>
  <c r="F20" i="4" s="1"/>
  <c r="AE11" i="2"/>
  <c r="E13" i="4" s="1"/>
  <c r="F13" i="4" s="1"/>
  <c r="AE10" i="2"/>
  <c r="E12" i="4" s="1"/>
  <c r="F12" i="4" s="1"/>
  <c r="AE29" i="2"/>
  <c r="E31" i="4" s="1"/>
  <c r="F31" i="4" s="1"/>
  <c r="AE32" i="2"/>
  <c r="E34" i="4" s="1"/>
  <c r="F34" i="4" s="1"/>
  <c r="AE28" i="2"/>
  <c r="E30" i="4" s="1"/>
  <c r="F30" i="4" s="1"/>
  <c r="AE17" i="2"/>
  <c r="E19" i="4" s="1"/>
  <c r="F19" i="4" s="1"/>
  <c r="AE19" i="2"/>
  <c r="E21" i="4" s="1"/>
  <c r="F21" i="4" s="1"/>
  <c r="AE26" i="2"/>
  <c r="E28" i="4" s="1"/>
  <c r="F28" i="4" s="1"/>
  <c r="L31" i="4"/>
  <c r="M31" i="4" s="1"/>
  <c r="N31" i="4" s="1"/>
  <c r="O31" i="4" s="1"/>
  <c r="L19" i="4"/>
  <c r="M19" i="4" s="1"/>
  <c r="N19" i="4" s="1"/>
  <c r="O19" i="4" s="1"/>
  <c r="AE35" i="2"/>
  <c r="E37" i="4" s="1"/>
  <c r="F37" i="4" s="1"/>
  <c r="AE20" i="2"/>
  <c r="E22" i="4" s="1"/>
  <c r="AE14" i="2"/>
  <c r="E16" i="4" s="1"/>
  <c r="F16" i="4" s="1"/>
  <c r="AE22" i="2"/>
  <c r="E24" i="4" s="1"/>
  <c r="F24" i="4" s="1"/>
  <c r="AE15" i="2"/>
  <c r="E17" i="4" s="1"/>
  <c r="F17" i="4" s="1"/>
  <c r="AE21" i="2"/>
  <c r="E23" i="4" s="1"/>
  <c r="AE33" i="2"/>
  <c r="E35" i="4" s="1"/>
  <c r="F35" i="4" s="1"/>
  <c r="AE36" i="2"/>
  <c r="E38" i="4" s="1"/>
  <c r="F38" i="4" s="1"/>
  <c r="AE30" i="2"/>
  <c r="E32" i="4" s="1"/>
  <c r="F32" i="4" s="1"/>
  <c r="AE23" i="2"/>
  <c r="E25" i="4" s="1"/>
  <c r="F25" i="4" s="1"/>
  <c r="AE24" i="2"/>
  <c r="E26" i="4" s="1"/>
  <c r="F26" i="4" s="1"/>
  <c r="AE37" i="2"/>
  <c r="E39" i="4" s="1"/>
  <c r="F39" i="4" s="1"/>
  <c r="AE38" i="2"/>
  <c r="E40" i="4" s="1"/>
  <c r="F40" i="4" s="1"/>
  <c r="AE40" i="2"/>
  <c r="E42" i="4" s="1"/>
  <c r="F42" i="4" s="1"/>
  <c r="AE34" i="2"/>
  <c r="E36" i="4" s="1"/>
  <c r="F36" i="4" s="1"/>
  <c r="L25" i="4"/>
  <c r="M25" i="4" s="1"/>
  <c r="N25" i="4" s="1"/>
  <c r="O25" i="4" s="1"/>
  <c r="L16" i="4"/>
  <c r="M16" i="4" s="1"/>
  <c r="N16" i="4" s="1"/>
  <c r="O16" i="4" s="1"/>
  <c r="L14" i="4"/>
  <c r="M14" i="4" s="1"/>
  <c r="N14" i="4" s="1"/>
  <c r="O14" i="4" s="1"/>
  <c r="AD25" i="2"/>
  <c r="K27" i="4" s="1"/>
  <c r="L27" i="4" s="1"/>
  <c r="M27" i="4" s="1"/>
  <c r="N27" i="4" s="1"/>
  <c r="O27" i="4" s="1"/>
  <c r="AD31" i="2"/>
  <c r="K33" i="4" s="1"/>
  <c r="L33" i="4" s="1"/>
  <c r="M33" i="4" s="1"/>
  <c r="N33" i="4" s="1"/>
  <c r="O33" i="4" s="1"/>
  <c r="L22" i="4"/>
  <c r="M22" i="4" s="1"/>
  <c r="N22" i="4" s="1"/>
  <c r="O22" i="4" s="1"/>
  <c r="L23" i="4"/>
  <c r="M23" i="4" s="1"/>
  <c r="N23" i="4" s="1"/>
  <c r="O23" i="4" s="1"/>
  <c r="I9" i="14"/>
  <c r="K9" i="14"/>
  <c r="H11" i="15"/>
  <c r="F8" i="14" s="1"/>
  <c r="D8" i="14"/>
  <c r="I8" i="14" s="1"/>
  <c r="K58" i="2" s="1"/>
  <c r="L58" i="2" s="1"/>
  <c r="G36" i="4" l="1"/>
  <c r="R36" i="4"/>
  <c r="G26" i="4"/>
  <c r="H26" i="4" s="1"/>
  <c r="I26" i="4" s="1"/>
  <c r="R26" i="4"/>
  <c r="G16" i="4"/>
  <c r="R16" i="4"/>
  <c r="G12" i="4"/>
  <c r="R12" i="4"/>
  <c r="G25" i="4"/>
  <c r="H25" i="4" s="1"/>
  <c r="I25" i="4" s="1"/>
  <c r="R25" i="4"/>
  <c r="G30" i="4"/>
  <c r="H30" i="4" s="1"/>
  <c r="I30" i="4" s="1"/>
  <c r="R30" i="4"/>
  <c r="G40" i="4"/>
  <c r="H40" i="4" s="1"/>
  <c r="I40" i="4" s="1"/>
  <c r="R40" i="4"/>
  <c r="G32" i="4"/>
  <c r="H32" i="4" s="1"/>
  <c r="I32" i="4" s="1"/>
  <c r="R32" i="4"/>
  <c r="G37" i="4"/>
  <c r="Q37" i="4" s="1"/>
  <c r="R37" i="4"/>
  <c r="G28" i="4"/>
  <c r="H28" i="4" s="1"/>
  <c r="I28" i="4" s="1"/>
  <c r="R28" i="4"/>
  <c r="G39" i="4"/>
  <c r="H39" i="4" s="1"/>
  <c r="I39" i="4" s="1"/>
  <c r="R39" i="4"/>
  <c r="G38" i="4"/>
  <c r="H38" i="4" s="1"/>
  <c r="I38" i="4" s="1"/>
  <c r="R38" i="4"/>
  <c r="G24" i="4"/>
  <c r="R24" i="4"/>
  <c r="G21" i="4"/>
  <c r="Q21" i="4" s="1"/>
  <c r="R21" i="4"/>
  <c r="G31" i="4"/>
  <c r="H31" i="4" s="1"/>
  <c r="I31" i="4" s="1"/>
  <c r="R31" i="4"/>
  <c r="G41" i="4"/>
  <c r="Q41" i="4" s="1"/>
  <c r="R41" i="4"/>
  <c r="G18" i="4"/>
  <c r="H18" i="4" s="1"/>
  <c r="I18" i="4" s="1"/>
  <c r="R18" i="4"/>
  <c r="G35" i="4"/>
  <c r="Q35" i="4" s="1"/>
  <c r="R35" i="4"/>
  <c r="G19" i="4"/>
  <c r="Q19" i="4" s="1"/>
  <c r="R19" i="4"/>
  <c r="G29" i="4"/>
  <c r="R29" i="4"/>
  <c r="G42" i="4"/>
  <c r="Q42" i="4" s="1"/>
  <c r="R42" i="4"/>
  <c r="G13" i="4"/>
  <c r="H13" i="4" s="1"/>
  <c r="I13" i="4" s="1"/>
  <c r="R13" i="4"/>
  <c r="G44" i="4"/>
  <c r="H44" i="4" s="1"/>
  <c r="I44" i="4" s="1"/>
  <c r="R44" i="4"/>
  <c r="G17" i="4"/>
  <c r="H17" i="4" s="1"/>
  <c r="I17" i="4" s="1"/>
  <c r="R17" i="4"/>
  <c r="G34" i="4"/>
  <c r="H34" i="4" s="1"/>
  <c r="I34" i="4" s="1"/>
  <c r="R34" i="4"/>
  <c r="G20" i="4"/>
  <c r="H20" i="4" s="1"/>
  <c r="I20" i="4" s="1"/>
  <c r="R20" i="4"/>
  <c r="G15" i="4"/>
  <c r="H15" i="4" s="1"/>
  <c r="I15" i="4" s="1"/>
  <c r="R15" i="4"/>
  <c r="G43" i="4"/>
  <c r="R43" i="4"/>
  <c r="R14" i="4"/>
  <c r="AE25" i="2"/>
  <c r="E27" i="4" s="1"/>
  <c r="F27" i="4" s="1"/>
  <c r="H19" i="4"/>
  <c r="I19" i="4" s="1"/>
  <c r="F23" i="4"/>
  <c r="F22" i="4"/>
  <c r="H37" i="4"/>
  <c r="I37" i="4" s="1"/>
  <c r="H24" i="4"/>
  <c r="I24" i="4" s="1"/>
  <c r="Q24" i="4"/>
  <c r="Q14" i="4"/>
  <c r="AE31" i="2"/>
  <c r="E33" i="4" s="1"/>
  <c r="F33" i="4" s="1"/>
  <c r="H36" i="4"/>
  <c r="I36" i="4" s="1"/>
  <c r="Q36" i="4"/>
  <c r="H16" i="4"/>
  <c r="I16" i="4" s="1"/>
  <c r="Q16" i="4"/>
  <c r="M9" i="14"/>
  <c r="K8" i="14"/>
  <c r="H35" i="4" l="1"/>
  <c r="I35" i="4" s="1"/>
  <c r="H42" i="4"/>
  <c r="I42" i="4" s="1"/>
  <c r="Q39" i="4"/>
  <c r="Q40" i="4"/>
  <c r="Q25" i="4"/>
  <c r="Q31" i="4"/>
  <c r="Q34" i="4"/>
  <c r="Q18" i="4"/>
  <c r="Q17" i="4"/>
  <c r="Q13" i="4"/>
  <c r="Q44" i="4"/>
  <c r="Q15" i="4"/>
  <c r="H41" i="4"/>
  <c r="I41" i="4" s="1"/>
  <c r="G27" i="4"/>
  <c r="H27" i="4" s="1"/>
  <c r="I27" i="4" s="1"/>
  <c r="R27" i="4"/>
  <c r="Q29" i="4"/>
  <c r="H29" i="4"/>
  <c r="I29" i="4" s="1"/>
  <c r="Q12" i="4"/>
  <c r="H12" i="4"/>
  <c r="I12" i="4" s="1"/>
  <c r="Q26" i="4"/>
  <c r="G22" i="4"/>
  <c r="H22" i="4" s="1"/>
  <c r="I22" i="4" s="1"/>
  <c r="R22" i="4"/>
  <c r="Q30" i="4"/>
  <c r="Q43" i="4"/>
  <c r="H43" i="4"/>
  <c r="I43" i="4" s="1"/>
  <c r="G33" i="4"/>
  <c r="H33" i="4" s="1"/>
  <c r="I33" i="4" s="1"/>
  <c r="R33" i="4"/>
  <c r="Q38" i="4"/>
  <c r="Q32" i="4"/>
  <c r="Q28" i="4"/>
  <c r="G23" i="4"/>
  <c r="H23" i="4" s="1"/>
  <c r="I23" i="4" s="1"/>
  <c r="R23" i="4"/>
  <c r="Q20" i="4"/>
  <c r="H21" i="4"/>
  <c r="I21" i="4" s="1"/>
  <c r="E9" i="2"/>
  <c r="M8" i="14"/>
  <c r="Q33" i="4" l="1"/>
  <c r="Q22" i="4"/>
  <c r="Q27" i="4"/>
  <c r="Q23" i="4"/>
  <c r="Q9" i="2"/>
  <c r="E58" i="2"/>
  <c r="S9" i="2" l="1"/>
  <c r="Q58" i="2"/>
  <c r="Q59" i="2" s="1"/>
  <c r="AI9" i="2" l="1"/>
  <c r="Z9" i="2"/>
  <c r="AA9" i="2" s="1"/>
  <c r="AN9" i="2"/>
  <c r="U9" i="2"/>
  <c r="S58" i="2"/>
  <c r="W9" i="2" l="1"/>
  <c r="W58" i="2" s="1"/>
  <c r="U58" i="2"/>
  <c r="U61" i="2" s="1"/>
  <c r="AN58" i="2"/>
  <c r="AQ9" i="2"/>
  <c r="AQ58" i="2" s="1"/>
  <c r="AB9" i="2"/>
  <c r="AO9" i="2"/>
  <c r="AA58" i="2"/>
  <c r="Z58" i="2" l="1"/>
  <c r="AM58" i="2"/>
  <c r="T58" i="2"/>
  <c r="P58" i="2" s="1"/>
  <c r="P59" i="2" s="1"/>
  <c r="AR9" i="2"/>
  <c r="AR58" i="2" s="1"/>
  <c r="AR59" i="2" s="1"/>
  <c r="AO58" i="2"/>
  <c r="AO59" i="2" s="1"/>
  <c r="AC9" i="2"/>
  <c r="AB58" i="2"/>
  <c r="V58" i="2"/>
  <c r="AI58" i="2" l="1"/>
  <c r="AL58" i="2"/>
  <c r="AH58" i="2"/>
  <c r="AD9" i="2"/>
  <c r="AE9" i="2" s="1"/>
  <c r="AC58" i="2"/>
  <c r="E11" i="4" l="1"/>
  <c r="AE58" i="2"/>
  <c r="AC62" i="2" s="1"/>
  <c r="K11" i="4"/>
  <c r="AD58" i="2"/>
  <c r="AA62" i="2" l="1"/>
  <c r="X58" i="2"/>
  <c r="L11" i="4"/>
  <c r="L10" i="4" s="1"/>
  <c r="N68" i="4" s="1"/>
  <c r="K10" i="4"/>
  <c r="M68" i="4" s="1"/>
  <c r="F11" i="4"/>
  <c r="E10" i="4"/>
  <c r="M70" i="4" s="1"/>
  <c r="F10" i="4" l="1"/>
  <c r="R11" i="4"/>
  <c r="M72" i="4"/>
  <c r="M11" i="4"/>
  <c r="N11" i="4" s="1"/>
  <c r="G11" i="4"/>
  <c r="AA63" i="2"/>
  <c r="Y65" i="2"/>
  <c r="Y58" i="2"/>
  <c r="N70" i="4" l="1"/>
  <c r="N72" i="4" s="1"/>
  <c r="N73" i="4" s="1"/>
  <c r="R10" i="4"/>
  <c r="M10" i="4"/>
  <c r="K68" i="4" s="1"/>
  <c r="H11" i="4"/>
  <c r="Q11" i="4"/>
  <c r="Q10" i="4" s="1"/>
  <c r="G10" i="4"/>
  <c r="K70" i="4" s="1"/>
  <c r="AA65" i="2"/>
  <c r="Z65" i="2"/>
  <c r="O11" i="4"/>
  <c r="O10" i="4" s="1"/>
  <c r="N10" i="4"/>
  <c r="K72" i="4" l="1"/>
  <c r="K74" i="4" s="1"/>
  <c r="K78" i="4" s="1"/>
  <c r="AA66" i="2"/>
  <c r="I11" i="4"/>
  <c r="I10" i="4" s="1"/>
  <c r="H10" i="4"/>
  <c r="K63" i="4" s="1"/>
  <c r="K3" i="15" l="1"/>
  <c r="K82" i="4"/>
  <c r="K1" i="15"/>
  <c r="K65" i="4"/>
  <c r="K80" i="4" s="1"/>
  <c r="Z3" i="2" s="1"/>
  <c r="K84" i="4"/>
  <c r="K85" i="4" s="1"/>
  <c r="Y3" i="2" l="1"/>
</calcChain>
</file>

<file path=xl/sharedStrings.xml><?xml version="1.0" encoding="utf-8"?>
<sst xmlns="http://schemas.openxmlformats.org/spreadsheetml/2006/main" count="1740" uniqueCount="500">
  <si>
    <t>MERITUS</t>
  </si>
  <si>
    <t>UNIVERSITY OF MD.</t>
  </si>
  <si>
    <t>PRINCE GEORGE</t>
  </si>
  <si>
    <t>HOLY CROSS</t>
  </si>
  <si>
    <t>FREDERICK MEM.</t>
  </si>
  <si>
    <t>HARFORD MEM.</t>
  </si>
  <si>
    <t>ST. JOSEPH'S</t>
  </si>
  <si>
    <t>MERCY</t>
  </si>
  <si>
    <t>JOHNS HOPKINS</t>
  </si>
  <si>
    <t>DORCHESTER GEN.</t>
  </si>
  <si>
    <t>ST. AGNES</t>
  </si>
  <si>
    <t>SINAI</t>
  </si>
  <si>
    <t>BON SECOURS</t>
  </si>
  <si>
    <t>FRANKLIN SQUARE</t>
  </si>
  <si>
    <t>WASHINGTON ADV.</t>
  </si>
  <si>
    <t>GARRETT CO.</t>
  </si>
  <si>
    <t>MONTGOMERY GEN.</t>
  </si>
  <si>
    <t>PENINSULA REG.</t>
  </si>
  <si>
    <t>SUBURBAN</t>
  </si>
  <si>
    <t>ANNE ARUNDEL GEN.</t>
  </si>
  <si>
    <t>UNION MEM.</t>
  </si>
  <si>
    <t>WESTERN MARYLAND</t>
  </si>
  <si>
    <t>ST. MARY'S</t>
  </si>
  <si>
    <t>BAYVIEW</t>
  </si>
  <si>
    <t>CHESTER RIVER</t>
  </si>
  <si>
    <t>UNION OF CECIL</t>
  </si>
  <si>
    <t>CARROLL CO. GEN.</t>
  </si>
  <si>
    <t>HARBOR HOSP.</t>
  </si>
  <si>
    <t>CIVISTA</t>
  </si>
  <si>
    <t>MEM. EASTON</t>
  </si>
  <si>
    <t>MARYLAND GEN.</t>
  </si>
  <si>
    <t>CALVERT MEMORIAL</t>
  </si>
  <si>
    <t>NORTHWEST</t>
  </si>
  <si>
    <t>BALTIMORE/WASHINGTON</t>
  </si>
  <si>
    <t>G.B.M.C.</t>
  </si>
  <si>
    <t>MCCREADY</t>
  </si>
  <si>
    <t>HOWARD CO. GEN.</t>
  </si>
  <si>
    <t>UPPER CHESAPEAKE</t>
  </si>
  <si>
    <t>DR'S COMMUNITY HOSP.</t>
  </si>
  <si>
    <t>SOUTHERN MD.</t>
  </si>
  <si>
    <t>LAUREL REGIONAL</t>
  </si>
  <si>
    <t>FORT WASHINGTON</t>
  </si>
  <si>
    <t>ATLANTIC GENERAL</t>
  </si>
  <si>
    <t>KERNANS</t>
  </si>
  <si>
    <t>GOOD SAMARITAN</t>
  </si>
  <si>
    <t>SHADY GROVE</t>
  </si>
  <si>
    <t xml:space="preserve">   SHOCK TRAUMA</t>
  </si>
  <si>
    <t>Actual</t>
  </si>
  <si>
    <t>Payments</t>
  </si>
  <si>
    <t>Approved</t>
  </si>
  <si>
    <t>Markup</t>
  </si>
  <si>
    <t>Adjusted</t>
  </si>
  <si>
    <t>Estimated</t>
  </si>
  <si>
    <t>Revenue</t>
  </si>
  <si>
    <t>Outpatient</t>
  </si>
  <si>
    <t>Inpatient</t>
  </si>
  <si>
    <t>Total</t>
  </si>
  <si>
    <t>Holy Cross</t>
  </si>
  <si>
    <t>Mercy</t>
  </si>
  <si>
    <t>St. Agnes</t>
  </si>
  <si>
    <t>Sinai</t>
  </si>
  <si>
    <t>Bon Secours</t>
  </si>
  <si>
    <t>Garrett</t>
  </si>
  <si>
    <t>Suburban</t>
  </si>
  <si>
    <t>Anne Arundel</t>
  </si>
  <si>
    <t>Western Maryland</t>
  </si>
  <si>
    <t>Carroll</t>
  </si>
  <si>
    <t>Northwest</t>
  </si>
  <si>
    <t>McCready</t>
  </si>
  <si>
    <t>Shady Grove</t>
  </si>
  <si>
    <t>Johns Hopkins</t>
  </si>
  <si>
    <t>GBMC</t>
  </si>
  <si>
    <t>Laurel Regional</t>
  </si>
  <si>
    <t>Atlantic General</t>
  </si>
  <si>
    <t>Levindale</t>
  </si>
  <si>
    <t>PRINCE GEORGES HOSP.</t>
  </si>
  <si>
    <t>PENINSULA GEN.</t>
  </si>
  <si>
    <t>APPROVED</t>
  </si>
  <si>
    <t>%</t>
  </si>
  <si>
    <t>MEDICARE/</t>
  </si>
  <si>
    <t>MEDICAID</t>
  </si>
  <si>
    <t>BL. CROSS</t>
  </si>
  <si>
    <t>INPATIENT</t>
  </si>
  <si>
    <t>OUTPATIENT</t>
  </si>
  <si>
    <t>MCO</t>
  </si>
  <si>
    <t>MEDICARE</t>
  </si>
  <si>
    <t>DEDUCT</t>
  </si>
  <si>
    <t>UCC %</t>
  </si>
  <si>
    <t>IN RATES</t>
  </si>
  <si>
    <t>OTHER</t>
  </si>
  <si>
    <t>PAYERS</t>
  </si>
  <si>
    <t>MARK UP</t>
  </si>
  <si>
    <t>for Rates</t>
  </si>
  <si>
    <t>Policy</t>
  </si>
  <si>
    <t>Medicaid</t>
  </si>
  <si>
    <t>NEW</t>
  </si>
  <si>
    <t>ATTACHMENT A,  PAGE 1 OF 2</t>
  </si>
  <si>
    <t>REVENUE</t>
  </si>
  <si>
    <t>ADJ. FOR</t>
  </si>
  <si>
    <t>NEW MU</t>
  </si>
  <si>
    <t>UCC</t>
  </si>
  <si>
    <t>FINAL</t>
  </si>
  <si>
    <t>ESTIMATED</t>
  </si>
  <si>
    <t>PAYMENTS</t>
  </si>
  <si>
    <t>CALCULATION OF STATE-WIDE AVERAGE UCC</t>
  </si>
  <si>
    <t>NET</t>
  </si>
  <si>
    <t>POLICY</t>
  </si>
  <si>
    <t>RESULT</t>
  </si>
  <si>
    <t>$ AMOUNT</t>
  </si>
  <si>
    <t>UCC COST</t>
  </si>
  <si>
    <t>NEW UCC</t>
  </si>
  <si>
    <t>MAXIMUM</t>
  </si>
  <si>
    <t>RATE</t>
  </si>
  <si>
    <t>LEVEL</t>
  </si>
  <si>
    <t>PERCENT</t>
  </si>
  <si>
    <t>DIFFERENCE</t>
  </si>
  <si>
    <t xml:space="preserve">NEW </t>
  </si>
  <si>
    <t>(INCL MAX)</t>
  </si>
  <si>
    <t>GROSS</t>
  </si>
  <si>
    <t>AT NEW UCC</t>
  </si>
  <si>
    <t>PAYMENTS TO</t>
  </si>
  <si>
    <t>VS.</t>
  </si>
  <si>
    <t>PAYMENTS FR</t>
  </si>
  <si>
    <t>COLLECTED</t>
  </si>
  <si>
    <t>NET REV.</t>
  </si>
  <si>
    <t>(AD/W)</t>
  </si>
  <si>
    <t>PAYMENT</t>
  </si>
  <si>
    <t>FROM</t>
  </si>
  <si>
    <t>(TO)</t>
  </si>
  <si>
    <t>HOSPITALS</t>
  </si>
  <si>
    <t>FROM THE</t>
  </si>
  <si>
    <t>FUND</t>
  </si>
  <si>
    <t>ATTACHMENT A,  PAGE 2 OF 2</t>
  </si>
  <si>
    <t>OVERAGE</t>
  </si>
  <si>
    <t>SHORTAGE-</t>
  </si>
  <si>
    <t>Estimated Impact of Staff Recommendation</t>
  </si>
  <si>
    <t>Medicaid Savings From UCC Pooling</t>
  </si>
  <si>
    <t>Approved After</t>
  </si>
  <si>
    <t>Total Impact</t>
  </si>
  <si>
    <t xml:space="preserve">on UCC % for </t>
  </si>
  <si>
    <t>Averted BD</t>
  </si>
  <si>
    <t>Already Incl'd</t>
  </si>
  <si>
    <t>Adjustment to</t>
  </si>
  <si>
    <t xml:space="preserve">UCC % for </t>
  </si>
  <si>
    <t>Estimated Total</t>
  </si>
  <si>
    <t>Before Pooling</t>
  </si>
  <si>
    <t>Reduced Rates</t>
  </si>
  <si>
    <t>After Pooling</t>
  </si>
  <si>
    <t xml:space="preserve">Medicaid </t>
  </si>
  <si>
    <t>Percent</t>
  </si>
  <si>
    <t>Medicaid Savings</t>
  </si>
  <si>
    <t>Meritus Medical Center</t>
  </si>
  <si>
    <t>Frederick Memorial Hospital</t>
  </si>
  <si>
    <t>Johns Hopkins Hospital</t>
  </si>
  <si>
    <t>Bon Secours Hospital</t>
  </si>
  <si>
    <t>Garrett County Memorial Hospital</t>
  </si>
  <si>
    <t>Peninsula Regional Medical Center</t>
  </si>
  <si>
    <t>Union Hospital of Cecil County</t>
  </si>
  <si>
    <t>Calvert Memorial Hospital</t>
  </si>
  <si>
    <t>Greater Baltimore Medical Center</t>
  </si>
  <si>
    <t>Howard County General Hospital</t>
  </si>
  <si>
    <t>Atlantic General Hospital</t>
  </si>
  <si>
    <t>UNCOMPENSATED CARE FUND ADJUSTMENT</t>
  </si>
  <si>
    <t>Estimated Change to Reserve Fund</t>
  </si>
  <si>
    <t>Two Month Reserve</t>
  </si>
  <si>
    <t>Estimated Payments to Hospitals from the UCC Fund this Year</t>
  </si>
  <si>
    <t>Other Adjustments</t>
  </si>
  <si>
    <t>Current Estimated Reserve Balance</t>
  </si>
  <si>
    <t>Excess (Shortfall) in Reserves</t>
  </si>
  <si>
    <t>Months in Reserve</t>
  </si>
  <si>
    <t>PAYMENTS FROM FUND</t>
  </si>
  <si>
    <t>ANNUAL</t>
  </si>
  <si>
    <t>FROM FUND</t>
  </si>
  <si>
    <t xml:space="preserve">Total </t>
  </si>
  <si>
    <t xml:space="preserve">Adjustments </t>
  </si>
  <si>
    <t>to Payments</t>
  </si>
  <si>
    <t>MONTHLY</t>
  </si>
  <si>
    <t>New</t>
  </si>
  <si>
    <t>Payments Out</t>
  </si>
  <si>
    <t>PAYMENTS INTO FUND</t>
  </si>
  <si>
    <t>INTO FUND</t>
  </si>
  <si>
    <t>Change Due To</t>
  </si>
  <si>
    <t>UCC Only</t>
  </si>
  <si>
    <t>Other</t>
  </si>
  <si>
    <t>Adjustments</t>
  </si>
  <si>
    <t>Payments In</t>
  </si>
  <si>
    <t>Schedule PDA Data</t>
  </si>
  <si>
    <t>PDA</t>
  </si>
  <si>
    <t>PATREV_I</t>
  </si>
  <si>
    <t>A    Col-1</t>
  </si>
  <si>
    <t>Gross</t>
  </si>
  <si>
    <t>PATDREVO</t>
  </si>
  <si>
    <t>A    Col-2</t>
  </si>
  <si>
    <t>PATREVTO</t>
  </si>
  <si>
    <t>A    Col-3</t>
  </si>
  <si>
    <t>M_CARE_I</t>
  </si>
  <si>
    <t>B    Col-1</t>
  </si>
  <si>
    <t>Medicare</t>
  </si>
  <si>
    <t>M_CARE_O</t>
  </si>
  <si>
    <t>B    Col-2</t>
  </si>
  <si>
    <t>M_CARE_T</t>
  </si>
  <si>
    <t>B    Col-3</t>
  </si>
  <si>
    <t>MCAID_IN</t>
  </si>
  <si>
    <t>C    Col-1</t>
  </si>
  <si>
    <t>MCAID_OU</t>
  </si>
  <si>
    <t>C    Col-2</t>
  </si>
  <si>
    <t>MCAID_TO</t>
  </si>
  <si>
    <t>C    Col-3</t>
  </si>
  <si>
    <t>BX_IN</t>
  </si>
  <si>
    <t>D    Col-1</t>
  </si>
  <si>
    <t>Blue Cross</t>
  </si>
  <si>
    <t>BX_OUT</t>
  </si>
  <si>
    <t>D    Col-2</t>
  </si>
  <si>
    <t>BX_TOT</t>
  </si>
  <si>
    <t>D    Col-3</t>
  </si>
  <si>
    <t>HMO_IN</t>
  </si>
  <si>
    <t>E    Col-1</t>
  </si>
  <si>
    <t>HMO_OUT</t>
  </si>
  <si>
    <t>E    Col-2</t>
  </si>
  <si>
    <t>HMO_TOT</t>
  </si>
  <si>
    <t>E    Col-3</t>
  </si>
  <si>
    <t>MCDEDTOT</t>
  </si>
  <si>
    <t>F    Col-3</t>
  </si>
  <si>
    <t xml:space="preserve">Medicare </t>
  </si>
  <si>
    <t>Paid by</t>
  </si>
  <si>
    <t>UNCOMPIN</t>
  </si>
  <si>
    <t>G    Col-1</t>
  </si>
  <si>
    <t>UNCOMPOU</t>
  </si>
  <si>
    <t>G    Col-2</t>
  </si>
  <si>
    <t>UNCOMPTO</t>
  </si>
  <si>
    <t>G    Col-3</t>
  </si>
  <si>
    <t>O_PAYIN</t>
  </si>
  <si>
    <t>G1    Col-1</t>
  </si>
  <si>
    <t>Other Payer</t>
  </si>
  <si>
    <t>O_PAYOUT</t>
  </si>
  <si>
    <t>G1    Col-2</t>
  </si>
  <si>
    <t>O_PAYTOT</t>
  </si>
  <si>
    <t>G1    Col-3</t>
  </si>
  <si>
    <t>LEVELIII</t>
  </si>
  <si>
    <t>N    Col-3</t>
  </si>
  <si>
    <t>Level III</t>
  </si>
  <si>
    <t>Cost</t>
  </si>
  <si>
    <t>GROSSREV</t>
  </si>
  <si>
    <t>O    Col-3</t>
  </si>
  <si>
    <t>Calculated</t>
  </si>
  <si>
    <t>PAYDIFF</t>
  </si>
  <si>
    <t>P    Col-3</t>
  </si>
  <si>
    <t>FFS %</t>
  </si>
  <si>
    <t>MCO %</t>
  </si>
  <si>
    <t>Actual UCC</t>
  </si>
  <si>
    <t>Numbers Check</t>
  </si>
  <si>
    <t>Rate</t>
  </si>
  <si>
    <t>Hospital</t>
  </si>
  <si>
    <t>Net</t>
  </si>
  <si>
    <t>Union of Cecil</t>
  </si>
  <si>
    <t>Carroll Hospital Center</t>
  </si>
  <si>
    <t>LEVINDALE</t>
  </si>
  <si>
    <t>SHOCK TRAUMA</t>
  </si>
  <si>
    <t>FFS</t>
  </si>
  <si>
    <t>Advantage/</t>
  </si>
  <si>
    <t>Hosp</t>
  </si>
  <si>
    <t>ID #</t>
  </si>
  <si>
    <t>Reserve Fund In Months</t>
  </si>
  <si>
    <t>Reserve Fund Shortfall for 2 Months</t>
  </si>
  <si>
    <t>Collection</t>
  </si>
  <si>
    <t>WAGEBENE</t>
  </si>
  <si>
    <t>PROF_FEE</t>
  </si>
  <si>
    <t>SUPPLY</t>
  </si>
  <si>
    <t>DEP_AMOR</t>
  </si>
  <si>
    <t>OTH_EXPS</t>
  </si>
  <si>
    <t>TOT_EXPS</t>
  </si>
  <si>
    <t>NON_O_EX</t>
  </si>
  <si>
    <t>AL_PROFT</t>
  </si>
  <si>
    <t>COSTEIPD</t>
  </si>
  <si>
    <t>COSTEIPA</t>
  </si>
  <si>
    <t>WC_RATIO</t>
  </si>
  <si>
    <t>Patient</t>
  </si>
  <si>
    <t>BAD</t>
  </si>
  <si>
    <t>Debt</t>
  </si>
  <si>
    <t>Charity</t>
  </si>
  <si>
    <t>Care</t>
  </si>
  <si>
    <t>Contractual</t>
  </si>
  <si>
    <t>Allowance</t>
  </si>
  <si>
    <t>Denials</t>
  </si>
  <si>
    <t>Deductions</t>
  </si>
  <si>
    <t>Ancillary</t>
  </si>
  <si>
    <t>Ambulatory</t>
  </si>
  <si>
    <t>Room</t>
  </si>
  <si>
    <t>UCC Fund</t>
  </si>
  <si>
    <t>Receipts</t>
  </si>
  <si>
    <t>Operating</t>
  </si>
  <si>
    <t>Denials +</t>
  </si>
  <si>
    <t>Less UCC Fund</t>
  </si>
  <si>
    <t>Medicare %</t>
  </si>
  <si>
    <t>Medicare Differential</t>
  </si>
  <si>
    <t>Adjustment Needed to Reserves</t>
  </si>
  <si>
    <t>Reserves Based on 1 Months Payments</t>
  </si>
  <si>
    <t>UM Medical Center</t>
  </si>
  <si>
    <t>Prince Georges Hospital Center</t>
  </si>
  <si>
    <t>Holy Cross Hospital</t>
  </si>
  <si>
    <t>UM Harford Memorial Hospital</t>
  </si>
  <si>
    <t>Mercy Medical Center</t>
  </si>
  <si>
    <t>UM Shore Medical Center at Dorchester</t>
  </si>
  <si>
    <t>Saint Agnes Hospital</t>
  </si>
  <si>
    <t>Sinai Hospital of Baltimore</t>
  </si>
  <si>
    <t>Medstar Franklin Square Medical Center</t>
  </si>
  <si>
    <t>Adventist - Washington Adventist Hospital</t>
  </si>
  <si>
    <t>Medstar Montgomery Medical Center</t>
  </si>
  <si>
    <t>Suburban Hospital</t>
  </si>
  <si>
    <t>Anne Arundel Medical Center</t>
  </si>
  <si>
    <t>Medstar Union Memorial Hospital</t>
  </si>
  <si>
    <t>Western Maryland Regional Medical Center</t>
  </si>
  <si>
    <t>Medstar Saint Mary's Hospital</t>
  </si>
  <si>
    <t>Johns Hopkins Bayview Medical Center</t>
  </si>
  <si>
    <t>UM Shore Medical Center at Chestertown</t>
  </si>
  <si>
    <t>Medstar Harbor Hospital</t>
  </si>
  <si>
    <t>UM Charles Regional Medical Center</t>
  </si>
  <si>
    <t>UM Shore Medical Center at Easton</t>
  </si>
  <si>
    <t>UM Medical Center Midtown Campus</t>
  </si>
  <si>
    <t>Northwest Hospital Center</t>
  </si>
  <si>
    <t>UM Baltimore Washington Medical Center</t>
  </si>
  <si>
    <t>McCready Memorial Hospital</t>
  </si>
  <si>
    <t>UM Upper Chesapeake Medical Center</t>
  </si>
  <si>
    <t>Doctors' Community Hospital</t>
  </si>
  <si>
    <t>Laurel Regional Medical Center</t>
  </si>
  <si>
    <t>Medstar Good Samaritan Hospital</t>
  </si>
  <si>
    <t>Adventist - Shady Grove Medical Center</t>
  </si>
  <si>
    <t>Fort Washington Hospital</t>
  </si>
  <si>
    <t>Medstar Southern Maryland Hospital Center</t>
  </si>
  <si>
    <t>UM St. Joseph Medical Center</t>
  </si>
  <si>
    <t>Holy Cross Germantown Hospital</t>
  </si>
  <si>
    <t>ALL UNCOMPENSATED CARE</t>
  </si>
  <si>
    <t>HOSP ID</t>
  </si>
  <si>
    <t>Hospital Name</t>
  </si>
  <si>
    <t>HOLY CROSS GERMANTOWN</t>
  </si>
  <si>
    <t>ADMISSIONS</t>
  </si>
  <si>
    <t>Meritus</t>
  </si>
  <si>
    <t>UMMC</t>
  </si>
  <si>
    <t>Frederick</t>
  </si>
  <si>
    <t>Washington Adventist</t>
  </si>
  <si>
    <t>JH Bayview</t>
  </si>
  <si>
    <t>UMMC Midtown</t>
  </si>
  <si>
    <t>Calvert</t>
  </si>
  <si>
    <t>FT. Washignton</t>
  </si>
  <si>
    <t>Adventist Germantown</t>
  </si>
  <si>
    <t>FY 2015 Data</t>
  </si>
  <si>
    <t xml:space="preserve">Schedule RE </t>
  </si>
  <si>
    <t>UM Rehabilitation &amp; Orthopaedic Institute</t>
  </si>
  <si>
    <t>UM Shock Trauma Center</t>
  </si>
  <si>
    <t>Levindale Hospital</t>
  </si>
  <si>
    <t>PG Hospital</t>
  </si>
  <si>
    <t>UM-Harford</t>
  </si>
  <si>
    <t>UM-Dorchester</t>
  </si>
  <si>
    <t>MedStar Fr Square</t>
  </si>
  <si>
    <t>MedStar Montgomery</t>
  </si>
  <si>
    <t>Peninsula</t>
  </si>
  <si>
    <t>MedStar Union Mem</t>
  </si>
  <si>
    <t>MedStar St. Mary's</t>
  </si>
  <si>
    <t>UM-Chestertown</t>
  </si>
  <si>
    <t>MedStar Harbor</t>
  </si>
  <si>
    <t>UM-Charles Regional</t>
  </si>
  <si>
    <t>UM-Easton</t>
  </si>
  <si>
    <t>UM-BWMC</t>
  </si>
  <si>
    <t>Howard County</t>
  </si>
  <si>
    <t>UM-Upper Chesapeake</t>
  </si>
  <si>
    <t>Doctors</t>
  </si>
  <si>
    <t>MedStar Good Sam</t>
  </si>
  <si>
    <t>UMROI</t>
  </si>
  <si>
    <t>MedStar Southern MD</t>
  </si>
  <si>
    <t>UM-St. Joe</t>
  </si>
  <si>
    <t>HC-Germantown</t>
  </si>
  <si>
    <t>UM-Shock Trauma</t>
  </si>
  <si>
    <t>UM-Queen Anne's ED</t>
  </si>
  <si>
    <t>Bowie ED</t>
  </si>
  <si>
    <t>Sheppard Pratt</t>
  </si>
  <si>
    <t>Brook Lane</t>
  </si>
  <si>
    <t>Adventist BH-Rockville</t>
  </si>
  <si>
    <t>HC-GERMANTOWN</t>
  </si>
  <si>
    <t>GBR @</t>
  </si>
  <si>
    <t>ApprovedBad Debt</t>
  </si>
  <si>
    <t>Actual Bad Debt</t>
  </si>
  <si>
    <t>Statewide 2016</t>
  </si>
  <si>
    <t>Total Holy Cross</t>
  </si>
  <si>
    <t>Mt. Washington Peds</t>
  </si>
  <si>
    <t>OP_PROFT_1</t>
  </si>
  <si>
    <t xml:space="preserve"> </t>
  </si>
  <si>
    <t>GBR Increase</t>
  </si>
  <si>
    <t>FY 2017 Regulated Schedule RE Data</t>
  </si>
  <si>
    <t>Hosp ID</t>
  </si>
  <si>
    <t>Name</t>
  </si>
  <si>
    <t>Statewide 2017</t>
  </si>
  <si>
    <t>MARKUP</t>
  </si>
  <si>
    <t>Fiscal Year End 2016</t>
  </si>
  <si>
    <t>STATE-WIDE</t>
  </si>
  <si>
    <t>Hosp Name</t>
  </si>
  <si>
    <t>Current Payment To/(From) Hosp</t>
  </si>
  <si>
    <t>Adjusted Estimated</t>
  </si>
  <si>
    <t>Other Adjustment</t>
  </si>
  <si>
    <t>Estimated Payment From/(To) Hosp</t>
  </si>
  <si>
    <t>Final Payment From/(To) Hosp</t>
  </si>
  <si>
    <t>Amount Due From/(To) Hospital</t>
  </si>
  <si>
    <t>Final Markup</t>
  </si>
  <si>
    <t>Preliminary Markup</t>
  </si>
  <si>
    <t>Approved Bad Debt</t>
  </si>
  <si>
    <t>Statewide Total</t>
  </si>
  <si>
    <t>MCO includes both Care and Caid</t>
  </si>
  <si>
    <t>Hosp ID 2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</si>
  <si>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</si>
  <si>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</si>
  <si>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</si>
  <si>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</si>
  <si>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</si>
  <si>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</si>
  <si>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</si>
  <si>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</si>
  <si>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MedStar Franklin  Square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</si>
  <si>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</si>
  <si>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</si>
  <si>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</si>
  <si>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</si>
  <si>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</si>
  <si>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</si>
  <si>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</si>
  <si>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</si>
  <si>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</si>
  <si>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</si>
  <si>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</si>
  <si>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</si>
  <si>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</si>
  <si>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</si>
  <si>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</si>
  <si>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</si>
  <si>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</si>
  <si>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</si>
  <si>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UM-St. Joseph Med Cntr</t>
  </si>
  <si>
    <t>UM-Bowie Health Cntr</t>
  </si>
  <si>
    <t>VERSION</t>
  </si>
  <si>
    <t>BASEYEAR</t>
  </si>
  <si>
    <t>HOSPNUMB</t>
  </si>
  <si>
    <t>HOSPNAME</t>
  </si>
  <si>
    <t>SCHEDULE</t>
  </si>
  <si>
    <t>2001,5033, and 8992 using actual</t>
  </si>
  <si>
    <t>Bad Debt</t>
  </si>
  <si>
    <t>(prelim)</t>
  </si>
  <si>
    <t>???</t>
  </si>
  <si>
    <t>Fiscal Year End 2017</t>
  </si>
  <si>
    <t>V06</t>
  </si>
  <si>
    <t>FT. Washington Adventist</t>
  </si>
  <si>
    <t>Estimated Additional Interest EarnedYear</t>
  </si>
  <si>
    <t>Same as last year</t>
  </si>
  <si>
    <t>GRACE</t>
  </si>
  <si>
    <t>Final Blended GBR</t>
  </si>
  <si>
    <t>Fiscal Year End 2018</t>
  </si>
  <si>
    <t>Statewide 2018</t>
  </si>
  <si>
    <t>Grace Medical center</t>
  </si>
  <si>
    <t>Adventist White Oak</t>
  </si>
  <si>
    <t>Ft. Washington</t>
  </si>
  <si>
    <t>Germantown ED</t>
  </si>
  <si>
    <t>New UCC Maximum Rate</t>
  </si>
  <si>
    <t>PDA's FY 2019</t>
  </si>
  <si>
    <t>Updated 20200521</t>
  </si>
  <si>
    <t>Estimated GBR</t>
  </si>
  <si>
    <t>PAYOR MIX % COME FROM Schedule PDA FY 2019</t>
  </si>
  <si>
    <t>ESTIMATION OF UCC FUND - PAYOR MIX DATA FROM 2019 SCHEDULE PDA</t>
  </si>
  <si>
    <t>Peninsula and McCready are combined</t>
  </si>
  <si>
    <t>Original</t>
  </si>
  <si>
    <t>FY2022</t>
  </si>
  <si>
    <t>&lt;&lt;not yet</t>
  </si>
  <si>
    <t>With 7.7% Care Discnt</t>
  </si>
  <si>
    <t>Number if Months in Reserves</t>
  </si>
  <si>
    <t>Estimated Reserve Balance</t>
  </si>
  <si>
    <t>University of Maryland Medical Center</t>
  </si>
  <si>
    <t>UM Capital Region Medical Center</t>
  </si>
  <si>
    <t>Frederick Health Hospital</t>
  </si>
  <si>
    <t>Harford Memorial Hospital</t>
  </si>
  <si>
    <t>University of Maryland Shore Medical Center at Dorchester</t>
  </si>
  <si>
    <t>Ascension St. Agnes Hospital</t>
  </si>
  <si>
    <t>Grace Medical Center</t>
  </si>
  <si>
    <t>MedStar Franklin Square Hospital Center</t>
  </si>
  <si>
    <t>MedStar Montgomery Medical Center</t>
  </si>
  <si>
    <t>TidalHealth Peninsula Regional, Inc</t>
  </si>
  <si>
    <t>MedStar Union Memorial Hospital</t>
  </si>
  <si>
    <t>MedStar St. Mary's Hospital</t>
  </si>
  <si>
    <t>University of Maryland Shore Medical Center at Chestertown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</si>
  <si>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</si>
  <si>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</si>
  <si>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</si>
  <si>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</si>
  <si>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University of Maryland Baltimore Washington Medical Center</t>
  </si>
  <si>
    <t>TidalHealth McCready Pavillion</t>
  </si>
  <si>
    <t>Upper Chesapeake Medical Center</t>
  </si>
  <si>
    <t>Doctors Community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</si>
  <si>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</si>
  <si>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</si>
  <si>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</si>
  <si>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</si>
  <si>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MedStar Southern Maryland Hospital Center</t>
  </si>
  <si>
    <t>University of Maryland St. Joseph Medical Center</t>
  </si>
  <si>
    <t>Holy Cross Hospital - Germantown</t>
  </si>
  <si>
    <t>University of Maryland - MIEMSS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</si>
</sst>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%"/>
    <numFmt numFmtId="166" formatCode="0.0000%"/>
    <numFmt numFmtId="167" formatCode="[$$-409]#,##0"/>
    <numFmt numFmtId="168" formatCode="#,##0.0"/>
    <numFmt numFmtId="169" formatCode="0.00000"/>
    <numFmt numFmtId="170" formatCode="#,##0.0000"/>
    <numFmt numFmtId="171" formatCode="0.0"/>
    <numFmt numFmtId="172" formatCode="0.0000"/>
    <numFmt numFmtId="173" formatCode="_(* #,##0_);_(* \(#,##0\);_(* &quot;-&quot;??_);_(@_)"/>
    <numFmt numFmtId="174" formatCode="_(* #,##0.0_);_(* \(#,##0.0\);_(* &quot;-&quot;??_);_(@_)"/>
    <numFmt numFmtId="175" formatCode="#,##0.00000"/>
    <numFmt numFmtId="176" formatCode="0.0000000%"/>
    <numFmt numFmtId="177" formatCode="_(&quot;$&quot;* #,##0_);_(&quot;$&quot;* \(#,##0\);_(&quot;$&quot;* &quot;-&quot;??_);_(@_)"/>
    <numFmt numFmtId="178" formatCode="0.0000000"/>
    <numFmt numFmtId="179" formatCode="_(* #,##0.000000_);_(* \(#,##0.000000\);_(* &quot;-&quot;??_);_(@_)"/>
  </numFmts>
  <fonts count="76">
    <font>
      <sz val="12"/>
      <name val="Arial"/>
    </font>
    <font>
      <sz val="12"/>
      <name val="SWISS"/>
    </font>
    <font>
      <sz val="12"/>
      <name val="SWISS"/>
    </font>
    <font>
      <sz val="8"/>
      <color indexed="8"/>
      <name val="SWISS"/>
    </font>
    <font>
      <b/>
      <sz val="14"/>
      <color indexed="8"/>
      <name val="SWISS"/>
    </font>
    <font>
      <b/>
      <sz val="12"/>
      <name val="SWISS"/>
    </font>
    <font>
      <b/>
      <sz val="12"/>
      <color indexed="8"/>
      <name val="SWISS"/>
    </font>
    <font>
      <sz val="12"/>
      <color indexed="8"/>
      <name val="SWISS"/>
    </font>
    <font>
      <sz val="12"/>
      <name val="Arial"/>
      <family val="2"/>
    </font>
    <font>
      <u/>
      <sz val="12"/>
      <name val="SWISS"/>
    </font>
    <font>
      <sz val="24"/>
      <color indexed="8"/>
      <name val="SWISS"/>
    </font>
    <font>
      <b/>
      <sz val="18"/>
      <color indexed="8"/>
      <name val="SWISS"/>
    </font>
    <font>
      <b/>
      <sz val="18"/>
      <name val="SWISS"/>
    </font>
    <font>
      <b/>
      <i/>
      <sz val="14"/>
      <color indexed="8"/>
      <name val="SWISS"/>
    </font>
    <font>
      <u/>
      <sz val="12"/>
      <color indexed="8"/>
      <name val="SWISS"/>
    </font>
    <font>
      <sz val="12"/>
      <name val="Arial"/>
      <family val="2"/>
    </font>
    <font>
      <b/>
      <sz val="12"/>
      <name val="Arial"/>
      <family val="2"/>
    </font>
    <font>
      <u val="double"/>
      <sz val="12"/>
      <color indexed="8"/>
      <name val="SWISS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8"/>
      <color indexed="56"/>
      <name val="Cambria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SWISS"/>
    </font>
    <font>
      <u val="singleAccounting"/>
      <sz val="12"/>
      <name val="Arial"/>
      <family val="2"/>
    </font>
    <font>
      <u val="singleAccounting"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 tint="0.34998626667073579"/>
      <name val="Arial"/>
      <family val="2"/>
    </font>
    <font>
      <sz val="16"/>
      <color theme="8"/>
      <name val="Arial"/>
      <family val="2"/>
    </font>
    <font>
      <sz val="16"/>
      <color theme="8"/>
      <name val="Calibri"/>
      <family val="2"/>
      <scheme val="minor"/>
    </font>
    <font>
      <sz val="16"/>
      <color theme="3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u val="singleAccounting"/>
      <sz val="11"/>
      <color theme="1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i/>
      <u/>
      <sz val="12"/>
      <name val="Arial"/>
      <family val="2"/>
    </font>
    <font>
      <i/>
      <u/>
      <sz val="12"/>
      <name val="SWISS"/>
    </font>
    <font>
      <sz val="12"/>
      <color theme="3" tint="0.39997558519241921"/>
      <name val="Arial"/>
      <family val="2"/>
    </font>
    <font>
      <i/>
      <u/>
      <sz val="11"/>
      <name val="Arial"/>
      <family val="2"/>
    </font>
    <font>
      <b/>
      <i/>
      <u/>
      <sz val="11"/>
      <color theme="1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6"/>
      <name val="Arial"/>
      <family val="2"/>
    </font>
    <font>
      <sz val="12"/>
      <color theme="0"/>
      <name val="Arial"/>
      <family val="2"/>
    </font>
    <font>
      <b/>
      <sz val="14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name val="Arial"/>
      <family val="2"/>
    </font>
    <font>
      <i/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55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3" borderId="0" applyNumberFormat="0" applyBorder="0" applyAlignment="0" applyProtection="0"/>
    <xf numFmtId="0" fontId="28" fillId="20" borderId="1" applyNumberFormat="0" applyAlignment="0" applyProtection="0"/>
    <xf numFmtId="0" fontId="29" fillId="21" borderId="2" applyNumberFormat="0" applyAlignment="0" applyProtection="0"/>
    <xf numFmtId="43" fontId="47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25" fillId="0" borderId="0" applyFont="0" applyFill="0" applyBorder="0" applyAlignment="0" applyProtection="0"/>
    <xf numFmtId="5" fontId="25" fillId="0" borderId="0" applyFont="0" applyFill="0" applyBorder="0" applyAlignment="0" applyProtection="0"/>
    <xf numFmtId="14" fontId="25" fillId="0" borderId="0" applyFont="0" applyFill="0" applyBorder="0" applyAlignment="0" applyProtection="0"/>
    <xf numFmtId="14" fontId="25" fillId="0" borderId="0" applyFont="0" applyFill="0" applyBorder="0" applyAlignment="0" applyProtection="0"/>
    <xf numFmtId="0" fontId="1" fillId="0" borderId="0" applyFont="0" applyBorder="0" applyAlignment="0"/>
    <xf numFmtId="0" fontId="30" fillId="0" borderId="0" applyNumberForma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2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31" fillId="4" borderId="0" applyNumberFormat="0" applyBorder="0" applyAlignment="0" applyProtection="0"/>
    <xf numFmtId="3" fontId="22" fillId="0" borderId="0" applyNumberFormat="0" applyFont="0" applyFill="0" applyAlignment="0" applyProtection="0"/>
    <xf numFmtId="3" fontId="16" fillId="0" borderId="0" applyNumberFormat="0" applyFont="0" applyFill="0" applyAlignment="0" applyProtection="0"/>
    <xf numFmtId="3" fontId="16" fillId="0" borderId="0" applyNumberFormat="0" applyFon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1" applyNumberFormat="0" applyAlignment="0" applyProtection="0"/>
    <xf numFmtId="0" fontId="34" fillId="0" borderId="4" applyNumberFormat="0" applyFill="0" applyAlignment="0" applyProtection="0"/>
    <xf numFmtId="0" fontId="35" fillId="22" borderId="0" applyNumberFormat="0" applyBorder="0" applyAlignment="0" applyProtection="0"/>
    <xf numFmtId="0" fontId="18" fillId="0" borderId="0"/>
    <xf numFmtId="0" fontId="47" fillId="0" borderId="0"/>
    <xf numFmtId="0" fontId="25" fillId="0" borderId="0"/>
    <xf numFmtId="0" fontId="8" fillId="0" borderId="0"/>
    <xf numFmtId="0" fontId="25" fillId="0" borderId="0"/>
    <xf numFmtId="0" fontId="47" fillId="0" borderId="0"/>
    <xf numFmtId="0" fontId="18" fillId="0" borderId="0"/>
    <xf numFmtId="0" fontId="48" fillId="0" borderId="0"/>
    <xf numFmtId="0" fontId="24" fillId="0" borderId="0"/>
    <xf numFmtId="0" fontId="8" fillId="0" borderId="0"/>
    <xf numFmtId="0" fontId="18" fillId="0" borderId="0"/>
    <xf numFmtId="0" fontId="18" fillId="23" borderId="5" applyNumberFormat="0" applyFont="0" applyAlignment="0" applyProtection="0"/>
    <xf numFmtId="0" fontId="37" fillId="24" borderId="0" applyNumberFormat="0" applyFont="0" applyFill="0" applyBorder="0" applyAlignment="0" applyProtection="0"/>
    <xf numFmtId="0" fontId="37" fillId="24" borderId="0" applyNumberFormat="0" applyFont="0" applyFill="0" applyBorder="0" applyAlignment="0" applyProtection="0"/>
    <xf numFmtId="0" fontId="36" fillId="20" borderId="6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3" fontId="25" fillId="0" borderId="7" applyNumberFormat="0" applyFont="0" applyBorder="0" applyAlignment="0" applyProtection="0"/>
    <xf numFmtId="3" fontId="25" fillId="0" borderId="7" applyNumberFormat="0" applyFont="0" applyBorder="0" applyAlignment="0" applyProtection="0"/>
    <xf numFmtId="0" fontId="37" fillId="0" borderId="0" applyNumberFormat="0" applyFill="0" applyBorder="0" applyAlignment="0" applyProtection="0"/>
  </cellStyleXfs>
  <cellXfs count="445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0" fontId="6" fillId="0" borderId="0" xfId="0" applyNumberFormat="1" applyFont="1" applyAlignment="1"/>
    <xf numFmtId="0" fontId="7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/>
    <xf numFmtId="0" fontId="2" fillId="0" borderId="0" xfId="0" applyNumberFormat="1" applyFont="1" applyAlignment="1">
      <alignment horizontal="center"/>
    </xf>
    <xf numFmtId="0" fontId="7" fillId="0" borderId="9" xfId="0" applyNumberFormat="1" applyFont="1" applyBorder="1" applyAlignment="1">
      <alignment horizontal="center"/>
    </xf>
    <xf numFmtId="0" fontId="7" fillId="0" borderId="9" xfId="0" applyNumberFormat="1" applyFont="1" applyBorder="1" applyAlignment="1"/>
    <xf numFmtId="10" fontId="7" fillId="0" borderId="9" xfId="0" applyNumberFormat="1" applyFont="1" applyBorder="1" applyAlignment="1">
      <alignment horizontal="center"/>
    </xf>
    <xf numFmtId="0" fontId="7" fillId="0" borderId="8" xfId="0" applyNumberFormat="1" applyFont="1" applyBorder="1" applyAlignment="1"/>
    <xf numFmtId="3" fontId="7" fillId="0" borderId="8" xfId="0" applyNumberFormat="1" applyFont="1" applyBorder="1" applyAlignment="1"/>
    <xf numFmtId="10" fontId="7" fillId="0" borderId="8" xfId="0" applyNumberFormat="1" applyFont="1" applyBorder="1" applyAlignment="1"/>
    <xf numFmtId="0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/>
    <xf numFmtId="10" fontId="2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64" fontId="7" fillId="0" borderId="0" xfId="0" applyNumberFormat="1" applyFont="1" applyAlignment="1"/>
    <xf numFmtId="10" fontId="2" fillId="0" borderId="0" xfId="0" applyNumberFormat="1" applyFont="1" applyAlignment="1"/>
    <xf numFmtId="0" fontId="2" fillId="0" borderId="10" xfId="0" applyNumberFormat="1" applyFont="1" applyBorder="1" applyAlignment="1"/>
    <xf numFmtId="3" fontId="2" fillId="0" borderId="10" xfId="0" applyNumberFormat="1" applyFont="1" applyBorder="1" applyAlignment="1"/>
    <xf numFmtId="0" fontId="5" fillId="0" borderId="10" xfId="0" applyNumberFormat="1" applyFont="1" applyBorder="1" applyAlignment="1"/>
    <xf numFmtId="0" fontId="8" fillId="0" borderId="0" xfId="0" applyNumberFormat="1" applyFont="1" applyAlignment="1"/>
    <xf numFmtId="10" fontId="6" fillId="0" borderId="8" xfId="0" applyNumberFormat="1" applyFont="1" applyBorder="1" applyAlignment="1"/>
    <xf numFmtId="3" fontId="9" fillId="0" borderId="0" xfId="0" applyNumberFormat="1" applyFont="1" applyAlignment="1"/>
    <xf numFmtId="0" fontId="9" fillId="0" borderId="0" xfId="0" applyNumberFormat="1" applyFont="1" applyAlignment="1">
      <alignment horizontal="right"/>
    </xf>
    <xf numFmtId="164" fontId="2" fillId="0" borderId="0" xfId="0" applyNumberFormat="1" applyFont="1" applyAlignment="1"/>
    <xf numFmtId="10" fontId="2" fillId="0" borderId="10" xfId="0" applyNumberFormat="1" applyFont="1" applyBorder="1" applyAlignment="1"/>
    <xf numFmtId="3" fontId="2" fillId="0" borderId="9" xfId="0" applyNumberFormat="1" applyFont="1" applyBorder="1" applyAlignment="1"/>
    <xf numFmtId="0" fontId="7" fillId="0" borderId="0" xfId="0" applyNumberFormat="1" applyFont="1" applyAlignment="1"/>
    <xf numFmtId="0" fontId="10" fillId="0" borderId="0" xfId="0" applyNumberFormat="1" applyFont="1" applyAlignment="1"/>
    <xf numFmtId="0" fontId="11" fillId="0" borderId="0" xfId="0" applyNumberFormat="1" applyFont="1" applyAlignment="1"/>
    <xf numFmtId="0" fontId="12" fillId="0" borderId="0" xfId="0" applyNumberFormat="1" applyFont="1" applyAlignment="1"/>
    <xf numFmtId="0" fontId="6" fillId="0" borderId="8" xfId="0" applyNumberFormat="1" applyFont="1" applyBorder="1" applyAlignment="1">
      <alignment horizontal="center"/>
    </xf>
    <xf numFmtId="0" fontId="13" fillId="0" borderId="9" xfId="0" applyNumberFormat="1" applyFont="1" applyBorder="1" applyAlignment="1"/>
    <xf numFmtId="166" fontId="6" fillId="0" borderId="0" xfId="0" applyNumberFormat="1" applyFont="1" applyAlignment="1"/>
    <xf numFmtId="2" fontId="2" fillId="0" borderId="0" xfId="0" applyNumberFormat="1" applyFont="1" applyAlignment="1"/>
    <xf numFmtId="167" fontId="2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0" fontId="6" fillId="0" borderId="9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Continuous"/>
    </xf>
    <xf numFmtId="0" fontId="7" fillId="0" borderId="10" xfId="0" applyNumberFormat="1" applyFont="1" applyBorder="1" applyAlignment="1">
      <alignment horizontal="centerContinuous"/>
    </xf>
    <xf numFmtId="10" fontId="7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167" fontId="6" fillId="0" borderId="9" xfId="0" applyNumberFormat="1" applyFont="1" applyBorder="1" applyAlignment="1"/>
    <xf numFmtId="0" fontId="2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10" fontId="7" fillId="0" borderId="0" xfId="0" applyNumberFormat="1" applyFont="1" applyAlignment="1"/>
    <xf numFmtId="10" fontId="5" fillId="0" borderId="0" xfId="0" applyNumberFormat="1" applyFont="1" applyAlignment="1">
      <alignment horizontal="center"/>
    </xf>
    <xf numFmtId="10" fontId="7" fillId="0" borderId="10" xfId="0" applyNumberFormat="1" applyFont="1" applyBorder="1" applyAlignment="1"/>
    <xf numFmtId="164" fontId="7" fillId="0" borderId="8" xfId="0" applyNumberFormat="1" applyFont="1" applyBorder="1" applyAlignment="1"/>
    <xf numFmtId="167" fontId="7" fillId="0" borderId="8" xfId="0" applyNumberFormat="1" applyFont="1" applyBorder="1" applyAlignment="1"/>
    <xf numFmtId="3" fontId="6" fillId="0" borderId="8" xfId="0" applyNumberFormat="1" applyFont="1" applyBorder="1" applyAlignment="1"/>
    <xf numFmtId="10" fontId="2" fillId="0" borderId="9" xfId="0" applyNumberFormat="1" applyFont="1" applyBorder="1" applyAlignment="1"/>
    <xf numFmtId="10" fontId="6" fillId="0" borderId="0" xfId="0" applyNumberFormat="1" applyFont="1" applyAlignment="1"/>
    <xf numFmtId="164" fontId="6" fillId="0" borderId="0" xfId="0" applyNumberFormat="1" applyFont="1" applyAlignment="1"/>
    <xf numFmtId="10" fontId="2" fillId="0" borderId="0" xfId="0" applyNumberFormat="1" applyFont="1" applyAlignment="1">
      <alignment horizontal="center"/>
    </xf>
    <xf numFmtId="0" fontId="2" fillId="0" borderId="8" xfId="0" applyNumberFormat="1" applyFont="1" applyBorder="1" applyAlignment="1"/>
    <xf numFmtId="0" fontId="6" fillId="0" borderId="10" xfId="0" applyNumberFormat="1" applyFont="1" applyBorder="1" applyAlignment="1"/>
    <xf numFmtId="3" fontId="6" fillId="0" borderId="10" xfId="0" applyNumberFormat="1" applyFont="1" applyBorder="1" applyAlignment="1"/>
    <xf numFmtId="166" fontId="2" fillId="0" borderId="10" xfId="0" applyNumberFormat="1" applyFont="1" applyBorder="1" applyAlignment="1"/>
    <xf numFmtId="164" fontId="7" fillId="0" borderId="10" xfId="0" applyNumberFormat="1" applyFont="1" applyBorder="1" applyAlignment="1"/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3" fontId="6" fillId="0" borderId="0" xfId="0" applyNumberFormat="1" applyFont="1" applyAlignment="1"/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Alignment="1"/>
    <xf numFmtId="166" fontId="2" fillId="0" borderId="0" xfId="0" applyNumberFormat="1" applyFont="1" applyAlignment="1">
      <alignment horizontal="right"/>
    </xf>
    <xf numFmtId="3" fontId="14" fillId="0" borderId="0" xfId="0" applyNumberFormat="1" applyFont="1" applyAlignment="1"/>
    <xf numFmtId="0" fontId="15" fillId="0" borderId="0" xfId="0" applyNumberFormat="1" applyFont="1" applyAlignment="1"/>
    <xf numFmtId="0" fontId="8" fillId="0" borderId="0" xfId="0" applyNumberFormat="1" applyFont="1" applyAlignment="1">
      <alignment horizontal="centerContinuous"/>
    </xf>
    <xf numFmtId="0" fontId="8" fillId="0" borderId="0" xfId="0" applyNumberFormat="1" applyFont="1" applyAlignment="1">
      <alignment horizontal="center"/>
    </xf>
    <xf numFmtId="0" fontId="8" fillId="0" borderId="9" xfId="0" applyNumberFormat="1" applyFont="1" applyBorder="1" applyAlignment="1"/>
    <xf numFmtId="3" fontId="8" fillId="0" borderId="0" xfId="0" applyNumberFormat="1" applyFont="1" applyAlignment="1"/>
    <xf numFmtId="10" fontId="8" fillId="0" borderId="0" xfId="0" applyNumberFormat="1" applyFont="1" applyAlignment="1"/>
    <xf numFmtId="3" fontId="17" fillId="0" borderId="0" xfId="0" applyNumberFormat="1" applyFont="1" applyAlignment="1"/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/>
    <xf numFmtId="3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168" fontId="8" fillId="0" borderId="0" xfId="0" applyNumberFormat="1" applyFont="1" applyAlignment="1"/>
    <xf numFmtId="170" fontId="8" fillId="0" borderId="0" xfId="0" applyNumberFormat="1" applyFont="1" applyAlignment="1"/>
    <xf numFmtId="171" fontId="8" fillId="0" borderId="0" xfId="0" applyNumberFormat="1" applyFont="1" applyAlignment="1">
      <alignment horizontal="right"/>
    </xf>
    <xf numFmtId="172" fontId="8" fillId="0" borderId="0" xfId="0" applyNumberFormat="1" applyFont="1" applyAlignment="1">
      <alignment horizontal="right"/>
    </xf>
    <xf numFmtId="171" fontId="8" fillId="0" borderId="0" xfId="0" applyNumberFormat="1" applyFont="1" applyAlignment="1"/>
    <xf numFmtId="15" fontId="7" fillId="0" borderId="9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center"/>
    </xf>
    <xf numFmtId="171" fontId="0" fillId="0" borderId="0" xfId="0" applyNumberFormat="1"/>
    <xf numFmtId="172" fontId="0" fillId="0" borderId="0" xfId="0" applyNumberFormat="1"/>
    <xf numFmtId="15" fontId="7" fillId="0" borderId="8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168" fontId="18" fillId="0" borderId="0" xfId="0" applyNumberFormat="1" applyFont="1" applyBorder="1" applyAlignment="1">
      <alignment horizontal="right"/>
    </xf>
    <xf numFmtId="169" fontId="2" fillId="0" borderId="0" xfId="0" applyNumberFormat="1" applyFont="1" applyAlignment="1"/>
    <xf numFmtId="0" fontId="5" fillId="0" borderId="10" xfId="0" applyNumberFormat="1" applyFont="1" applyBorder="1" applyAlignment="1">
      <alignment horizontal="center"/>
    </xf>
    <xf numFmtId="10" fontId="1" fillId="0" borderId="10" xfId="0" applyNumberFormat="1" applyFont="1" applyBorder="1" applyAlignment="1"/>
    <xf numFmtId="0" fontId="1" fillId="0" borderId="10" xfId="0" applyNumberFormat="1" applyFont="1" applyBorder="1" applyAlignment="1">
      <alignment horizontal="left"/>
    </xf>
    <xf numFmtId="0" fontId="1" fillId="0" borderId="11" xfId="0" applyNumberFormat="1" applyFont="1" applyBorder="1" applyAlignment="1"/>
    <xf numFmtId="167" fontId="1" fillId="0" borderId="0" xfId="0" applyNumberFormat="1" applyFont="1" applyAlignment="1"/>
    <xf numFmtId="0" fontId="8" fillId="0" borderId="13" xfId="0" applyNumberFormat="1" applyFont="1" applyBorder="1" applyAlignment="1"/>
    <xf numFmtId="0" fontId="8" fillId="0" borderId="14" xfId="0" applyNumberFormat="1" applyFont="1" applyBorder="1" applyAlignment="1"/>
    <xf numFmtId="168" fontId="8" fillId="0" borderId="0" xfId="0" applyNumberFormat="1" applyFont="1" applyBorder="1" applyAlignment="1"/>
    <xf numFmtId="168" fontId="8" fillId="0" borderId="16" xfId="0" applyNumberFormat="1" applyFont="1" applyBorder="1" applyAlignment="1"/>
    <xf numFmtId="10" fontId="15" fillId="0" borderId="0" xfId="430" applyNumberFormat="1" applyFont="1" applyAlignment="1"/>
    <xf numFmtId="3" fontId="1" fillId="0" borderId="0" xfId="0" applyNumberFormat="1" applyFont="1" applyAlignment="1"/>
    <xf numFmtId="15" fontId="2" fillId="0" borderId="0" xfId="0" applyNumberFormat="1" applyFont="1" applyAlignment="1">
      <alignment horizontal="center"/>
    </xf>
    <xf numFmtId="10" fontId="8" fillId="0" borderId="0" xfId="430" applyNumberFormat="1" applyFont="1" applyAlignment="1"/>
    <xf numFmtId="0" fontId="8" fillId="0" borderId="0" xfId="0" applyFont="1"/>
    <xf numFmtId="171" fontId="19" fillId="0" borderId="17" xfId="0" applyNumberFormat="1" applyFont="1" applyFill="1" applyBorder="1" applyAlignment="1"/>
    <xf numFmtId="0" fontId="19" fillId="0" borderId="17" xfId="0" applyFont="1" applyFill="1" applyBorder="1" applyAlignme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8" fontId="18" fillId="25" borderId="0" xfId="0" applyNumberFormat="1" applyFont="1" applyFill="1" applyAlignment="1">
      <alignment horizontal="right"/>
    </xf>
    <xf numFmtId="173" fontId="8" fillId="0" borderId="0" xfId="28" applyNumberFormat="1" applyFont="1" applyAlignment="1"/>
    <xf numFmtId="10" fontId="2" fillId="0" borderId="10" xfId="430" applyNumberFormat="1" applyFont="1" applyBorder="1" applyAlignment="1">
      <alignment horizontal="center"/>
    </xf>
    <xf numFmtId="14" fontId="7" fillId="0" borderId="8" xfId="0" applyNumberFormat="1" applyFont="1" applyBorder="1" applyAlignment="1">
      <alignment horizontal="center"/>
    </xf>
    <xf numFmtId="171" fontId="15" fillId="0" borderId="0" xfId="0" applyNumberFormat="1" applyFont="1" applyAlignment="1"/>
    <xf numFmtId="0" fontId="8" fillId="0" borderId="18" xfId="0" applyNumberFormat="1" applyFont="1" applyBorder="1" applyAlignment="1"/>
    <xf numFmtId="0" fontId="8" fillId="0" borderId="0" xfId="0" applyNumberFormat="1" applyFont="1" applyBorder="1" applyAlignment="1"/>
    <xf numFmtId="168" fontId="8" fillId="0" borderId="14" xfId="0" applyNumberFormat="1" applyFont="1" applyBorder="1" applyAlignment="1"/>
    <xf numFmtId="168" fontId="8" fillId="0" borderId="19" xfId="0" applyNumberFormat="1" applyFont="1" applyBorder="1" applyAlignment="1"/>
    <xf numFmtId="0" fontId="8" fillId="0" borderId="14" xfId="0" applyNumberFormat="1" applyFont="1" applyBorder="1" applyAlignment="1">
      <alignment horizontal="center"/>
    </xf>
    <xf numFmtId="10" fontId="8" fillId="0" borderId="14" xfId="430" applyNumberFormat="1" applyFont="1" applyBorder="1" applyAlignment="1">
      <alignment horizontal="right"/>
    </xf>
    <xf numFmtId="0" fontId="8" fillId="0" borderId="14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172" fontId="15" fillId="0" borderId="0" xfId="0" applyNumberFormat="1" applyFont="1" applyAlignment="1"/>
    <xf numFmtId="15" fontId="5" fillId="0" borderId="0" xfId="0" applyNumberFormat="1" applyFont="1" applyAlignment="1">
      <alignment horizontal="center"/>
    </xf>
    <xf numFmtId="0" fontId="50" fillId="0" borderId="0" xfId="0" applyFont="1"/>
    <xf numFmtId="1" fontId="50" fillId="0" borderId="0" xfId="0" applyNumberFormat="1" applyFont="1" applyFill="1" applyAlignment="1">
      <alignment horizontal="left"/>
    </xf>
    <xf numFmtId="0" fontId="50" fillId="0" borderId="0" xfId="0" applyFont="1" applyFill="1"/>
    <xf numFmtId="2" fontId="50" fillId="0" borderId="0" xfId="0" applyNumberFormat="1" applyFont="1" applyFill="1"/>
    <xf numFmtId="2" fontId="15" fillId="0" borderId="0" xfId="0" applyNumberFormat="1" applyFont="1" applyAlignment="1"/>
    <xf numFmtId="10" fontId="0" fillId="0" borderId="0" xfId="0" applyNumberFormat="1"/>
    <xf numFmtId="0" fontId="0" fillId="25" borderId="0" xfId="0" applyFill="1"/>
    <xf numFmtId="10" fontId="0" fillId="25" borderId="0" xfId="0" applyNumberFormat="1" applyFill="1"/>
    <xf numFmtId="0" fontId="49" fillId="0" borderId="0" xfId="0" applyFont="1"/>
    <xf numFmtId="10" fontId="49" fillId="0" borderId="0" xfId="0" applyNumberFormat="1" applyFont="1"/>
    <xf numFmtId="176" fontId="49" fillId="0" borderId="0" xfId="0" applyNumberFormat="1" applyFont="1"/>
    <xf numFmtId="0" fontId="1" fillId="0" borderId="10" xfId="0" applyNumberFormat="1" applyFont="1" applyBorder="1" applyAlignment="1">
      <alignment horizontal="center"/>
    </xf>
    <xf numFmtId="4" fontId="50" fillId="0" borderId="0" xfId="0" applyNumberFormat="1" applyFont="1"/>
    <xf numFmtId="4" fontId="15" fillId="0" borderId="0" xfId="0" applyNumberFormat="1" applyFont="1" applyAlignment="1"/>
    <xf numFmtId="0" fontId="39" fillId="0" borderId="0" xfId="418" applyNumberFormat="1" applyFont="1" applyFill="1" applyBorder="1" applyAlignment="1">
      <alignment horizontal="center"/>
    </xf>
    <xf numFmtId="10" fontId="51" fillId="0" borderId="24" xfId="430" applyNumberFormat="1" applyFont="1" applyFill="1" applyBorder="1"/>
    <xf numFmtId="10" fontId="51" fillId="0" borderId="0" xfId="430" applyNumberFormat="1" applyFont="1" applyFill="1" applyBorder="1"/>
    <xf numFmtId="0" fontId="19" fillId="0" borderId="0" xfId="418" applyFont="1" applyFill="1" applyBorder="1"/>
    <xf numFmtId="0" fontId="39" fillId="0" borderId="0" xfId="418" applyNumberFormat="1" applyFont="1" applyFill="1" applyBorder="1" applyAlignment="1"/>
    <xf numFmtId="0" fontId="19" fillId="0" borderId="0" xfId="418" applyFont="1" applyFill="1" applyBorder="1" applyAlignment="1">
      <alignment horizontal="center"/>
    </xf>
    <xf numFmtId="0" fontId="53" fillId="0" borderId="0" xfId="418" applyFont="1" applyFill="1" applyBorder="1" applyAlignment="1">
      <alignment horizontal="centerContinuous"/>
    </xf>
    <xf numFmtId="0" fontId="54" fillId="0" borderId="0" xfId="0" applyFont="1" applyFill="1" applyAlignment="1">
      <alignment horizontal="centerContinuous"/>
    </xf>
    <xf numFmtId="174" fontId="19" fillId="0" borderId="0" xfId="28" applyNumberFormat="1" applyFont="1" applyFill="1" applyBorder="1" applyAlignment="1">
      <alignment horizontal="centerContinuous"/>
    </xf>
    <xf numFmtId="0" fontId="53" fillId="0" borderId="0" xfId="0" applyFont="1" applyFill="1" applyAlignment="1">
      <alignment horizontal="centerContinuous"/>
    </xf>
    <xf numFmtId="0" fontId="51" fillId="0" borderId="0" xfId="0" applyFont="1" applyFill="1" applyAlignment="1">
      <alignment horizontal="centerContinuous"/>
    </xf>
    <xf numFmtId="0" fontId="19" fillId="0" borderId="0" xfId="418" applyFont="1" applyFill="1" applyBorder="1" applyAlignment="1">
      <alignment horizontal="centerContinuous"/>
    </xf>
    <xf numFmtId="0" fontId="55" fillId="0" borderId="0" xfId="418" applyFont="1" applyFill="1" applyBorder="1" applyAlignment="1">
      <alignment horizontal="centerContinuous"/>
    </xf>
    <xf numFmtId="0" fontId="40" fillId="0" borderId="0" xfId="418" applyFont="1" applyFill="1" applyBorder="1" applyAlignment="1">
      <alignment horizontal="centerContinuous"/>
    </xf>
    <xf numFmtId="0" fontId="56" fillId="0" borderId="0" xfId="0" applyFont="1" applyFill="1" applyAlignment="1">
      <alignment horizontal="centerContinuous"/>
    </xf>
    <xf numFmtId="0" fontId="57" fillId="0" borderId="0" xfId="0" applyFont="1" applyFill="1" applyAlignment="1">
      <alignment horizontal="centerContinuous"/>
    </xf>
    <xf numFmtId="0" fontId="40" fillId="0" borderId="0" xfId="418" applyFont="1" applyFill="1" applyBorder="1"/>
    <xf numFmtId="0" fontId="0" fillId="0" borderId="0" xfId="0" applyFill="1"/>
    <xf numFmtId="0" fontId="51" fillId="0" borderId="0" xfId="0" applyFont="1" applyFill="1"/>
    <xf numFmtId="0" fontId="19" fillId="0" borderId="16" xfId="418" applyFont="1" applyFill="1" applyBorder="1" applyAlignment="1">
      <alignment horizontal="center"/>
    </xf>
    <xf numFmtId="0" fontId="19" fillId="0" borderId="16" xfId="418" applyFont="1" applyFill="1" applyBorder="1"/>
    <xf numFmtId="174" fontId="40" fillId="0" borderId="16" xfId="28" applyNumberFormat="1" applyFont="1" applyFill="1" applyBorder="1" applyAlignment="1">
      <alignment horizontal="center" wrapText="1"/>
    </xf>
    <xf numFmtId="0" fontId="19" fillId="0" borderId="0" xfId="418" applyNumberFormat="1" applyFont="1" applyFill="1" applyBorder="1" applyAlignment="1"/>
    <xf numFmtId="0" fontId="18" fillId="0" borderId="0" xfId="418" applyFont="1" applyFill="1" applyBorder="1"/>
    <xf numFmtId="0" fontId="41" fillId="0" borderId="0" xfId="418" applyNumberFormat="1" applyFont="1" applyFill="1" applyBorder="1" applyAlignment="1">
      <alignment horizontal="center"/>
    </xf>
    <xf numFmtId="10" fontId="18" fillId="0" borderId="0" xfId="430" applyNumberFormat="1" applyFont="1" applyAlignment="1">
      <alignment horizontal="right"/>
    </xf>
    <xf numFmtId="10" fontId="16" fillId="0" borderId="0" xfId="0" applyNumberFormat="1" applyFont="1" applyAlignment="1"/>
    <xf numFmtId="10" fontId="2" fillId="0" borderId="10" xfId="430" applyNumberFormat="1" applyFont="1" applyBorder="1" applyAlignment="1"/>
    <xf numFmtId="10" fontId="16" fillId="0" borderId="0" xfId="430" applyNumberFormat="1" applyFont="1" applyAlignment="1"/>
    <xf numFmtId="10" fontId="0" fillId="0" borderId="0" xfId="430" applyNumberFormat="1" applyFont="1"/>
    <xf numFmtId="0" fontId="51" fillId="0" borderId="24" xfId="226" applyNumberFormat="1" applyFont="1" applyFill="1" applyBorder="1"/>
    <xf numFmtId="0" fontId="2" fillId="0" borderId="15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3" fontId="2" fillId="0" borderId="15" xfId="0" applyNumberFormat="1" applyFont="1" applyBorder="1" applyAlignment="1"/>
    <xf numFmtId="10" fontId="0" fillId="0" borderId="0" xfId="430" applyNumberFormat="1" applyFont="1" applyBorder="1"/>
    <xf numFmtId="0" fontId="8" fillId="0" borderId="0" xfId="0" applyFont="1" applyAlignment="1">
      <alignment horizontal="center" wrapText="1"/>
    </xf>
    <xf numFmtId="173" fontId="2" fillId="0" borderId="10" xfId="28" applyNumberFormat="1" applyFont="1" applyBorder="1" applyAlignment="1"/>
    <xf numFmtId="173" fontId="2" fillId="0" borderId="0" xfId="28" applyNumberFormat="1" applyFont="1" applyAlignment="1"/>
    <xf numFmtId="3" fontId="7" fillId="0" borderId="21" xfId="0" applyNumberFormat="1" applyFont="1" applyBorder="1" applyAlignment="1"/>
    <xf numFmtId="0" fontId="6" fillId="0" borderId="0" xfId="0" applyNumberFormat="1" applyFont="1" applyBorder="1" applyAlignment="1"/>
    <xf numFmtId="0" fontId="58" fillId="0" borderId="0" xfId="0" applyFont="1"/>
    <xf numFmtId="0" fontId="59" fillId="0" borderId="0" xfId="0" applyFont="1" applyFill="1"/>
    <xf numFmtId="10" fontId="8" fillId="0" borderId="0" xfId="430" applyNumberFormat="1" applyFont="1" applyAlignment="1">
      <alignment horizontal="right"/>
    </xf>
    <xf numFmtId="177" fontId="51" fillId="0" borderId="24" xfId="226" applyNumberFormat="1" applyFont="1" applyFill="1" applyBorder="1"/>
    <xf numFmtId="177" fontId="0" fillId="0" borderId="0" xfId="226" applyNumberFormat="1" applyFont="1"/>
    <xf numFmtId="172" fontId="0" fillId="0" borderId="0" xfId="430" applyNumberFormat="1" applyFont="1"/>
    <xf numFmtId="0" fontId="0" fillId="0" borderId="0" xfId="0" applyAlignment="1">
      <alignment horizontal="center" wrapText="1"/>
    </xf>
    <xf numFmtId="10" fontId="19" fillId="0" borderId="0" xfId="430" applyNumberFormat="1" applyFont="1" applyFill="1" applyBorder="1"/>
    <xf numFmtId="0" fontId="43" fillId="0" borderId="0" xfId="0" applyFont="1"/>
    <xf numFmtId="10" fontId="60" fillId="0" borderId="0" xfId="430" applyNumberFormat="1" applyFont="1" applyFill="1" applyBorder="1"/>
    <xf numFmtId="10" fontId="44" fillId="0" borderId="0" xfId="430" applyNumberFormat="1" applyFont="1" applyFill="1" applyBorder="1"/>
    <xf numFmtId="3" fontId="0" fillId="0" borderId="0" xfId="0" applyNumberFormat="1"/>
    <xf numFmtId="0" fontId="16" fillId="0" borderId="9" xfId="0" applyNumberFormat="1" applyFont="1" applyBorder="1" applyAlignment="1"/>
    <xf numFmtId="0" fontId="45" fillId="0" borderId="0" xfId="0" applyFont="1"/>
    <xf numFmtId="6" fontId="0" fillId="0" borderId="17" xfId="0" applyNumberFormat="1" applyBorder="1"/>
    <xf numFmtId="0" fontId="51" fillId="0" borderId="0" xfId="0" applyFont="1" applyFill="1" applyAlignment="1">
      <alignment horizontal="center" vertical="center"/>
    </xf>
    <xf numFmtId="10" fontId="0" fillId="0" borderId="17" xfId="0" applyNumberFormat="1" applyBorder="1"/>
    <xf numFmtId="0" fontId="39" fillId="0" borderId="0" xfId="418" applyNumberFormat="1" applyFont="1" applyFill="1" applyBorder="1" applyAlignment="1">
      <alignment horizontal="left"/>
    </xf>
    <xf numFmtId="177" fontId="60" fillId="0" borderId="24" xfId="226" applyNumberFormat="1" applyFont="1" applyFill="1" applyBorder="1"/>
    <xf numFmtId="0" fontId="61" fillId="0" borderId="0" xfId="0" applyFont="1" applyFill="1"/>
    <xf numFmtId="174" fontId="61" fillId="0" borderId="0" xfId="28" applyNumberFormat="1" applyFont="1" applyFill="1"/>
    <xf numFmtId="171" fontId="20" fillId="0" borderId="17" xfId="0" applyNumberFormat="1" applyFont="1" applyFill="1" applyBorder="1" applyAlignment="1"/>
    <xf numFmtId="174" fontId="20" fillId="0" borderId="17" xfId="28" applyNumberFormat="1" applyFont="1" applyFill="1" applyBorder="1" applyAlignment="1"/>
    <xf numFmtId="0" fontId="62" fillId="0" borderId="0" xfId="0" applyFont="1" applyFill="1"/>
    <xf numFmtId="174" fontId="62" fillId="0" borderId="0" xfId="28" applyNumberFormat="1" applyFont="1" applyFill="1"/>
    <xf numFmtId="10" fontId="18" fillId="0" borderId="0" xfId="430" applyNumberFormat="1" applyFont="1"/>
    <xf numFmtId="10" fontId="62" fillId="0" borderId="0" xfId="430" applyNumberFormat="1" applyFont="1" applyFill="1"/>
    <xf numFmtId="1" fontId="0" fillId="0" borderId="0" xfId="430" applyNumberFormat="1" applyFont="1"/>
    <xf numFmtId="0" fontId="19" fillId="25" borderId="0" xfId="418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wrapText="1"/>
    </xf>
    <xf numFmtId="10" fontId="19" fillId="25" borderId="0" xfId="418" applyNumberFormat="1" applyFont="1" applyFill="1" applyBorder="1"/>
    <xf numFmtId="3" fontId="1" fillId="0" borderId="9" xfId="0" applyNumberFormat="1" applyFont="1" applyBorder="1" applyAlignment="1"/>
    <xf numFmtId="3" fontId="1" fillId="0" borderId="15" xfId="0" applyNumberFormat="1" applyFont="1" applyBorder="1" applyAlignment="1"/>
    <xf numFmtId="164" fontId="0" fillId="0" borderId="0" xfId="0" applyNumberFormat="1"/>
    <xf numFmtId="0" fontId="2" fillId="26" borderId="0" xfId="0" applyNumberFormat="1" applyFont="1" applyFill="1" applyAlignment="1"/>
    <xf numFmtId="0" fontId="1" fillId="26" borderId="0" xfId="0" applyNumberFormat="1" applyFont="1" applyFill="1" applyAlignment="1"/>
    <xf numFmtId="0" fontId="46" fillId="0" borderId="0" xfId="418" applyFont="1" applyFill="1" applyBorder="1"/>
    <xf numFmtId="175" fontId="8" fillId="0" borderId="0" xfId="0" applyNumberFormat="1" applyFont="1" applyAlignment="1"/>
    <xf numFmtId="0" fontId="8" fillId="27" borderId="0" xfId="0" applyNumberFormat="1" applyFont="1" applyFill="1" applyAlignment="1"/>
    <xf numFmtId="0" fontId="0" fillId="0" borderId="0" xfId="0" applyAlignment="1">
      <alignment horizontal="center"/>
    </xf>
    <xf numFmtId="0" fontId="42" fillId="0" borderId="22" xfId="0" applyNumberFormat="1" applyFont="1" applyBorder="1" applyAlignment="1"/>
    <xf numFmtId="0" fontId="42" fillId="0" borderId="23" xfId="0" applyNumberFormat="1" applyFont="1" applyBorder="1" applyAlignment="1"/>
    <xf numFmtId="0" fontId="42" fillId="0" borderId="23" xfId="0" applyNumberFormat="1" applyFont="1" applyBorder="1" applyAlignment="1">
      <alignment horizontal="left"/>
    </xf>
    <xf numFmtId="0" fontId="42" fillId="0" borderId="17" xfId="0" applyNumberFormat="1" applyFont="1" applyBorder="1" applyAlignment="1"/>
    <xf numFmtId="175" fontId="0" fillId="0" borderId="17" xfId="0" applyNumberFormat="1" applyBorder="1"/>
    <xf numFmtId="6" fontId="19" fillId="0" borderId="0" xfId="28" applyNumberFormat="1" applyFont="1" applyFill="1" applyBorder="1" applyAlignment="1">
      <alignment horizontal="centerContinuous"/>
    </xf>
    <xf numFmtId="6" fontId="19" fillId="0" borderId="0" xfId="418" applyNumberFormat="1" applyFont="1" applyFill="1" applyBorder="1"/>
    <xf numFmtId="6" fontId="19" fillId="0" borderId="0" xfId="418" applyNumberFormat="1" applyFont="1" applyFill="1" applyBorder="1" applyAlignment="1">
      <alignment wrapText="1"/>
    </xf>
    <xf numFmtId="6" fontId="19" fillId="25" borderId="0" xfId="418" applyNumberFormat="1" applyFont="1" applyFill="1" applyBorder="1"/>
    <xf numFmtId="6" fontId="52" fillId="0" borderId="0" xfId="430" applyNumberFormat="1" applyFont="1" applyFill="1" applyBorder="1"/>
    <xf numFmtId="6" fontId="0" fillId="0" borderId="0" xfId="0" applyNumberFormat="1"/>
    <xf numFmtId="0" fontId="40" fillId="0" borderId="0" xfId="418" applyFont="1" applyFill="1" applyBorder="1" applyAlignment="1">
      <alignment horizontal="center"/>
    </xf>
    <xf numFmtId="174" fontId="0" fillId="0" borderId="0" xfId="0" applyNumberFormat="1"/>
    <xf numFmtId="165" fontId="7" fillId="0" borderId="8" xfId="0" applyNumberFormat="1" applyFont="1" applyBorder="1" applyAlignment="1"/>
    <xf numFmtId="0" fontId="8" fillId="0" borderId="0" xfId="0" applyFont="1" applyFill="1"/>
    <xf numFmtId="10" fontId="6" fillId="28" borderId="9" xfId="0" applyNumberFormat="1" applyFont="1" applyFill="1" applyBorder="1" applyAlignment="1"/>
    <xf numFmtId="0" fontId="2" fillId="0" borderId="0" xfId="0" applyNumberFormat="1" applyFont="1" applyFill="1" applyAlignment="1"/>
    <xf numFmtId="0" fontId="7" fillId="0" borderId="10" xfId="0" applyNumberFormat="1" applyFont="1" applyFill="1" applyBorder="1" applyAlignment="1">
      <alignment horizontal="centerContinuous"/>
    </xf>
    <xf numFmtId="15" fontId="7" fillId="0" borderId="8" xfId="0" applyNumberFormat="1" applyFont="1" applyFill="1" applyBorder="1" applyAlignment="1">
      <alignment horizontal="center"/>
    </xf>
    <xf numFmtId="0" fontId="7" fillId="0" borderId="9" xfId="0" applyNumberFormat="1" applyFont="1" applyFill="1" applyBorder="1" applyAlignment="1">
      <alignment horizontal="center"/>
    </xf>
    <xf numFmtId="0" fontId="5" fillId="0" borderId="10" xfId="0" applyNumberFormat="1" applyFont="1" applyFill="1" applyBorder="1" applyAlignment="1">
      <alignment horizontal="center"/>
    </xf>
    <xf numFmtId="165" fontId="7" fillId="0" borderId="8" xfId="0" applyNumberFormat="1" applyFont="1" applyFill="1" applyBorder="1" applyAlignment="1"/>
    <xf numFmtId="165" fontId="6" fillId="0" borderId="8" xfId="0" applyNumberFormat="1" applyFont="1" applyFill="1" applyBorder="1" applyAlignment="1"/>
    <xf numFmtId="10" fontId="7" fillId="0" borderId="8" xfId="0" applyNumberFormat="1" applyFont="1" applyFill="1" applyBorder="1" applyAlignment="1"/>
    <xf numFmtId="10" fontId="7" fillId="0" borderId="21" xfId="0" applyNumberFormat="1" applyFont="1" applyFill="1" applyBorder="1" applyAlignment="1"/>
    <xf numFmtId="0" fontId="1" fillId="0" borderId="0" xfId="0" applyNumberFormat="1" applyFont="1" applyFill="1" applyAlignment="1"/>
    <xf numFmtId="3" fontId="2" fillId="0" borderId="0" xfId="0" applyNumberFormat="1" applyFont="1" applyFill="1" applyAlignment="1"/>
    <xf numFmtId="0" fontId="7" fillId="0" borderId="8" xfId="0" applyNumberFormat="1" applyFont="1" applyFill="1" applyBorder="1" applyAlignment="1">
      <alignment horizontal="center"/>
    </xf>
    <xf numFmtId="15" fontId="7" fillId="0" borderId="9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/>
    <xf numFmtId="0" fontId="2" fillId="0" borderId="10" xfId="0" applyNumberFormat="1" applyFont="1" applyFill="1" applyBorder="1" applyAlignment="1"/>
    <xf numFmtId="164" fontId="7" fillId="0" borderId="8" xfId="0" applyNumberFormat="1" applyFont="1" applyFill="1" applyBorder="1" applyAlignment="1"/>
    <xf numFmtId="0" fontId="5" fillId="0" borderId="0" xfId="0" applyNumberFormat="1" applyFont="1" applyFill="1" applyAlignment="1">
      <alignment horizontal="center"/>
    </xf>
    <xf numFmtId="3" fontId="9" fillId="0" borderId="0" xfId="0" applyNumberFormat="1" applyFont="1" applyFill="1" applyAlignment="1"/>
    <xf numFmtId="10" fontId="2" fillId="0" borderId="1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quotePrefix="1" applyNumberFormat="1" applyFont="1" applyAlignment="1"/>
    <xf numFmtId="0" fontId="8" fillId="0" borderId="0" xfId="0" applyFont="1" applyFill="1" applyAlignment="1">
      <alignment horizontal="center"/>
    </xf>
    <xf numFmtId="15" fontId="4" fillId="0" borderId="0" xfId="0" applyNumberFormat="1" applyFont="1" applyAlignment="1"/>
    <xf numFmtId="3" fontId="7" fillId="0" borderId="0" xfId="0" applyNumberFormat="1" applyFont="1" applyFill="1" applyBorder="1" applyAlignment="1"/>
    <xf numFmtId="0" fontId="6" fillId="0" borderId="12" xfId="0" applyNumberFormat="1" applyFont="1" applyFill="1" applyBorder="1" applyAlignment="1">
      <alignment horizontal="center"/>
    </xf>
    <xf numFmtId="0" fontId="6" fillId="0" borderId="9" xfId="0" applyNumberFormat="1" applyFont="1" applyFill="1" applyBorder="1" applyAlignment="1">
      <alignment horizontal="center"/>
    </xf>
    <xf numFmtId="10" fontId="6" fillId="0" borderId="10" xfId="0" applyNumberFormat="1" applyFont="1" applyFill="1" applyBorder="1" applyAlignment="1">
      <alignment horizontal="center"/>
    </xf>
    <xf numFmtId="172" fontId="6" fillId="0" borderId="8" xfId="0" applyNumberFormat="1" applyFont="1" applyFill="1" applyBorder="1" applyAlignment="1"/>
    <xf numFmtId="172" fontId="2" fillId="0" borderId="10" xfId="0" applyNumberFormat="1" applyFont="1" applyFill="1" applyBorder="1" applyAlignment="1"/>
    <xf numFmtId="0" fontId="6" fillId="0" borderId="0" xfId="0" applyNumberFormat="1" applyFont="1" applyFill="1" applyAlignment="1"/>
    <xf numFmtId="10" fontId="2" fillId="0" borderId="0" xfId="0" applyNumberFormat="1" applyFont="1" applyFill="1" applyAlignment="1"/>
    <xf numFmtId="164" fontId="2" fillId="0" borderId="0" xfId="0" applyNumberFormat="1" applyFont="1" applyFill="1" applyAlignment="1"/>
    <xf numFmtId="0" fontId="7" fillId="0" borderId="8" xfId="0" applyNumberFormat="1" applyFont="1" applyFill="1" applyBorder="1" applyAlignment="1"/>
    <xf numFmtId="3" fontId="7" fillId="0" borderId="8" xfId="0" applyNumberFormat="1" applyFont="1" applyFill="1" applyBorder="1" applyAlignment="1"/>
    <xf numFmtId="167" fontId="7" fillId="0" borderId="8" xfId="0" applyNumberFormat="1" applyFont="1" applyFill="1" applyBorder="1" applyAlignment="1"/>
    <xf numFmtId="3" fontId="6" fillId="0" borderId="8" xfId="0" applyNumberFormat="1" applyFont="1" applyFill="1" applyBorder="1" applyAlignment="1"/>
    <xf numFmtId="10" fontId="6" fillId="0" borderId="8" xfId="0" applyNumberFormat="1" applyFont="1" applyFill="1" applyBorder="1" applyAlignment="1"/>
    <xf numFmtId="0" fontId="2" fillId="0" borderId="9" xfId="0" applyNumberFormat="1" applyFont="1" applyFill="1" applyBorder="1" applyAlignment="1"/>
    <xf numFmtId="10" fontId="2" fillId="0" borderId="9" xfId="0" applyNumberFormat="1" applyFont="1" applyFill="1" applyBorder="1" applyAlignment="1"/>
    <xf numFmtId="10" fontId="6" fillId="0" borderId="0" xfId="0" applyNumberFormat="1" applyFont="1" applyFill="1" applyAlignment="1"/>
    <xf numFmtId="164" fontId="6" fillId="0" borderId="0" xfId="0" applyNumberFormat="1" applyFont="1" applyFill="1" applyAlignment="1"/>
    <xf numFmtId="10" fontId="0" fillId="0" borderId="0" xfId="0" applyNumberFormat="1" applyFill="1"/>
    <xf numFmtId="0" fontId="2" fillId="0" borderId="0" xfId="0" applyNumberFormat="1" applyFont="1" applyFill="1" applyAlignment="1">
      <alignment horizontal="centerContinuous"/>
    </xf>
    <xf numFmtId="0" fontId="1" fillId="0" borderId="27" xfId="0" applyNumberFormat="1" applyFont="1" applyBorder="1" applyAlignment="1">
      <alignment horizontal="center"/>
    </xf>
    <xf numFmtId="0" fontId="5" fillId="0" borderId="27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5" fillId="0" borderId="28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3" fontId="2" fillId="0" borderId="14" xfId="0" applyNumberFormat="1" applyFont="1" applyBorder="1" applyAlignment="1"/>
    <xf numFmtId="3" fontId="2" fillId="0" borderId="0" xfId="0" applyNumberFormat="1" applyFont="1" applyBorder="1" applyAlignment="1"/>
    <xf numFmtId="3" fontId="1" fillId="0" borderId="14" xfId="0" applyNumberFormat="1" applyFont="1" applyBorder="1" applyAlignment="1"/>
    <xf numFmtId="3" fontId="1" fillId="0" borderId="0" xfId="0" applyNumberFormat="1" applyFont="1" applyBorder="1" applyAlignment="1"/>
    <xf numFmtId="3" fontId="2" fillId="0" borderId="19" xfId="0" applyNumberFormat="1" applyFont="1" applyBorder="1" applyAlignment="1"/>
    <xf numFmtId="3" fontId="2" fillId="0" borderId="16" xfId="0" applyNumberFormat="1" applyFont="1" applyBorder="1" applyAlignment="1"/>
    <xf numFmtId="3" fontId="2" fillId="0" borderId="26" xfId="0" applyNumberFormat="1" applyFont="1" applyBorder="1" applyAlignment="1"/>
    <xf numFmtId="0" fontId="63" fillId="0" borderId="0" xfId="0" applyNumberFormat="1" applyFont="1" applyAlignment="1"/>
    <xf numFmtId="0" fontId="64" fillId="0" borderId="0" xfId="0" applyNumberFormat="1" applyFont="1" applyAlignment="1"/>
    <xf numFmtId="3" fontId="63" fillId="0" borderId="14" xfId="0" applyNumberFormat="1" applyFont="1" applyBorder="1" applyAlignment="1"/>
    <xf numFmtId="3" fontId="63" fillId="0" borderId="0" xfId="0" applyNumberFormat="1" applyFont="1" applyBorder="1" applyAlignment="1"/>
    <xf numFmtId="3" fontId="63" fillId="0" borderId="15" xfId="0" applyNumberFormat="1" applyFont="1" applyBorder="1" applyAlignment="1"/>
    <xf numFmtId="3" fontId="63" fillId="0" borderId="0" xfId="0" applyNumberFormat="1" applyFont="1" applyAlignment="1"/>
    <xf numFmtId="3" fontId="63" fillId="0" borderId="9" xfId="0" applyNumberFormat="1" applyFont="1" applyBorder="1" applyAlignment="1"/>
    <xf numFmtId="3" fontId="63" fillId="0" borderId="20" xfId="0" applyNumberFormat="1" applyFont="1" applyBorder="1" applyAlignment="1"/>
    <xf numFmtId="0" fontId="63" fillId="0" borderId="9" xfId="0" applyNumberFormat="1" applyFont="1" applyBorder="1" applyAlignment="1"/>
    <xf numFmtId="173" fontId="63" fillId="0" borderId="0" xfId="28" applyNumberFormat="1" applyFont="1" applyAlignment="1"/>
    <xf numFmtId="37" fontId="17" fillId="0" borderId="0" xfId="0" applyNumberFormat="1" applyFont="1" applyAlignment="1"/>
    <xf numFmtId="38" fontId="7" fillId="0" borderId="8" xfId="0" applyNumberFormat="1" applyFont="1" applyBorder="1" applyAlignment="1"/>
    <xf numFmtId="38" fontId="7" fillId="0" borderId="8" xfId="0" applyNumberFormat="1" applyFont="1" applyFill="1" applyBorder="1" applyAlignment="1"/>
    <xf numFmtId="6" fontId="65" fillId="0" borderId="22" xfId="0" applyNumberFormat="1" applyFont="1" applyBorder="1"/>
    <xf numFmtId="169" fontId="65" fillId="0" borderId="22" xfId="0" applyNumberFormat="1" applyFont="1" applyBorder="1"/>
    <xf numFmtId="169" fontId="65" fillId="0" borderId="22" xfId="0" applyNumberFormat="1" applyFont="1" applyFill="1" applyBorder="1"/>
    <xf numFmtId="10" fontId="65" fillId="0" borderId="22" xfId="430" applyNumberFormat="1" applyFont="1" applyBorder="1"/>
    <xf numFmtId="6" fontId="65" fillId="0" borderId="23" xfId="0" applyNumberFormat="1" applyFont="1" applyBorder="1"/>
    <xf numFmtId="169" fontId="65" fillId="0" borderId="23" xfId="0" applyNumberFormat="1" applyFont="1" applyBorder="1"/>
    <xf numFmtId="169" fontId="65" fillId="0" borderId="23" xfId="0" applyNumberFormat="1" applyFont="1" applyFill="1" applyBorder="1"/>
    <xf numFmtId="0" fontId="8" fillId="27" borderId="17" xfId="0" applyFont="1" applyFill="1" applyBorder="1" applyAlignment="1">
      <alignment horizontal="center" wrapText="1"/>
    </xf>
    <xf numFmtId="0" fontId="45" fillId="0" borderId="17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 wrapText="1"/>
    </xf>
    <xf numFmtId="0" fontId="45" fillId="27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6" fontId="0" fillId="27" borderId="17" xfId="0" applyNumberFormat="1" applyFill="1" applyBorder="1"/>
    <xf numFmtId="6" fontId="65" fillId="27" borderId="22" xfId="0" applyNumberFormat="1" applyFont="1" applyFill="1" applyBorder="1"/>
    <xf numFmtId="10" fontId="65" fillId="29" borderId="22" xfId="430" applyNumberFormat="1" applyFont="1" applyFill="1" applyBorder="1"/>
    <xf numFmtId="10" fontId="65" fillId="29" borderId="23" xfId="430" applyNumberFormat="1" applyFont="1" applyFill="1" applyBorder="1"/>
    <xf numFmtId="0" fontId="66" fillId="0" borderId="0" xfId="418" applyFont="1" applyFill="1" applyBorder="1" applyAlignment="1">
      <alignment horizontal="center"/>
    </xf>
    <xf numFmtId="0" fontId="66" fillId="0" borderId="0" xfId="418" applyFont="1" applyFill="1" applyBorder="1"/>
    <xf numFmtId="177" fontId="67" fillId="0" borderId="24" xfId="226" applyNumberFormat="1" applyFont="1" applyFill="1" applyBorder="1"/>
    <xf numFmtId="172" fontId="68" fillId="0" borderId="0" xfId="430" applyNumberFormat="1" applyFont="1"/>
    <xf numFmtId="10" fontId="68" fillId="0" borderId="0" xfId="430" applyNumberFormat="1" applyFont="1"/>
    <xf numFmtId="10" fontId="69" fillId="25" borderId="0" xfId="418" applyNumberFormat="1" applyFont="1" applyFill="1" applyBorder="1"/>
    <xf numFmtId="10" fontId="69" fillId="0" borderId="0" xfId="430" applyNumberFormat="1" applyFont="1" applyFill="1" applyBorder="1"/>
    <xf numFmtId="6" fontId="69" fillId="25" borderId="0" xfId="418" applyNumberFormat="1" applyFont="1" applyFill="1" applyBorder="1"/>
    <xf numFmtId="6" fontId="68" fillId="0" borderId="0" xfId="0" applyNumberFormat="1" applyFont="1"/>
    <xf numFmtId="10" fontId="68" fillId="0" borderId="0" xfId="0" applyNumberFormat="1" applyFont="1"/>
    <xf numFmtId="178" fontId="6" fillId="0" borderId="8" xfId="0" applyNumberFormat="1" applyFont="1" applyBorder="1" applyAlignment="1"/>
    <xf numFmtId="178" fontId="6" fillId="0" borderId="8" xfId="0" applyNumberFormat="1" applyFont="1" applyFill="1" applyBorder="1" applyAlignment="1"/>
    <xf numFmtId="10" fontId="2" fillId="26" borderId="10" xfId="430" applyNumberFormat="1" applyFont="1" applyFill="1" applyBorder="1" applyAlignment="1">
      <alignment horizontal="center"/>
    </xf>
    <xf numFmtId="10" fontId="6" fillId="26" borderId="0" xfId="430" applyNumberFormat="1" applyFont="1" applyFill="1" applyAlignment="1"/>
    <xf numFmtId="10" fontId="2" fillId="26" borderId="0" xfId="430" applyNumberFormat="1" applyFont="1" applyFill="1" applyAlignment="1"/>
    <xf numFmtId="10" fontId="8" fillId="0" borderId="0" xfId="0" applyNumberFormat="1" applyFo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56" fillId="0" borderId="0" xfId="0" applyFont="1"/>
    <xf numFmtId="0" fontId="8" fillId="0" borderId="0" xfId="0" applyFont="1" applyAlignment="1">
      <alignment horizontal="right"/>
    </xf>
    <xf numFmtId="0" fontId="8" fillId="0" borderId="14" xfId="0" applyFont="1" applyBorder="1" applyAlignment="1">
      <alignment horizontal="center"/>
    </xf>
    <xf numFmtId="0" fontId="8" fillId="0" borderId="13" xfId="0" applyFont="1" applyBorder="1"/>
    <xf numFmtId="0" fontId="8" fillId="0" borderId="18" xfId="0" applyFont="1" applyBorder="1"/>
    <xf numFmtId="0" fontId="8" fillId="0" borderId="25" xfId="0" applyFont="1" applyBorder="1"/>
    <xf numFmtId="0" fontId="8" fillId="0" borderId="14" xfId="0" applyFont="1" applyBorder="1"/>
    <xf numFmtId="0" fontId="8" fillId="0" borderId="15" xfId="0" applyFont="1" applyBorder="1"/>
    <xf numFmtId="0" fontId="7" fillId="0" borderId="0" xfId="0" applyFont="1"/>
    <xf numFmtId="168" fontId="8" fillId="0" borderId="14" xfId="0" applyNumberFormat="1" applyFont="1" applyBorder="1"/>
    <xf numFmtId="168" fontId="8" fillId="0" borderId="0" xfId="0" applyNumberFormat="1" applyFont="1"/>
    <xf numFmtId="168" fontId="8" fillId="0" borderId="15" xfId="0" applyNumberFormat="1" applyFont="1" applyBorder="1"/>
    <xf numFmtId="174" fontId="58" fillId="0" borderId="0" xfId="28" applyNumberFormat="1" applyFont="1"/>
    <xf numFmtId="179" fontId="58" fillId="0" borderId="0" xfId="28" applyNumberFormat="1" applyFont="1"/>
    <xf numFmtId="10" fontId="58" fillId="0" borderId="0" xfId="430" applyNumberFormat="1" applyFont="1"/>
    <xf numFmtId="10" fontId="8" fillId="0" borderId="0" xfId="430" applyNumberFormat="1" applyFont="1"/>
    <xf numFmtId="0" fontId="8" fillId="0" borderId="14" xfId="0" applyFont="1" applyBorder="1" applyAlignment="1">
      <alignment horizontal="right"/>
    </xf>
    <xf numFmtId="168" fontId="8" fillId="0" borderId="19" xfId="0" applyNumberFormat="1" applyFont="1" applyBorder="1"/>
    <xf numFmtId="168" fontId="8" fillId="0" borderId="16" xfId="0" applyNumberFormat="1" applyFont="1" applyBorder="1"/>
    <xf numFmtId="168" fontId="8" fillId="0" borderId="26" xfId="0" applyNumberFormat="1" applyFont="1" applyBorder="1"/>
    <xf numFmtId="170" fontId="8" fillId="0" borderId="0" xfId="0" applyNumberFormat="1" applyFont="1"/>
    <xf numFmtId="10" fontId="16" fillId="0" borderId="0" xfId="0" applyNumberFormat="1" applyFont="1"/>
    <xf numFmtId="0" fontId="59" fillId="0" borderId="0" xfId="0" applyFont="1"/>
    <xf numFmtId="174" fontId="59" fillId="0" borderId="0" xfId="28" applyNumberFormat="1" applyFont="1"/>
    <xf numFmtId="179" fontId="59" fillId="0" borderId="0" xfId="28" applyNumberFormat="1" applyFont="1"/>
    <xf numFmtId="0" fontId="7" fillId="25" borderId="0" xfId="0" applyFont="1" applyFill="1"/>
    <xf numFmtId="0" fontId="8" fillId="0" borderId="0" xfId="0" applyFont="1" applyAlignment="1">
      <alignment horizontal="centerContinuous"/>
    </xf>
    <xf numFmtId="10" fontId="15" fillId="0" borderId="0" xfId="0" applyNumberFormat="1" applyFont="1" applyAlignment="1"/>
    <xf numFmtId="0" fontId="0" fillId="0" borderId="17" xfId="0" applyBorder="1" applyAlignment="1">
      <alignment wrapText="1"/>
    </xf>
    <xf numFmtId="0" fontId="45" fillId="0" borderId="29" xfId="0" applyFont="1" applyFill="1" applyBorder="1" applyAlignment="1">
      <alignment horizontal="center" vertical="center" wrapText="1"/>
    </xf>
    <xf numFmtId="10" fontId="0" fillId="0" borderId="29" xfId="430" applyNumberFormat="1" applyFont="1" applyBorder="1"/>
    <xf numFmtId="10" fontId="0" fillId="0" borderId="14" xfId="430" applyNumberFormat="1" applyFont="1" applyBorder="1"/>
    <xf numFmtId="10" fontId="0" fillId="0" borderId="19" xfId="430" applyNumberFormat="1" applyFont="1" applyBorder="1"/>
    <xf numFmtId="0" fontId="0" fillId="0" borderId="31" xfId="0" applyBorder="1" applyAlignment="1">
      <alignment horizontal="centerContinuous" vertical="center"/>
    </xf>
    <xf numFmtId="0" fontId="0" fillId="0" borderId="32" xfId="0" applyBorder="1" applyAlignment="1">
      <alignment horizontal="centerContinuous" vertical="center"/>
    </xf>
    <xf numFmtId="0" fontId="0" fillId="0" borderId="33" xfId="0" applyBorder="1"/>
    <xf numFmtId="0" fontId="0" fillId="0" borderId="0" xfId="0" applyBorder="1"/>
    <xf numFmtId="0" fontId="0" fillId="0" borderId="34" xfId="0" applyBorder="1"/>
    <xf numFmtId="0" fontId="45" fillId="0" borderId="35" xfId="0" applyFont="1" applyBorder="1" applyAlignment="1">
      <alignment horizontal="center" vertical="center" wrapText="1"/>
    </xf>
    <xf numFmtId="0" fontId="45" fillId="0" borderId="36" xfId="0" applyFont="1" applyFill="1" applyBorder="1" applyAlignment="1">
      <alignment horizontal="center" vertical="center" wrapText="1"/>
    </xf>
    <xf numFmtId="6" fontId="0" fillId="0" borderId="35" xfId="0" applyNumberFormat="1" applyBorder="1"/>
    <xf numFmtId="38" fontId="0" fillId="0" borderId="36" xfId="0" applyNumberFormat="1" applyBorder="1"/>
    <xf numFmtId="6" fontId="65" fillId="0" borderId="37" xfId="0" applyNumberFormat="1" applyFont="1" applyBorder="1"/>
    <xf numFmtId="38" fontId="0" fillId="0" borderId="38" xfId="0" applyNumberFormat="1" applyBorder="1"/>
    <xf numFmtId="6" fontId="65" fillId="0" borderId="39" xfId="0" applyNumberFormat="1" applyFont="1" applyBorder="1"/>
    <xf numFmtId="6" fontId="65" fillId="27" borderId="40" xfId="0" applyNumberFormat="1" applyFont="1" applyFill="1" applyBorder="1"/>
    <xf numFmtId="38" fontId="0" fillId="0" borderId="41" xfId="0" applyNumberFormat="1" applyBorder="1"/>
    <xf numFmtId="0" fontId="16" fillId="0" borderId="30" xfId="0" applyFont="1" applyBorder="1" applyAlignment="1">
      <alignment horizontal="centerContinuous" vertical="center"/>
    </xf>
    <xf numFmtId="0" fontId="8" fillId="0" borderId="35" xfId="0" applyFont="1" applyBorder="1" applyAlignment="1">
      <alignment horizontal="center"/>
    </xf>
    <xf numFmtId="0" fontId="19" fillId="0" borderId="0" xfId="418" applyFont="1" applyFill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9" xfId="0" applyNumberFormat="1" applyFont="1" applyBorder="1" applyAlignment="1">
      <alignment horizontal="centerContinuous"/>
    </xf>
    <xf numFmtId="0" fontId="5" fillId="0" borderId="42" xfId="0" applyNumberFormat="1" applyFont="1" applyBorder="1" applyAlignment="1">
      <alignment horizontal="centerContinuous"/>
    </xf>
    <xf numFmtId="0" fontId="5" fillId="0" borderId="43" xfId="0" applyNumberFormat="1" applyFont="1" applyBorder="1" applyAlignment="1">
      <alignment horizontal="centerContinuous"/>
    </xf>
    <xf numFmtId="0" fontId="2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Continuous"/>
    </xf>
    <xf numFmtId="0" fontId="2" fillId="0" borderId="42" xfId="0" applyNumberFormat="1" applyFont="1" applyBorder="1" applyAlignment="1">
      <alignment horizontal="centerContinuous"/>
    </xf>
    <xf numFmtId="0" fontId="5" fillId="0" borderId="44" xfId="0" applyNumberFormat="1" applyFont="1" applyBorder="1" applyAlignment="1">
      <alignment horizontal="centerContinuous"/>
    </xf>
    <xf numFmtId="0" fontId="11" fillId="0" borderId="0" xfId="0" applyNumberFormat="1" applyFont="1" applyAlignment="1">
      <alignment horizontal="centerContinuous" vertical="center"/>
    </xf>
    <xf numFmtId="0" fontId="11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0" fontId="5" fillId="0" borderId="0" xfId="0" applyNumberFormat="1" applyFont="1" applyAlignment="1">
      <alignment horizontal="centerContinuous"/>
    </xf>
    <xf numFmtId="0" fontId="7" fillId="0" borderId="46" xfId="0" applyNumberFormat="1" applyFont="1" applyBorder="1" applyAlignment="1">
      <alignment horizontal="center"/>
    </xf>
    <xf numFmtId="0" fontId="7" fillId="0" borderId="47" xfId="0" applyNumberFormat="1" applyFont="1" applyBorder="1" applyAlignment="1">
      <alignment horizontal="center"/>
    </xf>
    <xf numFmtId="0" fontId="7" fillId="0" borderId="48" xfId="0" applyNumberFormat="1" applyFont="1" applyBorder="1" applyAlignment="1">
      <alignment horizontal="center"/>
    </xf>
    <xf numFmtId="3" fontId="7" fillId="0" borderId="46" xfId="0" applyNumberFormat="1" applyFont="1" applyBorder="1" applyAlignment="1"/>
    <xf numFmtId="3" fontId="7" fillId="0" borderId="46" xfId="0" applyNumberFormat="1" applyFont="1" applyFill="1" applyBorder="1" applyAlignment="1"/>
    <xf numFmtId="3" fontId="7" fillId="0" borderId="45" xfId="0" applyNumberFormat="1" applyFont="1" applyFill="1" applyBorder="1" applyAlignment="1"/>
    <xf numFmtId="0" fontId="73" fillId="0" borderId="0" xfId="418" applyFont="1" applyFill="1" applyBorder="1" applyAlignment="1">
      <alignment horizontal="centerContinuous"/>
    </xf>
    <xf numFmtId="175" fontId="8" fillId="0" borderId="0" xfId="0" applyNumberFormat="1" applyFont="1"/>
    <xf numFmtId="0" fontId="8" fillId="27" borderId="0" xfId="0" applyFont="1" applyFill="1"/>
    <xf numFmtId="6" fontId="65" fillId="26" borderId="0" xfId="0" applyNumberFormat="1" applyFont="1" applyFill="1"/>
    <xf numFmtId="8" fontId="8" fillId="0" borderId="0" xfId="0" applyNumberFormat="1" applyFont="1"/>
    <xf numFmtId="8" fontId="0" fillId="0" borderId="0" xfId="0" applyNumberFormat="1"/>
    <xf numFmtId="8" fontId="0" fillId="0" borderId="0" xfId="0" applyNumberFormat="1" applyAlignment="1">
      <alignment vertical="center"/>
    </xf>
    <xf numFmtId="10" fontId="0" fillId="26" borderId="0" xfId="0" applyNumberFormat="1" applyFill="1"/>
    <xf numFmtId="0" fontId="8" fillId="26" borderId="0" xfId="0" applyFont="1" applyFill="1"/>
    <xf numFmtId="0" fontId="0" fillId="26" borderId="0" xfId="0" applyFill="1"/>
    <xf numFmtId="169" fontId="0" fillId="0" borderId="17" xfId="0" applyNumberFormat="1" applyFill="1" applyBorder="1"/>
    <xf numFmtId="0" fontId="74" fillId="0" borderId="0" xfId="0" applyNumberFormat="1" applyFont="1" applyAlignment="1"/>
    <xf numFmtId="6" fontId="8" fillId="0" borderId="0" xfId="0" applyNumberFormat="1" applyFont="1"/>
    <xf numFmtId="10" fontId="65" fillId="0" borderId="22" xfId="0" applyNumberFormat="1" applyFont="1" applyBorder="1"/>
    <xf numFmtId="43" fontId="8" fillId="0" borderId="0" xfId="28" applyFont="1"/>
    <xf numFmtId="0" fontId="16" fillId="0" borderId="0" xfId="0" applyNumberFormat="1" applyFont="1" applyAlignment="1"/>
    <xf numFmtId="2" fontId="0" fillId="0" borderId="0" xfId="0" applyNumberFormat="1"/>
    <xf numFmtId="173" fontId="75" fillId="0" borderId="0" xfId="28" applyNumberFormat="1" applyFont="1" applyAlignment="1"/>
    <xf numFmtId="0" fontId="1" fillId="0" borderId="0" xfId="0" applyNumberFormat="1" applyFont="1" applyAlignment="1">
      <alignment horizontal="left"/>
    </xf>
    <xf numFmtId="4" fontId="8" fillId="0" borderId="0" xfId="0" applyNumberFormat="1" applyFont="1" applyAlignment="1"/>
  </cellXfs>
  <cellStyles count="45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28" builtinId="3"/>
    <cellStyle name="Comma [0] 2" xfId="29"/>
    <cellStyle name="Comma [0] 3" xfId="30"/>
    <cellStyle name="Comma [0] 4" xfId="31"/>
    <cellStyle name="Comma [0] 4 2" xfId="32"/>
    <cellStyle name="Comma [0] 5" xfId="33"/>
    <cellStyle name="Comma [0] 5 2" xfId="34"/>
    <cellStyle name="Comma [0] 5 3" xfId="35"/>
    <cellStyle name="Comma [0] 5 4" xfId="36"/>
    <cellStyle name="Comma [0] 6" xfId="37"/>
    <cellStyle name="Comma [0] 6 2" xfId="38"/>
    <cellStyle name="Comma [0] 7" xfId="39"/>
    <cellStyle name="Comma [0] 7 2" xfId="40"/>
    <cellStyle name="Comma [0] 7 2 2" xfId="41"/>
    <cellStyle name="Comma [0] 7 2 3" xfId="42"/>
    <cellStyle name="Comma [0] 7 3" xfId="43"/>
    <cellStyle name="Comma [0] 8" xfId="44"/>
    <cellStyle name="Comma [0] 8 2" xfId="45"/>
    <cellStyle name="Comma [0] 8 3" xfId="46"/>
    <cellStyle name="Comma 10" xfId="47"/>
    <cellStyle name="Comma 11" xfId="48"/>
    <cellStyle name="Comma 12" xfId="49"/>
    <cellStyle name="Comma 13" xfId="50"/>
    <cellStyle name="Comma 14" xfId="51"/>
    <cellStyle name="Comma 15" xfId="52"/>
    <cellStyle name="Comma 16" xfId="53"/>
    <cellStyle name="Comma 17" xfId="54"/>
    <cellStyle name="Comma 18" xfId="55"/>
    <cellStyle name="Comma 19" xfId="56"/>
    <cellStyle name="Comma 2" xfId="57"/>
    <cellStyle name="Comma 20" xfId="58"/>
    <cellStyle name="Comma 21" xfId="59"/>
    <cellStyle name="Comma 22" xfId="60"/>
    <cellStyle name="Comma 23" xfId="61"/>
    <cellStyle name="Comma 24" xfId="62"/>
    <cellStyle name="Comma 25" xfId="63"/>
    <cellStyle name="Comma 25 2" xfId="64"/>
    <cellStyle name="Comma 26" xfId="65"/>
    <cellStyle name="Comma 26 2" xfId="66"/>
    <cellStyle name="Comma 27" xfId="67"/>
    <cellStyle name="Comma 27 2" xfId="68"/>
    <cellStyle name="Comma 28" xfId="69"/>
    <cellStyle name="Comma 28 2" xfId="70"/>
    <cellStyle name="Comma 29" xfId="71"/>
    <cellStyle name="Comma 3" xfId="72"/>
    <cellStyle name="Comma 3 2" xfId="73"/>
    <cellStyle name="Comma 30" xfId="74"/>
    <cellStyle name="Comma 31" xfId="75"/>
    <cellStyle name="Comma 32" xfId="76"/>
    <cellStyle name="Comma 32 2" xfId="77"/>
    <cellStyle name="Comma 32 3" xfId="78"/>
    <cellStyle name="Comma 33" xfId="79"/>
    <cellStyle name="Comma 33 2" xfId="80"/>
    <cellStyle name="Comma 33 3" xfId="81"/>
    <cellStyle name="Comma 34" xfId="82"/>
    <cellStyle name="Comma 34 2" xfId="83"/>
    <cellStyle name="Comma 34 3" xfId="84"/>
    <cellStyle name="Comma 34 4" xfId="85"/>
    <cellStyle name="Comma 34 5" xfId="86"/>
    <cellStyle name="Comma 35" xfId="87"/>
    <cellStyle name="Comma 35 2" xfId="88"/>
    <cellStyle name="Comma 36" xfId="89"/>
    <cellStyle name="Comma 36 2" xfId="90"/>
    <cellStyle name="Comma 37" xfId="91"/>
    <cellStyle name="Comma 38" xfId="92"/>
    <cellStyle name="Comma 39" xfId="93"/>
    <cellStyle name="Comma 4" xfId="94"/>
    <cellStyle name="Comma 40" xfId="95"/>
    <cellStyle name="Comma 41" xfId="96"/>
    <cellStyle name="Comma 42" xfId="97"/>
    <cellStyle name="Comma 43" xfId="98"/>
    <cellStyle name="Comma 44" xfId="99"/>
    <cellStyle name="Comma 44 2" xfId="100"/>
    <cellStyle name="Comma 45" xfId="101"/>
    <cellStyle name="Comma 45 2" xfId="102"/>
    <cellStyle name="Comma 46" xfId="103"/>
    <cellStyle name="Comma 46 2" xfId="104"/>
    <cellStyle name="Comma 47" xfId="105"/>
    <cellStyle name="Comma 47 2" xfId="106"/>
    <cellStyle name="Comma 48" xfId="107"/>
    <cellStyle name="Comma 48 2" xfId="108"/>
    <cellStyle name="Comma 49" xfId="109"/>
    <cellStyle name="Comma 49 2" xfId="110"/>
    <cellStyle name="Comma 5" xfId="111"/>
    <cellStyle name="Comma 50" xfId="112"/>
    <cellStyle name="Comma 50 2" xfId="113"/>
    <cellStyle name="Comma 51" xfId="114"/>
    <cellStyle name="Comma 51 2" xfId="115"/>
    <cellStyle name="Comma 52" xfId="116"/>
    <cellStyle name="Comma 52 2" xfId="117"/>
    <cellStyle name="Comma 53" xfId="118"/>
    <cellStyle name="Comma 53 2" xfId="119"/>
    <cellStyle name="Comma 54" xfId="120"/>
    <cellStyle name="Comma 54 2" xfId="121"/>
    <cellStyle name="Comma 55" xfId="122"/>
    <cellStyle name="Comma 55 2" xfId="123"/>
    <cellStyle name="Comma 56" xfId="124"/>
    <cellStyle name="Comma 56 2" xfId="125"/>
    <cellStyle name="Comma 57" xfId="126"/>
    <cellStyle name="Comma 57 2" xfId="127"/>
    <cellStyle name="Comma 58" xfId="128"/>
    <cellStyle name="Comma 58 2" xfId="129"/>
    <cellStyle name="Comma 59" xfId="130"/>
    <cellStyle name="Comma 59 2" xfId="131"/>
    <cellStyle name="Comma 6" xfId="132"/>
    <cellStyle name="Comma 60" xfId="133"/>
    <cellStyle name="Comma 60 2" xfId="134"/>
    <cellStyle name="Comma 61" xfId="135"/>
    <cellStyle name="Comma 61 2" xfId="136"/>
    <cellStyle name="Comma 62" xfId="137"/>
    <cellStyle name="Comma 62 2" xfId="138"/>
    <cellStyle name="Comma 63" xfId="139"/>
    <cellStyle name="Comma 63 2" xfId="140"/>
    <cellStyle name="Comma 64" xfId="141"/>
    <cellStyle name="Comma 64 2" xfId="142"/>
    <cellStyle name="Comma 65" xfId="143"/>
    <cellStyle name="Comma 65 2" xfId="144"/>
    <cellStyle name="Comma 66" xfId="145"/>
    <cellStyle name="Comma 66 2" xfId="146"/>
    <cellStyle name="Comma 66 2 2" xfId="147"/>
    <cellStyle name="Comma 66 2 3" xfId="148"/>
    <cellStyle name="Comma 66 3" xfId="149"/>
    <cellStyle name="Comma 67" xfId="150"/>
    <cellStyle name="Comma 67 2" xfId="151"/>
    <cellStyle name="Comma 67 2 2" xfId="152"/>
    <cellStyle name="Comma 67 2 3" xfId="153"/>
    <cellStyle name="Comma 67 3" xfId="154"/>
    <cellStyle name="Comma 68" xfId="155"/>
    <cellStyle name="Comma 68 2" xfId="156"/>
    <cellStyle name="Comma 69" xfId="157"/>
    <cellStyle name="Comma 69 2" xfId="158"/>
    <cellStyle name="Comma 7" xfId="159"/>
    <cellStyle name="Comma 70" xfId="160"/>
    <cellStyle name="Comma 70 2" xfId="161"/>
    <cellStyle name="Comma 71" xfId="162"/>
    <cellStyle name="Comma 71 2" xfId="163"/>
    <cellStyle name="Comma 72" xfId="164"/>
    <cellStyle name="Comma 72 2" xfId="165"/>
    <cellStyle name="Comma 73" xfId="166"/>
    <cellStyle name="Comma 73 2" xfId="167"/>
    <cellStyle name="Comma 74" xfId="168"/>
    <cellStyle name="Comma 74 2" xfId="169"/>
    <cellStyle name="Comma 75" xfId="170"/>
    <cellStyle name="Comma 75 2" xfId="171"/>
    <cellStyle name="Comma 75 3" xfId="172"/>
    <cellStyle name="Comma 76" xfId="173"/>
    <cellStyle name="Comma 76 2" xfId="174"/>
    <cellStyle name="Comma 76 3" xfId="175"/>
    <cellStyle name="Comma 77" xfId="176"/>
    <cellStyle name="Comma 78" xfId="177"/>
    <cellStyle name="Comma 79" xfId="178"/>
    <cellStyle name="Comma 79 2" xfId="179"/>
    <cellStyle name="Comma 79 3" xfId="180"/>
    <cellStyle name="Comma 8" xfId="181"/>
    <cellStyle name="Comma 80" xfId="182"/>
    <cellStyle name="Comma 80 2" xfId="183"/>
    <cellStyle name="Comma 80 3" xfId="184"/>
    <cellStyle name="Comma 81" xfId="185"/>
    <cellStyle name="Comma 81 2" xfId="186"/>
    <cellStyle name="Comma 81 3" xfId="187"/>
    <cellStyle name="Comma 82" xfId="188"/>
    <cellStyle name="Comma 82 2" xfId="189"/>
    <cellStyle name="Comma 82 3" xfId="190"/>
    <cellStyle name="Comma 83" xfId="191"/>
    <cellStyle name="Comma 83 2" xfId="192"/>
    <cellStyle name="Comma 83 3" xfId="193"/>
    <cellStyle name="Comma 84" xfId="194"/>
    <cellStyle name="Comma 84 2" xfId="195"/>
    <cellStyle name="Comma 84 3" xfId="196"/>
    <cellStyle name="Comma 85" xfId="197"/>
    <cellStyle name="Comma 85 2" xfId="198"/>
    <cellStyle name="Comma 85 3" xfId="199"/>
    <cellStyle name="Comma 86" xfId="200"/>
    <cellStyle name="Comma 86 2" xfId="201"/>
    <cellStyle name="Comma 86 3" xfId="202"/>
    <cellStyle name="Comma 87" xfId="203"/>
    <cellStyle name="Comma 87 2" xfId="204"/>
    <cellStyle name="Comma 87 3" xfId="205"/>
    <cellStyle name="Comma 88" xfId="206"/>
    <cellStyle name="Comma 88 2" xfId="207"/>
    <cellStyle name="Comma 88 3" xfId="208"/>
    <cellStyle name="Comma 89" xfId="209"/>
    <cellStyle name="Comma 89 2" xfId="210"/>
    <cellStyle name="Comma 89 3" xfId="211"/>
    <cellStyle name="Comma 9" xfId="212"/>
    <cellStyle name="Comma 90" xfId="213"/>
    <cellStyle name="Comma 90 2" xfId="214"/>
    <cellStyle name="Comma 90 3" xfId="215"/>
    <cellStyle name="Comma 91" xfId="216"/>
    <cellStyle name="Comma 91 2" xfId="217"/>
    <cellStyle name="Comma 91 3" xfId="218"/>
    <cellStyle name="Comma 92" xfId="219"/>
    <cellStyle name="Comma 93" xfId="220"/>
    <cellStyle name="Comma 94" xfId="221"/>
    <cellStyle name="Comma 95" xfId="222"/>
    <cellStyle name="Comma 96" xfId="223"/>
    <cellStyle name="Comma0" xfId="224"/>
    <cellStyle name="Comma0 2" xfId="225"/>
    <cellStyle name="Currency" xfId="226" builtinId="4"/>
    <cellStyle name="Currency [0] 2" xfId="227"/>
    <cellStyle name="Currency [0] 3" xfId="228"/>
    <cellStyle name="Currency [0] 4" xfId="229"/>
    <cellStyle name="Currency [0] 4 2" xfId="230"/>
    <cellStyle name="Currency [0] 5" xfId="231"/>
    <cellStyle name="Currency [0] 5 2" xfId="232"/>
    <cellStyle name="Currency [0] 5 3" xfId="233"/>
    <cellStyle name="Currency [0] 5 4" xfId="234"/>
    <cellStyle name="Currency [0] 6" xfId="235"/>
    <cellStyle name="Currency [0] 6 2" xfId="236"/>
    <cellStyle name="Currency [0] 7" xfId="237"/>
    <cellStyle name="Currency [0] 7 2" xfId="238"/>
    <cellStyle name="Currency [0] 7 2 2" xfId="239"/>
    <cellStyle name="Currency [0] 7 2 3" xfId="240"/>
    <cellStyle name="Currency [0] 7 3" xfId="241"/>
    <cellStyle name="Currency [0] 8" xfId="242"/>
    <cellStyle name="Currency [0] 9" xfId="243"/>
    <cellStyle name="Currency 10" xfId="244"/>
    <cellStyle name="Currency 11" xfId="245"/>
    <cellStyle name="Currency 12" xfId="246"/>
    <cellStyle name="Currency 13" xfId="247"/>
    <cellStyle name="Currency 14" xfId="248"/>
    <cellStyle name="Currency 15" xfId="249"/>
    <cellStyle name="Currency 16" xfId="250"/>
    <cellStyle name="Currency 17" xfId="251"/>
    <cellStyle name="Currency 18" xfId="252"/>
    <cellStyle name="Currency 19" xfId="253"/>
    <cellStyle name="Currency 2" xfId="254"/>
    <cellStyle name="Currency 20" xfId="255"/>
    <cellStyle name="Currency 21" xfId="256"/>
    <cellStyle name="Currency 22" xfId="257"/>
    <cellStyle name="Currency 23" xfId="258"/>
    <cellStyle name="Currency 24" xfId="259"/>
    <cellStyle name="Currency 24 2" xfId="260"/>
    <cellStyle name="Currency 25" xfId="261"/>
    <cellStyle name="Currency 25 2" xfId="262"/>
    <cellStyle name="Currency 26" xfId="263"/>
    <cellStyle name="Currency 26 2" xfId="264"/>
    <cellStyle name="Currency 27" xfId="265"/>
    <cellStyle name="Currency 27 2" xfId="266"/>
    <cellStyle name="Currency 27 3" xfId="267"/>
    <cellStyle name="Currency 28" xfId="268"/>
    <cellStyle name="Currency 28 2" xfId="269"/>
    <cellStyle name="Currency 28 3" xfId="270"/>
    <cellStyle name="Currency 28 4" xfId="271"/>
    <cellStyle name="Currency 29" xfId="272"/>
    <cellStyle name="Currency 29 2" xfId="273"/>
    <cellStyle name="Currency 29 3" xfId="274"/>
    <cellStyle name="Currency 29 4" xfId="275"/>
    <cellStyle name="Currency 3" xfId="276"/>
    <cellStyle name="Currency 30" xfId="277"/>
    <cellStyle name="Currency 30 2" xfId="278"/>
    <cellStyle name="Currency 31" xfId="279"/>
    <cellStyle name="Currency 32" xfId="280"/>
    <cellStyle name="Currency 32 2" xfId="281"/>
    <cellStyle name="Currency 33" xfId="282"/>
    <cellStyle name="Currency 33 2" xfId="283"/>
    <cellStyle name="Currency 34" xfId="284"/>
    <cellStyle name="Currency 34 2" xfId="285"/>
    <cellStyle name="Currency 35" xfId="286"/>
    <cellStyle name="Currency 35 2" xfId="287"/>
    <cellStyle name="Currency 36" xfId="288"/>
    <cellStyle name="Currency 37" xfId="289"/>
    <cellStyle name="Currency 38" xfId="290"/>
    <cellStyle name="Currency 39" xfId="291"/>
    <cellStyle name="Currency 4" xfId="292"/>
    <cellStyle name="Currency 40" xfId="293"/>
    <cellStyle name="Currency 40 2" xfId="294"/>
    <cellStyle name="Currency 41" xfId="295"/>
    <cellStyle name="Currency 41 2" xfId="296"/>
    <cellStyle name="Currency 42" xfId="297"/>
    <cellStyle name="Currency 42 2" xfId="298"/>
    <cellStyle name="Currency 43" xfId="299"/>
    <cellStyle name="Currency 43 2" xfId="300"/>
    <cellStyle name="Currency 44" xfId="301"/>
    <cellStyle name="Currency 44 2" xfId="302"/>
    <cellStyle name="Currency 45" xfId="303"/>
    <cellStyle name="Currency 45 2" xfId="304"/>
    <cellStyle name="Currency 46" xfId="305"/>
    <cellStyle name="Currency 46 2" xfId="306"/>
    <cellStyle name="Currency 47" xfId="307"/>
    <cellStyle name="Currency 47 2" xfId="308"/>
    <cellStyle name="Currency 48" xfId="309"/>
    <cellStyle name="Currency 48 2" xfId="310"/>
    <cellStyle name="Currency 49" xfId="311"/>
    <cellStyle name="Currency 49 2" xfId="312"/>
    <cellStyle name="Currency 5" xfId="313"/>
    <cellStyle name="Currency 50" xfId="314"/>
    <cellStyle name="Currency 50 2" xfId="315"/>
    <cellStyle name="Currency 51" xfId="316"/>
    <cellStyle name="Currency 51 2" xfId="317"/>
    <cellStyle name="Currency 52" xfId="318"/>
    <cellStyle name="Currency 52 2" xfId="319"/>
    <cellStyle name="Currency 53" xfId="320"/>
    <cellStyle name="Currency 53 2" xfId="321"/>
    <cellStyle name="Currency 53 2 2" xfId="322"/>
    <cellStyle name="Currency 53 2 3" xfId="323"/>
    <cellStyle name="Currency 53 3" xfId="324"/>
    <cellStyle name="Currency 54" xfId="325"/>
    <cellStyle name="Currency 54 2" xfId="326"/>
    <cellStyle name="Currency 54 2 2" xfId="327"/>
    <cellStyle name="Currency 54 2 3" xfId="328"/>
    <cellStyle name="Currency 54 3" xfId="329"/>
    <cellStyle name="Currency 55" xfId="330"/>
    <cellStyle name="Currency 56" xfId="331"/>
    <cellStyle name="Currency 57" xfId="332"/>
    <cellStyle name="Currency 58" xfId="333"/>
    <cellStyle name="Currency 59" xfId="334"/>
    <cellStyle name="Currency 6" xfId="335"/>
    <cellStyle name="Currency 60" xfId="336"/>
    <cellStyle name="Currency 61" xfId="337"/>
    <cellStyle name="Currency 62" xfId="338"/>
    <cellStyle name="Currency 63" xfId="339"/>
    <cellStyle name="Currency 64" xfId="340"/>
    <cellStyle name="Currency 64 2" xfId="341"/>
    <cellStyle name="Currency 64 3" xfId="342"/>
    <cellStyle name="Currency 65" xfId="343"/>
    <cellStyle name="Currency 65 2" xfId="344"/>
    <cellStyle name="Currency 65 3" xfId="345"/>
    <cellStyle name="Currency 66" xfId="346"/>
    <cellStyle name="Currency 67" xfId="347"/>
    <cellStyle name="Currency 68" xfId="348"/>
    <cellStyle name="Currency 68 2" xfId="349"/>
    <cellStyle name="Currency 68 3" xfId="350"/>
    <cellStyle name="Currency 69" xfId="351"/>
    <cellStyle name="Currency 69 2" xfId="352"/>
    <cellStyle name="Currency 69 3" xfId="353"/>
    <cellStyle name="Currency 7" xfId="354"/>
    <cellStyle name="Currency 70" xfId="355"/>
    <cellStyle name="Currency 70 2" xfId="356"/>
    <cellStyle name="Currency 70 3" xfId="357"/>
    <cellStyle name="Currency 71" xfId="358"/>
    <cellStyle name="Currency 71 2" xfId="359"/>
    <cellStyle name="Currency 71 3" xfId="360"/>
    <cellStyle name="Currency 72" xfId="361"/>
    <cellStyle name="Currency 72 2" xfId="362"/>
    <cellStyle name="Currency 72 3" xfId="363"/>
    <cellStyle name="Currency 73" xfId="364"/>
    <cellStyle name="Currency 73 2" xfId="365"/>
    <cellStyle name="Currency 73 3" xfId="366"/>
    <cellStyle name="Currency 74" xfId="367"/>
    <cellStyle name="Currency 74 2" xfId="368"/>
    <cellStyle name="Currency 74 3" xfId="369"/>
    <cellStyle name="Currency 75" xfId="370"/>
    <cellStyle name="Currency 75 2" xfId="371"/>
    <cellStyle name="Currency 75 3" xfId="372"/>
    <cellStyle name="Currency 76" xfId="373"/>
    <cellStyle name="Currency 76 2" xfId="374"/>
    <cellStyle name="Currency 76 3" xfId="375"/>
    <cellStyle name="Currency 77" xfId="376"/>
    <cellStyle name="Currency 77 2" xfId="377"/>
    <cellStyle name="Currency 77 3" xfId="378"/>
    <cellStyle name="Currency 78" xfId="379"/>
    <cellStyle name="Currency 78 2" xfId="380"/>
    <cellStyle name="Currency 78 3" xfId="381"/>
    <cellStyle name="Currency 79" xfId="382"/>
    <cellStyle name="Currency 79 2" xfId="383"/>
    <cellStyle name="Currency 79 3" xfId="384"/>
    <cellStyle name="Currency 8" xfId="385"/>
    <cellStyle name="Currency 80" xfId="386"/>
    <cellStyle name="Currency 80 2" xfId="387"/>
    <cellStyle name="Currency 80 3" xfId="388"/>
    <cellStyle name="Currency 81" xfId="389"/>
    <cellStyle name="Currency 82" xfId="390"/>
    <cellStyle name="Currency 83" xfId="391"/>
    <cellStyle name="Currency 84" xfId="392"/>
    <cellStyle name="Currency 85" xfId="393"/>
    <cellStyle name="Currency 9" xfId="394"/>
    <cellStyle name="Currency0" xfId="395"/>
    <cellStyle name="Currency0 2" xfId="396"/>
    <cellStyle name="Date" xfId="397"/>
    <cellStyle name="Date 2" xfId="398"/>
    <cellStyle name="ds" xfId="399"/>
    <cellStyle name="Explanatory Text 2" xfId="400"/>
    <cellStyle name="F3" xfId="401"/>
    <cellStyle name="F4" xfId="402"/>
    <cellStyle name="F5" xfId="403"/>
    <cellStyle name="Fixed" xfId="404"/>
    <cellStyle name="Fixed 2" xfId="405"/>
    <cellStyle name="Good 2" xfId="406"/>
    <cellStyle name="Heading 1 2" xfId="407"/>
    <cellStyle name="Heading 2 2" xfId="408"/>
    <cellStyle name="Heading 2 2 2" xfId="409"/>
    <cellStyle name="Heading 3 2" xfId="410"/>
    <cellStyle name="Heading 4 2" xfId="411"/>
    <cellStyle name="Input 2" xfId="412"/>
    <cellStyle name="Linked Cell 2" xfId="413"/>
    <cellStyle name="Neutral 2" xfId="414"/>
    <cellStyle name="Normal" xfId="0" builtinId="0"/>
    <cellStyle name="Normal 2" xfId="415"/>
    <cellStyle name="Normal 2 2" xfId="416"/>
    <cellStyle name="Normal 2 2 2" xfId="417"/>
    <cellStyle name="Normal 2 3" xfId="418"/>
    <cellStyle name="Normal 3" xfId="419"/>
    <cellStyle name="Normal 3 2" xfId="420"/>
    <cellStyle name="Normal 4" xfId="421"/>
    <cellStyle name="Normal 5" xfId="422"/>
    <cellStyle name="Normal 6" xfId="423"/>
    <cellStyle name="Normal 7" xfId="424"/>
    <cellStyle name="Normal 8" xfId="425"/>
    <cellStyle name="Note 2" xfId="426"/>
    <cellStyle name="NUM" xfId="427"/>
    <cellStyle name="NUM 2" xfId="428"/>
    <cellStyle name="Output 2" xfId="429"/>
    <cellStyle name="Percent" xfId="430" builtinId="5"/>
    <cellStyle name="Percent 10" xfId="431"/>
    <cellStyle name="Percent 2" xfId="432"/>
    <cellStyle name="Percent 3" xfId="433"/>
    <cellStyle name="Percent 4" xfId="434"/>
    <cellStyle name="Percent 4 2" xfId="435"/>
    <cellStyle name="Percent 5" xfId="436"/>
    <cellStyle name="Percent 5 2" xfId="437"/>
    <cellStyle name="Percent 5 3" xfId="438"/>
    <cellStyle name="Percent 5 4" xfId="439"/>
    <cellStyle name="Percent 6" xfId="440"/>
    <cellStyle name="Percent 6 2" xfId="441"/>
    <cellStyle name="Percent 7" xfId="442"/>
    <cellStyle name="Percent 7 2" xfId="443"/>
    <cellStyle name="Percent 7 2 2" xfId="444"/>
    <cellStyle name="Percent 7 2 3" xfId="445"/>
    <cellStyle name="Percent 7 3" xfId="446"/>
    <cellStyle name="Percent 8" xfId="447"/>
    <cellStyle name="Percent 8 2" xfId="448"/>
    <cellStyle name="Percent 8 3" xfId="449"/>
    <cellStyle name="Percent 9" xfId="450"/>
    <cellStyle name="Title 2" xfId="451"/>
    <cellStyle name="Total 2" xfId="452"/>
    <cellStyle name="Total 2 2" xfId="453"/>
    <cellStyle name="Warning Text 2" xfId="4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273050</xdr:colOff>
      <xdr:row>7</xdr:row>
      <xdr:rowOff>19050</xdr:rowOff>
    </xdr:from>
    <xdr:to>
      <xdr:col>8</xdr:col>
      <xdr:colOff>757682</xdr:colOff>
      <xdr:row>8</xdr:row>
      <xdr:rowOff>152400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xmlns="" id="{2A46395A-0A8E-448D-A71A-74E8816D8F7D}"/>
            </a:ext>
          </a:extLst>
        </xdr:cNvPr>
        <xdr:cNvSpPr/>
      </xdr:nvSpPr>
      <xdr:spPr>
        <a:xfrm>
          <a:off x="8877300" y="1651000"/>
          <a:ext cx="484632" cy="3302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CC%20Fund/FY22%20UCC%20Calculation%20WIP%20FINAL%20R%2020210719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inal UCC Appr'd FY2022"/>
      <sheetName val="UCC Fund Calc FY2022"/>
      <sheetName val="PayOut  PayIn FY2022"/>
      <sheetName val="PDA Schedules FY 2020"/>
      <sheetName val="PDA Schedules FY 2019"/>
      <sheetName val="PDA Schedules FY 2018"/>
      <sheetName val="PDA Schedules FY 2017"/>
      <sheetName val="Marcellas PDA FY 2020"/>
      <sheetName val=" Schedule RE FY 2017"/>
    </sheetNames>
    <sheetDataSet>
      <sheetData sheetId="0">
        <row r="1">
          <cell r="A1" t="str">
            <v>Uncompensated Care Fund Calculations for FY2022</v>
          </cell>
        </row>
        <row r="2">
          <cell r="A2" t="str">
            <v>FY2022</v>
          </cell>
        </row>
        <row r="3">
          <cell r="A3" t="str">
            <v>Current Estimated Reserve Balance</v>
          </cell>
        </row>
        <row r="4">
          <cell r="A4" t="str">
            <v>Estimated Additional Interest EarnedYear</v>
          </cell>
        </row>
        <row r="5">
          <cell r="A5" t="str">
            <v>New UCC Maximum Rate</v>
          </cell>
        </row>
        <row r="6">
          <cell r="A6" t="str">
            <v>ANNUAL UPDATE JULY 1, 2022 PRELIMINARY</v>
          </cell>
        </row>
        <row r="7">
          <cell r="A7" t="str">
            <v>Peninsula and McCready are combined</v>
          </cell>
        </row>
        <row r="9">
          <cell r="J9" t="str">
            <v>FY2020</v>
          </cell>
        </row>
        <row r="10">
          <cell r="A10" t="str">
            <v>Hosp ID</v>
          </cell>
          <cell r="J10" t="str">
            <v>Actual Bad Debt</v>
          </cell>
        </row>
        <row r="11">
          <cell r="A11">
            <v>219999</v>
          </cell>
          <cell r="J11">
            <v>4.661757491967744E-2</v>
          </cell>
        </row>
        <row r="12">
          <cell r="A12">
            <v>210001</v>
          </cell>
          <cell r="J12">
            <v>5.1873903113023784E-2</v>
          </cell>
        </row>
        <row r="13">
          <cell r="A13">
            <v>210002</v>
          </cell>
          <cell r="J13">
            <v>3.9144222091518299E-2</v>
          </cell>
        </row>
        <row r="14">
          <cell r="A14">
            <v>210003</v>
          </cell>
          <cell r="J14">
            <v>8.7852052706898442E-2</v>
          </cell>
        </row>
        <row r="15">
          <cell r="A15">
            <v>210004</v>
          </cell>
          <cell r="J15">
            <v>7.9467686067488705E-2</v>
          </cell>
        </row>
        <row r="16">
          <cell r="A16">
            <v>210005</v>
          </cell>
          <cell r="J16">
            <v>4.5181894121378928E-2</v>
          </cell>
        </row>
        <row r="17">
          <cell r="A17">
            <v>210006</v>
          </cell>
          <cell r="J17">
            <v>6.5525984532632892E-2</v>
          </cell>
        </row>
        <row r="18">
          <cell r="A18">
            <v>210008</v>
          </cell>
          <cell r="J18">
            <v>5.1367220853608155E-2</v>
          </cell>
        </row>
        <row r="19">
          <cell r="A19">
            <v>210009</v>
          </cell>
          <cell r="J19">
            <v>3.0397940796939749E-2</v>
          </cell>
        </row>
        <row r="20">
          <cell r="A20">
            <v>210010</v>
          </cell>
          <cell r="J20">
            <v>6.1185517305934044E-2</v>
          </cell>
        </row>
        <row r="21">
          <cell r="A21">
            <v>210011</v>
          </cell>
          <cell r="J21">
            <v>5.3924903140674628E-2</v>
          </cell>
        </row>
        <row r="22">
          <cell r="A22">
            <v>210012</v>
          </cell>
          <cell r="J22">
            <v>4.1166010851368715E-2</v>
          </cell>
        </row>
        <row r="23">
          <cell r="A23">
            <v>210013</v>
          </cell>
          <cell r="J23">
            <v>4.3223295400022843E-2</v>
          </cell>
        </row>
        <row r="24">
          <cell r="A24">
            <v>210015</v>
          </cell>
          <cell r="J24">
            <v>3.7246731172020216E-2</v>
          </cell>
        </row>
        <row r="25">
          <cell r="A25">
            <v>210016</v>
          </cell>
          <cell r="J25">
            <v>6.711546597640336E-2</v>
          </cell>
        </row>
        <row r="26">
          <cell r="A26">
            <v>210017</v>
          </cell>
          <cell r="J26">
            <v>6.5493561699449462E-2</v>
          </cell>
        </row>
        <row r="27">
          <cell r="A27">
            <v>210018</v>
          </cell>
          <cell r="J27">
            <v>3.6925373988471129E-2</v>
          </cell>
        </row>
        <row r="28">
          <cell r="A28">
            <v>210019</v>
          </cell>
          <cell r="J28">
            <v>4.1288079206749949E-2</v>
          </cell>
        </row>
        <row r="29">
          <cell r="A29">
            <v>210022</v>
          </cell>
          <cell r="J29">
            <v>3.9497336513756622E-2</v>
          </cell>
        </row>
        <row r="30">
          <cell r="A30">
            <v>210023</v>
          </cell>
          <cell r="J30">
            <v>3.2753900781538288E-2</v>
          </cell>
        </row>
        <row r="31">
          <cell r="A31">
            <v>210024</v>
          </cell>
          <cell r="J31">
            <v>3.013829519513982E-2</v>
          </cell>
        </row>
        <row r="32">
          <cell r="A32">
            <v>210027</v>
          </cell>
          <cell r="J32">
            <v>4.7923754654631466E-2</v>
          </cell>
        </row>
        <row r="33">
          <cell r="A33">
            <v>210028</v>
          </cell>
          <cell r="J33">
            <v>3.5136915781648875E-2</v>
          </cell>
        </row>
        <row r="34">
          <cell r="A34">
            <v>210029</v>
          </cell>
          <cell r="J34">
            <v>5.2129882910006697E-2</v>
          </cell>
        </row>
        <row r="35">
          <cell r="A35">
            <v>210030</v>
          </cell>
          <cell r="J35">
            <v>6.1461772479119048E-2</v>
          </cell>
        </row>
        <row r="36">
          <cell r="A36">
            <v>210032</v>
          </cell>
          <cell r="J36">
            <v>6.0212296388974441E-2</v>
          </cell>
        </row>
        <row r="37">
          <cell r="A37">
            <v>210033</v>
          </cell>
          <cell r="J37">
            <v>3.4825608681847593E-2</v>
          </cell>
        </row>
        <row r="38">
          <cell r="A38">
            <v>210034</v>
          </cell>
          <cell r="J38">
            <v>4.9720253639384558E-2</v>
          </cell>
        </row>
        <row r="39">
          <cell r="A39">
            <v>210035</v>
          </cell>
          <cell r="J39">
            <v>6.2201361448269508E-2</v>
          </cell>
        </row>
        <row r="40">
          <cell r="A40">
            <v>210037</v>
          </cell>
          <cell r="J40">
            <v>3.4991094743399204E-2</v>
          </cell>
        </row>
        <row r="41">
          <cell r="A41">
            <v>210038</v>
          </cell>
          <cell r="J41">
            <v>4.4486317556573743E-2</v>
          </cell>
        </row>
        <row r="42">
          <cell r="A42">
            <v>210039</v>
          </cell>
          <cell r="J42">
            <v>3.1721502639181144E-2</v>
          </cell>
        </row>
        <row r="43">
          <cell r="A43">
            <v>210040</v>
          </cell>
          <cell r="J43">
            <v>6.5212005261182829E-2</v>
          </cell>
        </row>
        <row r="44">
          <cell r="A44">
            <v>210043</v>
          </cell>
          <cell r="J44">
            <v>5.7183015544945037E-2</v>
          </cell>
        </row>
        <row r="45">
          <cell r="A45">
            <v>210044</v>
          </cell>
          <cell r="J45">
            <v>2.9305182809996111E-2</v>
          </cell>
        </row>
        <row r="46">
          <cell r="A46">
            <v>210045</v>
          </cell>
        </row>
        <row r="47">
          <cell r="A47">
            <v>210048</v>
          </cell>
          <cell r="J47">
            <v>5.2396040994114476E-2</v>
          </cell>
        </row>
        <row r="48">
          <cell r="A48">
            <v>210049</v>
          </cell>
          <cell r="J48">
            <v>6.0201206538816436E-2</v>
          </cell>
        </row>
        <row r="49">
          <cell r="A49">
            <v>210051</v>
          </cell>
          <cell r="J49">
            <v>6.8588073979869033E-2</v>
          </cell>
        </row>
        <row r="50">
          <cell r="A50">
            <v>210055</v>
          </cell>
        </row>
        <row r="51">
          <cell r="A51">
            <v>210056</v>
          </cell>
          <cell r="J51">
            <v>4.5220696412711966E-2</v>
          </cell>
        </row>
        <row r="52">
          <cell r="A52">
            <v>210057</v>
          </cell>
          <cell r="J52">
            <v>6.4665647669671325E-2</v>
          </cell>
        </row>
        <row r="53">
          <cell r="A53">
            <v>210058</v>
          </cell>
          <cell r="J53">
            <v>3.953183482305582E-2</v>
          </cell>
        </row>
        <row r="54">
          <cell r="A54">
            <v>210060</v>
          </cell>
          <cell r="J54">
            <v>7.3030460686414361E-2</v>
          </cell>
        </row>
        <row r="55">
          <cell r="A55">
            <v>210061</v>
          </cell>
          <cell r="J55">
            <v>5.6418390406644425E-2</v>
          </cell>
        </row>
        <row r="56">
          <cell r="A56">
            <v>210062</v>
          </cell>
          <cell r="J56">
            <v>4.9267669995252214E-2</v>
          </cell>
        </row>
        <row r="57">
          <cell r="A57">
            <v>210063</v>
          </cell>
          <cell r="J57">
            <v>3.6973969623610763E-2</v>
          </cell>
        </row>
        <row r="58">
          <cell r="A58">
            <v>210064</v>
          </cell>
          <cell r="J58">
            <v>4.7972050119130777E-2</v>
          </cell>
        </row>
        <row r="59">
          <cell r="A59">
            <v>210065</v>
          </cell>
          <cell r="J59">
            <v>8.6772444370771681E-2</v>
          </cell>
        </row>
        <row r="60">
          <cell r="A60">
            <v>218992</v>
          </cell>
          <cell r="J60">
            <v>6.282427808490583E-2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77"/>
  <sheetViews>
    <sheetView showGridLines="0" tabSelected="1" zoomScale="90" zoomScaleNormal="9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I11" sqref="I11"/>
    </sheetView>
  </sheetViews>
  <sheetFormatPr defaultRowHeight="15.5"/>
  <cols>
    <col min="3" max="3" width="19.69140625" customWidth="1"/>
    <col min="4" max="4" width="17.07421875" customWidth="1"/>
    <col min="5" max="5" width="15.07421875" bestFit="1" customWidth="1"/>
    <col min="6" max="6" width="14.07421875" bestFit="1" customWidth="1"/>
    <col min="7" max="7" width="9.84375" customWidth="1"/>
    <col min="8" max="8" width="9.84375" style="167" customWidth="1"/>
    <col min="9" max="9" width="11.84375" customWidth="1"/>
    <col min="11" max="11" width="18.53515625" bestFit="1" customWidth="1"/>
    <col min="12" max="12" width="15.69140625" customWidth="1"/>
    <col min="13" max="13" width="13.765625" customWidth="1"/>
    <col min="14" max="14" width="14.69140625" bestFit="1" customWidth="1"/>
    <col min="15" max="15" width="12" customWidth="1"/>
    <col min="16" max="16" width="6.23046875" style="430" customWidth="1"/>
    <col min="18" max="18" width="24.69140625" customWidth="1"/>
    <col min="19" max="19" width="12.23046875" bestFit="1" customWidth="1"/>
  </cols>
  <sheetData>
    <row r="1" spans="1:19" ht="20">
      <c r="A1" s="352" t="str">
        <f>"Uncompensated Care Fund Calculations for " &amp; A2</f>
        <v>Uncompensated Care Fund Calculations for FY2022</v>
      </c>
      <c r="H1" s="244" t="s">
        <v>469</v>
      </c>
      <c r="K1" s="441">
        <f>+'PayOut  PayIn FY2022'!K82</f>
        <v>1.1191123783856007</v>
      </c>
    </row>
    <row r="2" spans="1:19" hidden="1">
      <c r="A2" s="353" t="s">
        <v>466</v>
      </c>
    </row>
    <row r="3" spans="1:19">
      <c r="A3" t="s">
        <v>167</v>
      </c>
      <c r="D3" t="str">
        <f>"As Of June 30, " &amp; VALUE(RIGHT(A2,4))-1&amp; " per Mark Hoffman"</f>
        <v>As Of June 30, 2021 per Mark Hoffman</v>
      </c>
      <c r="F3" s="428">
        <v>9388022.4499999993</v>
      </c>
      <c r="G3" t="s">
        <v>467</v>
      </c>
      <c r="H3" s="244" t="s">
        <v>470</v>
      </c>
      <c r="K3" s="201">
        <f>+'PayOut  PayIn FY2022'!K78</f>
        <v>9580951.2141363584</v>
      </c>
    </row>
    <row r="4" spans="1:19">
      <c r="A4" s="244" t="s">
        <v>448</v>
      </c>
      <c r="B4" s="167"/>
      <c r="C4" s="167"/>
      <c r="D4" s="167" t="s">
        <v>449</v>
      </c>
      <c r="E4" s="167"/>
      <c r="F4" s="428">
        <v>265177</v>
      </c>
      <c r="G4" t="s">
        <v>467</v>
      </c>
    </row>
    <row r="5" spans="1:19">
      <c r="A5" s="116" t="s">
        <v>458</v>
      </c>
      <c r="F5" s="432">
        <v>4.65E-2</v>
      </c>
    </row>
    <row r="6" spans="1:19" ht="16" thickBot="1">
      <c r="A6" s="203" t="str">
        <f>"ANNUAL UPDATE "&amp; "JULY 1, " &amp; VALUE(RIGHT(A2,4)) &amp; " PRELIMINARY"</f>
        <v>ANNUAL UPDATE JULY 1, 2022 PRELIMINARY</v>
      </c>
      <c r="B6" s="203"/>
    </row>
    <row r="7" spans="1:19" ht="46.5">
      <c r="A7" s="433" t="s">
        <v>464</v>
      </c>
      <c r="B7" s="433"/>
      <c r="C7" s="434"/>
      <c r="I7" s="383" t="s">
        <v>441</v>
      </c>
      <c r="K7" s="402" t="str">
        <f>"Settleup of Est. to Actual Payments For FY" &amp; VALUE(RIGHT(A2,4))-1</f>
        <v>Settleup of Est. to Actual Payments For FY2021</v>
      </c>
      <c r="L7" s="388"/>
      <c r="M7" s="389"/>
    </row>
    <row r="8" spans="1:19">
      <c r="D8" s="244"/>
      <c r="E8" s="244"/>
      <c r="F8" s="244"/>
      <c r="G8" s="244"/>
      <c r="H8" s="244"/>
      <c r="I8" s="244"/>
      <c r="J8" s="244"/>
      <c r="K8" s="390"/>
      <c r="L8" s="391"/>
      <c r="M8" s="392"/>
    </row>
    <row r="9" spans="1:19" ht="46.5">
      <c r="D9" s="229" t="str">
        <f>"FY"&amp;VALUE(RIGHT(A2,4)-1)</f>
        <v>FY2021</v>
      </c>
      <c r="E9" s="229" t="str">
        <f>A2</f>
        <v>FY2022</v>
      </c>
      <c r="F9" s="266" t="str">
        <f>D9</f>
        <v>FY2021</v>
      </c>
      <c r="G9" s="266" t="str">
        <f>D9</f>
        <v>FY2021</v>
      </c>
      <c r="H9" s="268" t="str">
        <f>E9</f>
        <v>FY2022</v>
      </c>
      <c r="I9" s="229" t="str">
        <f>A2</f>
        <v>FY2022</v>
      </c>
      <c r="J9" s="229" t="str">
        <f>"FY"&amp;VALUE(RIGHT(A2,4)-2)</f>
        <v>FY2020</v>
      </c>
      <c r="K9" s="403" t="str">
        <f>"From " &amp; G9 &amp; "' s File"</f>
        <v>From FY2021' s File</v>
      </c>
      <c r="L9" s="327" t="str">
        <f>"From "&amp;G9&amp;"' s File W Final GBR Amt"</f>
        <v>From FY2021' s File W Final GBR Amt</v>
      </c>
      <c r="M9" s="392"/>
    </row>
    <row r="10" spans="1:19" s="331" customFormat="1" ht="45.65" customHeight="1">
      <c r="A10" s="328" t="s">
        <v>388</v>
      </c>
      <c r="B10" s="328" t="s">
        <v>406</v>
      </c>
      <c r="C10" s="328" t="s">
        <v>394</v>
      </c>
      <c r="D10" s="328" t="s">
        <v>451</v>
      </c>
      <c r="E10" s="329" t="s">
        <v>461</v>
      </c>
      <c r="F10" s="329" t="s">
        <v>401</v>
      </c>
      <c r="G10" s="329" t="s">
        <v>403</v>
      </c>
      <c r="H10" s="329" t="s">
        <v>402</v>
      </c>
      <c r="I10" s="329" t="str">
        <f>G10</f>
        <v>Approved Bad Debt</v>
      </c>
      <c r="J10" s="384" t="str">
        <f>"Actual Bad Debt"</f>
        <v>Actual Bad Debt</v>
      </c>
      <c r="K10" s="393" t="s">
        <v>398</v>
      </c>
      <c r="L10" s="330" t="s">
        <v>399</v>
      </c>
      <c r="M10" s="394" t="s">
        <v>400</v>
      </c>
      <c r="P10" s="431"/>
    </row>
    <row r="11" spans="1:19">
      <c r="A11" s="233">
        <v>219999</v>
      </c>
      <c r="B11" s="233">
        <v>9999</v>
      </c>
      <c r="C11" s="233" t="s">
        <v>393</v>
      </c>
      <c r="D11" s="204">
        <f>SUM(D12:D59)</f>
        <v>19024163159.549831</v>
      </c>
      <c r="E11" s="204">
        <f>SUM(E12:E59)</f>
        <v>19352009540.648331</v>
      </c>
      <c r="F11" s="234">
        <f>SUMPRODUCT(D12:D59,F12:F59)/D11</f>
        <v>1.1100607628333776</v>
      </c>
      <c r="G11" s="234">
        <f>SUMPRODUCT(G12:G59,D12:D59)/D11</f>
        <v>4.3754170469592721E-2</v>
      </c>
      <c r="H11" s="435">
        <f>SUMPRODUCT(E12:E59,H12:H59)/E11</f>
        <v>1.1129445734023902</v>
      </c>
      <c r="I11" s="206">
        <f>SUMPRODUCT(I12:I59,D12:D59)/D11</f>
        <v>4.6314150925130408E-2</v>
      </c>
      <c r="J11" s="385">
        <f>+'Final UCC Appr''d FY2022'!H8</f>
        <v>4.661757491967744E-2</v>
      </c>
      <c r="K11" s="395">
        <f>SUM(K12:K59)</f>
        <v>2726240.913104929</v>
      </c>
      <c r="L11" s="332">
        <f>SUM(L12:L59)</f>
        <v>2994754.5201511234</v>
      </c>
      <c r="M11" s="396">
        <f>SUM(M12:M59)</f>
        <v>338129.33056958765</v>
      </c>
      <c r="P11">
        <v>9999</v>
      </c>
      <c r="Q11" t="s">
        <v>393</v>
      </c>
      <c r="R11" s="240">
        <f>SUM(R12:R59)</f>
        <v>19369807891.761913</v>
      </c>
      <c r="S11" s="240">
        <f>+E11-R11</f>
        <v>-17798351.113582611</v>
      </c>
    </row>
    <row r="12" spans="1:19">
      <c r="A12" s="230">
        <v>210001</v>
      </c>
      <c r="B12" s="230">
        <v>1</v>
      </c>
      <c r="C12" s="230" t="s">
        <v>0</v>
      </c>
      <c r="D12" s="320">
        <v>437448588.34371638</v>
      </c>
      <c r="E12" s="320">
        <v>424834729.18886143</v>
      </c>
      <c r="F12" s="321">
        <v>1.1141497861488601</v>
      </c>
      <c r="G12" s="438">
        <v>4.9197984886721731E-2</v>
      </c>
      <c r="H12" s="322">
        <v>1.1172418806451605</v>
      </c>
      <c r="I12" s="323">
        <v>5.6887901145672465E-2</v>
      </c>
      <c r="J12" s="386">
        <f>'PDA Schedules FY 2020'!AE9</f>
        <v>5.1873903113023784E-2</v>
      </c>
      <c r="K12" s="397">
        <v>-2089201.9725473523</v>
      </c>
      <c r="L12" s="333">
        <v>-2230117.3831346631</v>
      </c>
      <c r="M12" s="398">
        <f>L12-K12</f>
        <v>-140915.41058731079</v>
      </c>
      <c r="N12" s="429"/>
      <c r="O12" s="439">
        <f>+B12-P12</f>
        <v>0</v>
      </c>
      <c r="P12">
        <v>1</v>
      </c>
      <c r="Q12" t="s">
        <v>151</v>
      </c>
      <c r="R12" s="240">
        <v>424834729.18886143</v>
      </c>
      <c r="S12" s="240">
        <f>+E12-R12</f>
        <v>0</v>
      </c>
    </row>
    <row r="13" spans="1:19">
      <c r="A13" s="230">
        <v>210002</v>
      </c>
      <c r="B13" s="230">
        <v>2</v>
      </c>
      <c r="C13" s="230" t="s">
        <v>1</v>
      </c>
      <c r="D13" s="320">
        <v>1732118380.1943429</v>
      </c>
      <c r="E13" s="320">
        <v>1748201246.4896855</v>
      </c>
      <c r="F13" s="321">
        <v>1.1105551626804377</v>
      </c>
      <c r="G13" s="438">
        <v>3.4835868532763915E-2</v>
      </c>
      <c r="H13" s="322">
        <v>1.1133698292506018</v>
      </c>
      <c r="I13" s="323">
        <v>3.4672992881322966E-2</v>
      </c>
      <c r="J13" s="386">
        <f>'PDA Schedules FY 2020'!AE10</f>
        <v>3.9144222091518299E-2</v>
      </c>
      <c r="K13" s="397">
        <v>15902652.782982349</v>
      </c>
      <c r="L13" s="333">
        <v>15930685.268396854</v>
      </c>
      <c r="M13" s="398">
        <f t="shared" ref="M13:M58" si="0">L13-K13</f>
        <v>28032.485414505005</v>
      </c>
      <c r="N13" s="429"/>
      <c r="O13" s="439">
        <f t="shared" ref="O13:O59" si="1">+B13-P13</f>
        <v>0</v>
      </c>
      <c r="P13">
        <v>2</v>
      </c>
      <c r="Q13" t="s">
        <v>471</v>
      </c>
      <c r="R13" s="240">
        <v>1748201246.4896855</v>
      </c>
      <c r="S13" s="240">
        <f t="shared" ref="S13:S59" si="2">+E13-R13</f>
        <v>0</v>
      </c>
    </row>
    <row r="14" spans="1:19">
      <c r="A14" s="230">
        <v>210003</v>
      </c>
      <c r="B14" s="230">
        <v>3</v>
      </c>
      <c r="C14" s="230" t="s">
        <v>2</v>
      </c>
      <c r="D14" s="320">
        <v>361209599.28364938</v>
      </c>
      <c r="E14" s="320">
        <v>370728002.65548795</v>
      </c>
      <c r="F14" s="321">
        <v>1.113920844193528</v>
      </c>
      <c r="G14" s="438">
        <v>8.3260715798596938E-2</v>
      </c>
      <c r="H14" s="322">
        <v>1.1121568693689245</v>
      </c>
      <c r="I14" s="323">
        <v>8.764255246794983E-2</v>
      </c>
      <c r="J14" s="386">
        <f>'PDA Schedules FY 2020'!AE11</f>
        <v>8.7852052706898442E-2</v>
      </c>
      <c r="K14" s="397">
        <v>-13919859.832882881</v>
      </c>
      <c r="L14" s="333">
        <v>-13929456.745821595</v>
      </c>
      <c r="M14" s="398">
        <f t="shared" si="0"/>
        <v>-9596.9129387140274</v>
      </c>
      <c r="N14" s="429"/>
      <c r="O14" s="439">
        <f t="shared" si="1"/>
        <v>0</v>
      </c>
      <c r="P14">
        <v>3</v>
      </c>
      <c r="Q14" t="s">
        <v>472</v>
      </c>
      <c r="R14" s="240">
        <v>370728002.65548795</v>
      </c>
      <c r="S14" s="240">
        <f t="shared" si="2"/>
        <v>0</v>
      </c>
    </row>
    <row r="15" spans="1:19">
      <c r="A15" s="230">
        <v>210004</v>
      </c>
      <c r="B15" s="230">
        <v>4</v>
      </c>
      <c r="C15" s="230" t="s">
        <v>3</v>
      </c>
      <c r="D15" s="320">
        <v>557061094.91027451</v>
      </c>
      <c r="E15" s="320">
        <v>559285860.58241439</v>
      </c>
      <c r="F15" s="321">
        <v>1.1052169218229495</v>
      </c>
      <c r="G15" s="438">
        <v>7.9302530504968036E-2</v>
      </c>
      <c r="H15" s="322">
        <v>1.1087257491537943</v>
      </c>
      <c r="I15" s="323">
        <v>7.5543579392384569E-2</v>
      </c>
      <c r="J15" s="386">
        <f>'PDA Schedules FY 2020'!AE12</f>
        <v>7.9467686067488705E-2</v>
      </c>
      <c r="K15" s="397">
        <v>-19813900.238175511</v>
      </c>
      <c r="L15" s="333">
        <v>-19950202.832395315</v>
      </c>
      <c r="M15" s="398">
        <f t="shared" si="0"/>
        <v>-136302.59421980381</v>
      </c>
      <c r="N15" s="429"/>
      <c r="O15" s="439">
        <f t="shared" si="1"/>
        <v>0</v>
      </c>
      <c r="P15">
        <v>4</v>
      </c>
      <c r="Q15" t="s">
        <v>299</v>
      </c>
      <c r="R15" s="240">
        <v>559285860.58241451</v>
      </c>
      <c r="S15" s="240">
        <f t="shared" si="2"/>
        <v>0</v>
      </c>
    </row>
    <row r="16" spans="1:19">
      <c r="A16" s="230">
        <v>210005</v>
      </c>
      <c r="B16" s="230">
        <v>5</v>
      </c>
      <c r="C16" s="230" t="s">
        <v>4</v>
      </c>
      <c r="D16" s="320">
        <v>390692064.20392698</v>
      </c>
      <c r="E16" s="320">
        <v>401882780.25926965</v>
      </c>
      <c r="F16" s="321">
        <v>1.1076159869090776</v>
      </c>
      <c r="G16" s="438">
        <v>5.0840099995261949E-2</v>
      </c>
      <c r="H16" s="322">
        <v>1.1105694937083737</v>
      </c>
      <c r="I16" s="323">
        <v>5.0712615590598031E-2</v>
      </c>
      <c r="J16" s="386">
        <f>'PDA Schedules FY 2020'!AE13</f>
        <v>4.5181894121378928E-2</v>
      </c>
      <c r="K16" s="397">
        <v>-2551943.5764678121</v>
      </c>
      <c r="L16" s="333">
        <v>-2595579.7493603826</v>
      </c>
      <c r="M16" s="398">
        <f t="shared" si="0"/>
        <v>-43636.172892570496</v>
      </c>
      <c r="N16" s="429"/>
      <c r="O16" s="439">
        <f t="shared" si="1"/>
        <v>0</v>
      </c>
      <c r="P16">
        <v>5</v>
      </c>
      <c r="Q16" t="s">
        <v>473</v>
      </c>
      <c r="R16" s="240">
        <v>401882780.25926965</v>
      </c>
      <c r="S16" s="240">
        <f t="shared" si="2"/>
        <v>0</v>
      </c>
    </row>
    <row r="17" spans="1:19">
      <c r="A17" s="230">
        <v>210006</v>
      </c>
      <c r="B17" s="230">
        <v>6</v>
      </c>
      <c r="C17" s="230" t="s">
        <v>5</v>
      </c>
      <c r="D17" s="320">
        <v>114594077.2872986</v>
      </c>
      <c r="E17" s="320">
        <v>128220806.99519695</v>
      </c>
      <c r="F17" s="321">
        <v>1.1107552581455078</v>
      </c>
      <c r="G17" s="438">
        <v>5.5518545310184318E-2</v>
      </c>
      <c r="H17" s="322">
        <v>1.114974808529291</v>
      </c>
      <c r="I17" s="323">
        <v>5.6844801519584494E-2</v>
      </c>
      <c r="J17" s="386">
        <f>'PDA Schedules FY 2020'!AE14</f>
        <v>6.5525984532632892E-2</v>
      </c>
      <c r="K17" s="397">
        <v>-1294999.7027656585</v>
      </c>
      <c r="L17" s="333">
        <v>-1290197.2217982858</v>
      </c>
      <c r="M17" s="398">
        <f t="shared" si="0"/>
        <v>4802.4809673726559</v>
      </c>
      <c r="N17" s="429"/>
      <c r="O17" s="439">
        <f t="shared" si="1"/>
        <v>0</v>
      </c>
      <c r="P17">
        <v>6</v>
      </c>
      <c r="Q17" t="s">
        <v>474</v>
      </c>
      <c r="R17" s="240">
        <v>128220806.99519695</v>
      </c>
      <c r="S17" s="240">
        <f t="shared" si="2"/>
        <v>0</v>
      </c>
    </row>
    <row r="18" spans="1:19">
      <c r="A18" s="230">
        <v>210008</v>
      </c>
      <c r="B18" s="230">
        <v>8</v>
      </c>
      <c r="C18" s="230" t="s">
        <v>7</v>
      </c>
      <c r="D18" s="320">
        <v>627587310.6481334</v>
      </c>
      <c r="E18" s="320">
        <v>622578370.3843441</v>
      </c>
      <c r="F18" s="321">
        <v>1.1063637198023515</v>
      </c>
      <c r="G18" s="438">
        <v>4.6028069240962532E-2</v>
      </c>
      <c r="H18" s="322">
        <v>1.1091037583526702</v>
      </c>
      <c r="I18" s="323">
        <v>4.8536714070880629E-2</v>
      </c>
      <c r="J18" s="386">
        <f>'PDA Schedules FY 2020'!AE15</f>
        <v>5.1367220853608155E-2</v>
      </c>
      <c r="K18" s="397">
        <v>-1141708.2020213008</v>
      </c>
      <c r="L18" s="333">
        <v>-1180245.6428137422</v>
      </c>
      <c r="M18" s="398">
        <f t="shared" si="0"/>
        <v>-38537.440792441368</v>
      </c>
      <c r="N18" s="429"/>
      <c r="O18" s="439">
        <f t="shared" si="1"/>
        <v>0</v>
      </c>
      <c r="P18">
        <v>8</v>
      </c>
      <c r="Q18" t="s">
        <v>301</v>
      </c>
      <c r="R18" s="240">
        <v>622578370.3843441</v>
      </c>
      <c r="S18" s="240">
        <f t="shared" si="2"/>
        <v>0</v>
      </c>
    </row>
    <row r="19" spans="1:19">
      <c r="A19" s="230">
        <v>210009</v>
      </c>
      <c r="B19" s="230">
        <v>9</v>
      </c>
      <c r="C19" s="230" t="s">
        <v>8</v>
      </c>
      <c r="D19" s="320">
        <v>2748743007.9153743</v>
      </c>
      <c r="E19" s="320">
        <v>2806477823.0477567</v>
      </c>
      <c r="F19" s="321">
        <v>1.1031384816116303</v>
      </c>
      <c r="G19" s="438">
        <v>2.892367766523312E-2</v>
      </c>
      <c r="H19" s="322">
        <v>1.1053220699950408</v>
      </c>
      <c r="I19" s="323">
        <v>3.3240313167309826E-2</v>
      </c>
      <c r="J19" s="386">
        <f>'PDA Schedules FY 2020'!AE16</f>
        <v>3.0397940796939749E-2</v>
      </c>
      <c r="K19" s="397">
        <v>39919425.448578358</v>
      </c>
      <c r="L19" s="333">
        <v>40355213.69315815</v>
      </c>
      <c r="M19" s="398">
        <f t="shared" si="0"/>
        <v>435788.24457979202</v>
      </c>
      <c r="N19" s="429"/>
      <c r="O19" s="439">
        <f t="shared" si="1"/>
        <v>0</v>
      </c>
      <c r="P19">
        <v>9</v>
      </c>
      <c r="Q19" t="s">
        <v>153</v>
      </c>
      <c r="R19" s="240">
        <v>2806477823.0477567</v>
      </c>
      <c r="S19" s="240">
        <f t="shared" si="2"/>
        <v>0</v>
      </c>
    </row>
    <row r="20" spans="1:19">
      <c r="A20" s="230">
        <v>210010</v>
      </c>
      <c r="B20" s="230">
        <v>10</v>
      </c>
      <c r="C20" s="230" t="s">
        <v>9</v>
      </c>
      <c r="D20" s="320">
        <v>48679972.506414898</v>
      </c>
      <c r="E20" s="320">
        <v>49500572.207894906</v>
      </c>
      <c r="F20" s="321">
        <v>1.1210070236873082</v>
      </c>
      <c r="G20" s="438">
        <v>5.4861066108785043E-2</v>
      </c>
      <c r="H20" s="322">
        <v>1.1245754707501601</v>
      </c>
      <c r="I20" s="323">
        <v>5.9014411063542042E-2</v>
      </c>
      <c r="J20" s="386">
        <f>'PDA Schedules FY 2020'!AE17</f>
        <v>6.1185517305934044E-2</v>
      </c>
      <c r="K20" s="397">
        <v>-501100.1351711154</v>
      </c>
      <c r="L20" s="333">
        <v>-494471.21127706766</v>
      </c>
      <c r="M20" s="398">
        <f t="shared" si="0"/>
        <v>6628.9238940477371</v>
      </c>
      <c r="N20" s="429"/>
      <c r="O20" s="439">
        <f t="shared" si="1"/>
        <v>0</v>
      </c>
      <c r="P20">
        <v>10</v>
      </c>
      <c r="Q20" t="s">
        <v>475</v>
      </c>
      <c r="R20" s="240">
        <v>49500572.207894906</v>
      </c>
      <c r="S20" s="240">
        <f t="shared" si="2"/>
        <v>0</v>
      </c>
    </row>
    <row r="21" spans="1:19">
      <c r="A21" s="230">
        <v>210011</v>
      </c>
      <c r="B21" s="230">
        <v>11</v>
      </c>
      <c r="C21" s="230" t="s">
        <v>10</v>
      </c>
      <c r="D21" s="320">
        <v>465020034.7659502</v>
      </c>
      <c r="E21" s="320">
        <v>466906889.52038884</v>
      </c>
      <c r="F21" s="321">
        <v>1.1145007346313778</v>
      </c>
      <c r="G21" s="438">
        <v>4.9895388409234707E-2</v>
      </c>
      <c r="H21" s="322">
        <v>1.1191950162261288</v>
      </c>
      <c r="I21" s="323">
        <v>5.8447083163181167E-2</v>
      </c>
      <c r="J21" s="386">
        <f>'PDA Schedules FY 2020'!AE18</f>
        <v>5.3924903140674628E-2</v>
      </c>
      <c r="K21" s="397">
        <v>-2690575.7870564461</v>
      </c>
      <c r="L21" s="333">
        <v>-2737305.7925556302</v>
      </c>
      <c r="M21" s="398">
        <f t="shared" si="0"/>
        <v>-46730.005499184132</v>
      </c>
      <c r="N21" s="429"/>
      <c r="O21" s="439">
        <f t="shared" si="1"/>
        <v>0</v>
      </c>
      <c r="P21">
        <v>11</v>
      </c>
      <c r="Q21" t="s">
        <v>476</v>
      </c>
      <c r="R21" s="240">
        <v>480404553.28601927</v>
      </c>
      <c r="S21" s="240">
        <f t="shared" si="2"/>
        <v>-13497663.765630424</v>
      </c>
    </row>
    <row r="22" spans="1:19">
      <c r="A22" s="230">
        <v>210012</v>
      </c>
      <c r="B22" s="230">
        <v>12</v>
      </c>
      <c r="C22" s="230" t="s">
        <v>11</v>
      </c>
      <c r="D22" s="320">
        <v>901845132.97185671</v>
      </c>
      <c r="E22" s="320">
        <v>934353314.06213677</v>
      </c>
      <c r="F22" s="321">
        <v>1.1140681619503976</v>
      </c>
      <c r="G22" s="438">
        <v>3.3103550491995572E-2</v>
      </c>
      <c r="H22" s="322">
        <v>1.1177770097580206</v>
      </c>
      <c r="I22" s="323">
        <v>4.158218142816611E-2</v>
      </c>
      <c r="J22" s="386">
        <f>'PDA Schedules FY 2020'!AE19</f>
        <v>4.1166010851368715E-2</v>
      </c>
      <c r="K22" s="397">
        <v>9871810.205899477</v>
      </c>
      <c r="L22" s="333">
        <v>9900641.2709060907</v>
      </c>
      <c r="M22" s="398">
        <f t="shared" si="0"/>
        <v>28831.065006613731</v>
      </c>
      <c r="N22" s="429"/>
      <c r="O22" s="439">
        <f t="shared" si="1"/>
        <v>0</v>
      </c>
      <c r="P22">
        <v>12</v>
      </c>
      <c r="Q22" t="s">
        <v>414</v>
      </c>
      <c r="R22" s="240">
        <v>934353314.06213677</v>
      </c>
      <c r="S22" s="240">
        <f t="shared" si="2"/>
        <v>0</v>
      </c>
    </row>
    <row r="23" spans="1:19">
      <c r="A23" s="230">
        <v>210013</v>
      </c>
      <c r="B23" s="230">
        <v>13</v>
      </c>
      <c r="C23" s="230" t="s">
        <v>450</v>
      </c>
      <c r="D23" s="320">
        <v>43744475.191202715</v>
      </c>
      <c r="E23" s="320">
        <v>41995819.097166784</v>
      </c>
      <c r="F23" s="321">
        <v>1.1233657734728308</v>
      </c>
      <c r="G23" s="438">
        <v>3.4722317822425193E-2</v>
      </c>
      <c r="H23" s="322">
        <v>1.1242494568824895</v>
      </c>
      <c r="I23" s="323">
        <v>5.0671677719280467E-2</v>
      </c>
      <c r="J23" s="386">
        <f>'PDA Schedules FY 2020'!AE20</f>
        <v>4.3223295400022843E-2</v>
      </c>
      <c r="K23" s="397">
        <v>-57249.861395299435</v>
      </c>
      <c r="L23" s="333">
        <v>-141005.60703110695</v>
      </c>
      <c r="M23" s="398">
        <f t="shared" si="0"/>
        <v>-83755.745635807514</v>
      </c>
      <c r="N23" s="429"/>
      <c r="O23" s="439">
        <f t="shared" si="1"/>
        <v>0</v>
      </c>
      <c r="P23">
        <v>13</v>
      </c>
      <c r="Q23" t="s">
        <v>477</v>
      </c>
      <c r="R23" s="240">
        <v>41995819.097166784</v>
      </c>
      <c r="S23" s="240">
        <f t="shared" si="2"/>
        <v>0</v>
      </c>
    </row>
    <row r="24" spans="1:19">
      <c r="A24" s="230">
        <v>210015</v>
      </c>
      <c r="B24" s="230">
        <v>15</v>
      </c>
      <c r="C24" s="230" t="s">
        <v>13</v>
      </c>
      <c r="D24" s="320">
        <v>604105739.9549036</v>
      </c>
      <c r="E24" s="320">
        <v>608631681.16135263</v>
      </c>
      <c r="F24" s="321">
        <v>1.1151209479901063</v>
      </c>
      <c r="G24" s="438">
        <v>3.7251380245001783E-2</v>
      </c>
      <c r="H24" s="322">
        <v>1.1186860738362463</v>
      </c>
      <c r="I24" s="323">
        <v>3.9452529853663473E-2</v>
      </c>
      <c r="J24" s="386">
        <f>'PDA Schedules FY 2020'!AE21</f>
        <v>3.7246731172020216E-2</v>
      </c>
      <c r="K24" s="397">
        <v>4066834.7471336722</v>
      </c>
      <c r="L24" s="333">
        <v>4071171.2394683957</v>
      </c>
      <c r="M24" s="398">
        <f t="shared" si="0"/>
        <v>4336.4923347234726</v>
      </c>
      <c r="N24" s="429"/>
      <c r="O24" s="439">
        <f t="shared" si="1"/>
        <v>0</v>
      </c>
      <c r="P24">
        <v>15</v>
      </c>
      <c r="Q24" t="s">
        <v>478</v>
      </c>
      <c r="R24" s="240">
        <v>608631681.16135263</v>
      </c>
      <c r="S24" s="240">
        <f t="shared" si="2"/>
        <v>0</v>
      </c>
    </row>
    <row r="25" spans="1:19">
      <c r="A25" s="230">
        <v>210016</v>
      </c>
      <c r="B25" s="230">
        <v>16</v>
      </c>
      <c r="C25" s="230" t="s">
        <v>14</v>
      </c>
      <c r="D25" s="320">
        <v>324197185.65672374</v>
      </c>
      <c r="E25" s="320">
        <v>339007688.52531183</v>
      </c>
      <c r="F25" s="321">
        <v>1.1162574393031277</v>
      </c>
      <c r="G25" s="438">
        <v>7.6229479047419363E-2</v>
      </c>
      <c r="H25" s="322">
        <v>1.1201749179290283</v>
      </c>
      <c r="I25" s="323">
        <v>6.2904064725735787E-2</v>
      </c>
      <c r="J25" s="386">
        <f>'PDA Schedules FY 2020'!AE22</f>
        <v>6.711546597640336E-2</v>
      </c>
      <c r="K25" s="397">
        <v>-10454828.428000271</v>
      </c>
      <c r="L25" s="333">
        <v>-10522922.044043064</v>
      </c>
      <c r="M25" s="398">
        <f t="shared" si="0"/>
        <v>-68093.616042792797</v>
      </c>
      <c r="N25" s="429"/>
      <c r="O25" s="439">
        <f t="shared" si="1"/>
        <v>0</v>
      </c>
      <c r="P25">
        <v>16</v>
      </c>
      <c r="Q25" t="s">
        <v>455</v>
      </c>
      <c r="R25" s="240">
        <v>339007688.52531183</v>
      </c>
      <c r="S25" s="240">
        <f t="shared" si="2"/>
        <v>0</v>
      </c>
    </row>
    <row r="26" spans="1:19">
      <c r="A26" s="230">
        <v>210017</v>
      </c>
      <c r="B26" s="230">
        <v>17</v>
      </c>
      <c r="C26" s="230" t="s">
        <v>15</v>
      </c>
      <c r="D26" s="320">
        <v>70315929.191119865</v>
      </c>
      <c r="E26" s="320">
        <v>70165467.631100833</v>
      </c>
      <c r="F26" s="321">
        <v>1.1158577958774549</v>
      </c>
      <c r="G26" s="438">
        <v>6.2412722044630053E-2</v>
      </c>
      <c r="H26" s="322">
        <v>1.1176598490622838</v>
      </c>
      <c r="I26" s="323">
        <v>6.4756774352754162E-2</v>
      </c>
      <c r="J26" s="386">
        <f>'PDA Schedules FY 2020'!AE23</f>
        <v>6.5493561699449462E-2</v>
      </c>
      <c r="K26" s="397">
        <v>-1223224.971110791</v>
      </c>
      <c r="L26" s="333">
        <v>-1275120.6849716604</v>
      </c>
      <c r="M26" s="398">
        <f t="shared" si="0"/>
        <v>-51895.713860869408</v>
      </c>
      <c r="N26" s="429"/>
      <c r="O26" s="439">
        <f t="shared" si="1"/>
        <v>0</v>
      </c>
      <c r="P26">
        <v>17</v>
      </c>
      <c r="Q26" t="s">
        <v>155</v>
      </c>
      <c r="R26" s="240">
        <v>70165467.631100833</v>
      </c>
      <c r="S26" s="240">
        <f t="shared" si="2"/>
        <v>0</v>
      </c>
    </row>
    <row r="27" spans="1:19">
      <c r="A27" s="230">
        <v>210018</v>
      </c>
      <c r="B27" s="230">
        <v>18</v>
      </c>
      <c r="C27" s="230" t="s">
        <v>16</v>
      </c>
      <c r="D27" s="320">
        <v>189258200.94152528</v>
      </c>
      <c r="E27" s="320">
        <v>190360067.49712747</v>
      </c>
      <c r="F27" s="321">
        <v>1.1099167519492501</v>
      </c>
      <c r="G27" s="438">
        <v>3.7798081694050453E-2</v>
      </c>
      <c r="H27" s="322">
        <v>1.1130496586209497</v>
      </c>
      <c r="I27" s="323">
        <v>3.8570754052689879E-2</v>
      </c>
      <c r="J27" s="386">
        <f>'PDA Schedules FY 2020'!AE24</f>
        <v>3.6925373988471129E-2</v>
      </c>
      <c r="K27" s="397">
        <v>1110751.6724930406</v>
      </c>
      <c r="L27" s="333">
        <v>1095498.3270409703</v>
      </c>
      <c r="M27" s="398">
        <f t="shared" si="0"/>
        <v>-15253.345452070236</v>
      </c>
      <c r="N27" s="429"/>
      <c r="O27" s="439">
        <f t="shared" si="1"/>
        <v>0</v>
      </c>
      <c r="P27">
        <v>18</v>
      </c>
      <c r="Q27" t="s">
        <v>479</v>
      </c>
      <c r="R27" s="240">
        <v>190360067.49712747</v>
      </c>
      <c r="S27" s="240">
        <f t="shared" si="2"/>
        <v>0</v>
      </c>
    </row>
    <row r="28" spans="1:19">
      <c r="A28" s="230">
        <v>210019</v>
      </c>
      <c r="B28" s="230">
        <v>19</v>
      </c>
      <c r="C28" s="230" t="s">
        <v>17</v>
      </c>
      <c r="D28" s="320">
        <v>514487376.20632589</v>
      </c>
      <c r="E28" s="320">
        <v>523674648.76062405</v>
      </c>
      <c r="F28" s="321">
        <v>1.1171441388205088</v>
      </c>
      <c r="G28" s="438">
        <v>4.1242036032877884E-2</v>
      </c>
      <c r="H28" s="322">
        <v>1.1207766158159804</v>
      </c>
      <c r="I28" s="323">
        <v>4.5821836193594041E-2</v>
      </c>
      <c r="J28" s="386">
        <f>'PDA Schedules FY 2020'!AE25</f>
        <v>4.1288079206749949E-2</v>
      </c>
      <c r="K28" s="397">
        <v>1517447.9607422871</v>
      </c>
      <c r="L28" s="333">
        <v>1517259.713272087</v>
      </c>
      <c r="M28" s="398">
        <f t="shared" si="0"/>
        <v>-188.2474702000618</v>
      </c>
      <c r="N28" s="429"/>
      <c r="O28" s="439">
        <f t="shared" si="1"/>
        <v>0</v>
      </c>
      <c r="P28">
        <v>19</v>
      </c>
      <c r="Q28" t="s">
        <v>480</v>
      </c>
      <c r="R28" s="240">
        <v>523674648.76062405</v>
      </c>
      <c r="S28" s="240">
        <f t="shared" si="2"/>
        <v>0</v>
      </c>
    </row>
    <row r="29" spans="1:19">
      <c r="A29" s="230">
        <v>210022</v>
      </c>
      <c r="B29" s="230">
        <v>22</v>
      </c>
      <c r="C29" s="230" t="s">
        <v>18</v>
      </c>
      <c r="D29" s="320">
        <v>374516437.765531</v>
      </c>
      <c r="E29" s="320">
        <v>380501979.54323256</v>
      </c>
      <c r="F29" s="321">
        <v>1.105478076072322</v>
      </c>
      <c r="G29" s="438">
        <v>3.8430712921021869E-2</v>
      </c>
      <c r="H29" s="322">
        <v>1.1064754279807623</v>
      </c>
      <c r="I29" s="323">
        <v>4.0538608259856529E-2</v>
      </c>
      <c r="J29" s="386">
        <f>'PDA Schedules FY 2020'!AE26</f>
        <v>3.9497336513756622E-2</v>
      </c>
      <c r="K29" s="397">
        <v>2069506.2597253323</v>
      </c>
      <c r="L29" s="333">
        <v>2092781.710447669</v>
      </c>
      <c r="M29" s="398">
        <f t="shared" si="0"/>
        <v>23275.450722336769</v>
      </c>
      <c r="N29" s="429"/>
      <c r="O29" s="439">
        <f t="shared" si="1"/>
        <v>0</v>
      </c>
      <c r="P29">
        <v>22</v>
      </c>
      <c r="Q29" t="s">
        <v>308</v>
      </c>
      <c r="R29" s="240">
        <v>380501979.54323256</v>
      </c>
      <c r="S29" s="240">
        <f t="shared" si="2"/>
        <v>0</v>
      </c>
    </row>
    <row r="30" spans="1:19">
      <c r="A30" s="230">
        <v>210023</v>
      </c>
      <c r="B30" s="230">
        <v>23</v>
      </c>
      <c r="C30" s="230" t="s">
        <v>19</v>
      </c>
      <c r="D30" s="320">
        <v>728093863.6307807</v>
      </c>
      <c r="E30" s="320">
        <v>731074360.00576246</v>
      </c>
      <c r="F30" s="321">
        <v>1.1022217221622292</v>
      </c>
      <c r="G30" s="438">
        <v>3.1747376315946658E-2</v>
      </c>
      <c r="H30" s="322">
        <v>1.1060298907992556</v>
      </c>
      <c r="I30" s="323">
        <v>3.6883177009109674E-2</v>
      </c>
      <c r="J30" s="386">
        <f>'PDA Schedules FY 2020'!AE27</f>
        <v>3.2753900781538288E-2</v>
      </c>
      <c r="K30" s="397">
        <v>8504936.974711895</v>
      </c>
      <c r="L30" s="333">
        <v>8844710.638055563</v>
      </c>
      <c r="M30" s="398">
        <f t="shared" si="0"/>
        <v>339773.66334366798</v>
      </c>
      <c r="N30" s="429"/>
      <c r="O30" s="439">
        <f t="shared" si="1"/>
        <v>0</v>
      </c>
      <c r="P30">
        <v>23</v>
      </c>
      <c r="Q30" t="s">
        <v>309</v>
      </c>
      <c r="R30" s="240">
        <v>731074360.00576246</v>
      </c>
      <c r="S30" s="240">
        <f t="shared" si="2"/>
        <v>0</v>
      </c>
    </row>
    <row r="31" spans="1:19">
      <c r="A31" s="230">
        <v>210024</v>
      </c>
      <c r="B31" s="230">
        <v>24</v>
      </c>
      <c r="C31" s="230" t="s">
        <v>20</v>
      </c>
      <c r="D31" s="320">
        <v>453287365.31288695</v>
      </c>
      <c r="E31" s="320">
        <v>442687683.08699644</v>
      </c>
      <c r="F31" s="321">
        <v>1.1153364418804246</v>
      </c>
      <c r="G31" s="438">
        <v>3.4566056805362788E-2</v>
      </c>
      <c r="H31" s="322">
        <v>1.1184018579579578</v>
      </c>
      <c r="I31" s="323">
        <v>3.4252399190141475E-2</v>
      </c>
      <c r="J31" s="386">
        <f>'PDA Schedules FY 2020'!AE28</f>
        <v>3.013829519513982E-2</v>
      </c>
      <c r="K31" s="397">
        <v>4172127.1221662164</v>
      </c>
      <c r="L31" s="333">
        <v>4163951.902793467</v>
      </c>
      <c r="M31" s="398">
        <f t="shared" si="0"/>
        <v>-8175.2193727493286</v>
      </c>
      <c r="N31" s="429"/>
      <c r="O31" s="439">
        <f t="shared" si="1"/>
        <v>0</v>
      </c>
      <c r="P31">
        <v>24</v>
      </c>
      <c r="Q31" t="s">
        <v>481</v>
      </c>
      <c r="R31" s="240">
        <v>442687683.08699644</v>
      </c>
      <c r="S31" s="240">
        <f t="shared" si="2"/>
        <v>0</v>
      </c>
    </row>
    <row r="32" spans="1:19">
      <c r="A32" s="230">
        <v>210027</v>
      </c>
      <c r="B32" s="230">
        <v>27</v>
      </c>
      <c r="C32" s="230" t="s">
        <v>21</v>
      </c>
      <c r="D32" s="320">
        <v>358782400.32511616</v>
      </c>
      <c r="E32" s="320">
        <v>366182178.60786182</v>
      </c>
      <c r="F32" s="321">
        <v>1.1182380807567878</v>
      </c>
      <c r="G32" s="438">
        <v>5.0520022500471794E-2</v>
      </c>
      <c r="H32" s="322">
        <v>1.1222352407431402</v>
      </c>
      <c r="I32" s="323">
        <v>4.9998069362815582E-2</v>
      </c>
      <c r="J32" s="386">
        <f>'PDA Schedules FY 2020'!AE29</f>
        <v>4.7923754654631466E-2</v>
      </c>
      <c r="K32" s="397">
        <v>-2251777.2079078555</v>
      </c>
      <c r="L32" s="333">
        <v>-2272309.5868136883</v>
      </c>
      <c r="M32" s="398">
        <f t="shared" si="0"/>
        <v>-20532.378905832767</v>
      </c>
      <c r="N32" s="429"/>
      <c r="O32" s="439">
        <f t="shared" si="1"/>
        <v>0</v>
      </c>
      <c r="P32">
        <v>27</v>
      </c>
      <c r="Q32" t="s">
        <v>311</v>
      </c>
      <c r="R32" s="240">
        <v>367224365.49869353</v>
      </c>
      <c r="S32" s="240">
        <f t="shared" si="2"/>
        <v>-1042186.8908317089</v>
      </c>
    </row>
    <row r="33" spans="1:19">
      <c r="A33" s="230">
        <v>210028</v>
      </c>
      <c r="B33" s="230">
        <v>28</v>
      </c>
      <c r="C33" s="230" t="s">
        <v>22</v>
      </c>
      <c r="D33" s="320">
        <v>206016792.21388263</v>
      </c>
      <c r="E33" s="320">
        <v>204293768.6906538</v>
      </c>
      <c r="F33" s="321">
        <v>1.108155612752997</v>
      </c>
      <c r="G33" s="438">
        <v>4.2892259925530404E-2</v>
      </c>
      <c r="H33" s="322">
        <v>1.1112170050999408</v>
      </c>
      <c r="I33" s="323">
        <v>3.9048248664500185E-2</v>
      </c>
      <c r="J33" s="386">
        <f>'PDA Schedules FY 2020'!AE30</f>
        <v>3.5136915781648875E-2</v>
      </c>
      <c r="K33" s="397">
        <v>241247.53390461206</v>
      </c>
      <c r="L33" s="333">
        <v>241907.7679219842</v>
      </c>
      <c r="M33" s="398">
        <f t="shared" si="0"/>
        <v>660.23401737213135</v>
      </c>
      <c r="N33" s="429"/>
      <c r="O33" s="439">
        <f t="shared" si="1"/>
        <v>0</v>
      </c>
      <c r="P33">
        <v>28</v>
      </c>
      <c r="Q33" t="s">
        <v>482</v>
      </c>
      <c r="R33" s="240">
        <v>204293768.6906538</v>
      </c>
      <c r="S33" s="240">
        <f t="shared" si="2"/>
        <v>0</v>
      </c>
    </row>
    <row r="34" spans="1:19">
      <c r="A34" s="230">
        <v>210029</v>
      </c>
      <c r="B34" s="230">
        <v>29</v>
      </c>
      <c r="C34" s="230" t="s">
        <v>23</v>
      </c>
      <c r="D34" s="320">
        <v>752759369.06979322</v>
      </c>
      <c r="E34" s="320">
        <v>777023130.46288252</v>
      </c>
      <c r="F34" s="321">
        <v>1.1141231178647666</v>
      </c>
      <c r="G34" s="438">
        <v>5.22146480013434E-2</v>
      </c>
      <c r="H34" s="322">
        <v>1.1155183788573015</v>
      </c>
      <c r="I34" s="323">
        <v>5.3897931383830866E-2</v>
      </c>
      <c r="J34" s="386">
        <f>'PDA Schedules FY 2020'!AE31</f>
        <v>5.2129882910006697E-2</v>
      </c>
      <c r="K34" s="397">
        <v>-6034163.4573231936</v>
      </c>
      <c r="L34" s="333">
        <v>-6076650.0583382845</v>
      </c>
      <c r="M34" s="398">
        <f t="shared" si="0"/>
        <v>-42486.601015090942</v>
      </c>
      <c r="N34" s="429"/>
      <c r="O34" s="439">
        <f t="shared" si="1"/>
        <v>0</v>
      </c>
      <c r="P34">
        <v>29</v>
      </c>
      <c r="Q34" t="s">
        <v>313</v>
      </c>
      <c r="R34" s="240">
        <v>777638198.76016569</v>
      </c>
      <c r="S34" s="240">
        <f t="shared" si="2"/>
        <v>-615068.29728317261</v>
      </c>
    </row>
    <row r="35" spans="1:19">
      <c r="A35" s="230">
        <v>210030</v>
      </c>
      <c r="B35" s="230">
        <v>30</v>
      </c>
      <c r="C35" s="230" t="s">
        <v>24</v>
      </c>
      <c r="D35" s="320">
        <v>55759080.101995476</v>
      </c>
      <c r="E35" s="320">
        <v>64865575.655168727</v>
      </c>
      <c r="F35" s="321">
        <v>1.1178325773056215</v>
      </c>
      <c r="G35" s="438">
        <v>4.9374485813536165E-2</v>
      </c>
      <c r="H35" s="322">
        <v>1.1208022962975113</v>
      </c>
      <c r="I35" s="323">
        <v>5.6036414237638651E-2</v>
      </c>
      <c r="J35" s="386">
        <f>'PDA Schedules FY 2020'!AE32</f>
        <v>6.1461772479119048E-2</v>
      </c>
      <c r="K35" s="397">
        <v>-279752.29964242876</v>
      </c>
      <c r="L35" s="333">
        <v>-280019.74765285105</v>
      </c>
      <c r="M35" s="398">
        <f t="shared" si="0"/>
        <v>-267.44801042228937</v>
      </c>
      <c r="N35" s="429"/>
      <c r="O35" s="439">
        <f t="shared" si="1"/>
        <v>0</v>
      </c>
      <c r="P35">
        <v>30</v>
      </c>
      <c r="Q35" t="s">
        <v>483</v>
      </c>
      <c r="R35" s="240">
        <v>65067719.551835388</v>
      </c>
      <c r="S35" s="240">
        <f t="shared" si="2"/>
        <v>-202143.8966666609</v>
      </c>
    </row>
    <row r="36" spans="1:19">
      <c r="A36" s="230">
        <v>210032</v>
      </c>
      <c r="B36" s="230">
        <v>32</v>
      </c>
      <c r="C36" s="230" t="s">
        <v>25</v>
      </c>
      <c r="D36" s="320">
        <v>180654968.41476712</v>
      </c>
      <c r="E36" s="320">
        <v>182776140.26165667</v>
      </c>
      <c r="F36" s="321">
        <v>1.1140685856836097</v>
      </c>
      <c r="G36" s="438">
        <v>5.0646322649375859E-2</v>
      </c>
      <c r="H36" s="322">
        <v>1.1169835788176439</v>
      </c>
      <c r="I36" s="323">
        <v>6.0071092521197675E-2</v>
      </c>
      <c r="J36" s="386">
        <f>'PDA Schedules FY 2020'!AE33</f>
        <v>6.0212296388974441E-2</v>
      </c>
      <c r="K36" s="397">
        <v>-1165388.7370479107</v>
      </c>
      <c r="L36" s="333">
        <v>-1186833.5433756411</v>
      </c>
      <c r="M36" s="398">
        <f t="shared" si="0"/>
        <v>-21444.806327730417</v>
      </c>
      <c r="N36" s="429"/>
      <c r="O36" s="439">
        <f t="shared" si="1"/>
        <v>0</v>
      </c>
      <c r="P36">
        <v>32</v>
      </c>
      <c r="Q36" t="s">
        <v>157</v>
      </c>
      <c r="R36" s="240">
        <v>183689440.13277233</v>
      </c>
      <c r="S36" s="240">
        <f t="shared" si="2"/>
        <v>-913299.87111565471</v>
      </c>
    </row>
    <row r="37" spans="1:19">
      <c r="A37" s="230">
        <v>210033</v>
      </c>
      <c r="B37" s="230">
        <v>33</v>
      </c>
      <c r="C37" s="230" t="s">
        <v>26</v>
      </c>
      <c r="D37" s="320">
        <v>251914342.4235788</v>
      </c>
      <c r="E37" s="320">
        <v>258228918.90743086</v>
      </c>
      <c r="F37" s="321">
        <v>1.1115247749725947</v>
      </c>
      <c r="G37" s="438">
        <v>3.0343091710066231E-2</v>
      </c>
      <c r="H37" s="322">
        <v>1.1133359174215276</v>
      </c>
      <c r="I37" s="323">
        <v>3.8311987948659892E-2</v>
      </c>
      <c r="J37" s="386">
        <f>'PDA Schedules FY 2020'!AE34</f>
        <v>3.4825608681847593E-2</v>
      </c>
      <c r="K37" s="397">
        <v>3326403.4427024424</v>
      </c>
      <c r="L37" s="333">
        <v>3340095.4076501429</v>
      </c>
      <c r="M37" s="398">
        <f t="shared" si="0"/>
        <v>13691.9649477005</v>
      </c>
      <c r="N37" s="429"/>
      <c r="O37" s="439">
        <f t="shared" si="1"/>
        <v>0</v>
      </c>
      <c r="P37">
        <v>33</v>
      </c>
      <c r="Q37" t="s">
        <v>255</v>
      </c>
      <c r="R37" s="240">
        <v>258435650.55137059</v>
      </c>
      <c r="S37" s="240">
        <f t="shared" si="2"/>
        <v>-206731.64393973351</v>
      </c>
    </row>
    <row r="38" spans="1:19">
      <c r="A38" s="230">
        <v>210034</v>
      </c>
      <c r="B38" s="230">
        <v>34</v>
      </c>
      <c r="C38" s="230" t="s">
        <v>27</v>
      </c>
      <c r="D38" s="320">
        <v>199352399.6475822</v>
      </c>
      <c r="E38" s="320">
        <v>200300542.35340351</v>
      </c>
      <c r="F38" s="321">
        <v>1.1180960294119102</v>
      </c>
      <c r="G38" s="438">
        <v>4.7289977239583163E-2</v>
      </c>
      <c r="H38" s="322">
        <v>1.1210674318087861</v>
      </c>
      <c r="I38" s="323">
        <v>5.0266760407214894E-2</v>
      </c>
      <c r="J38" s="386">
        <f>'PDA Schedules FY 2020'!AE35</f>
        <v>4.9720253639384558E-2</v>
      </c>
      <c r="K38" s="397">
        <v>-628291.60636559129</v>
      </c>
      <c r="L38" s="333">
        <v>-623531.48515170813</v>
      </c>
      <c r="M38" s="398">
        <f t="shared" si="0"/>
        <v>4760.1212138831615</v>
      </c>
      <c r="N38" s="429"/>
      <c r="O38" s="439">
        <f t="shared" si="1"/>
        <v>0</v>
      </c>
      <c r="P38">
        <v>34</v>
      </c>
      <c r="Q38" t="s">
        <v>484</v>
      </c>
      <c r="R38" s="240">
        <v>200300542.35340351</v>
      </c>
      <c r="S38" s="240">
        <f t="shared" si="2"/>
        <v>0</v>
      </c>
    </row>
    <row r="39" spans="1:19">
      <c r="A39" s="230">
        <v>210035</v>
      </c>
      <c r="B39" s="230">
        <v>35</v>
      </c>
      <c r="C39" s="230" t="s">
        <v>28</v>
      </c>
      <c r="D39" s="320">
        <v>168803990.68821624</v>
      </c>
      <c r="E39" s="320">
        <v>174694625.01043001</v>
      </c>
      <c r="F39" s="321">
        <v>1.1094499227741297</v>
      </c>
      <c r="G39" s="438">
        <v>5.2025349156921856E-2</v>
      </c>
      <c r="H39" s="322">
        <v>1.1137609362132463</v>
      </c>
      <c r="I39" s="323">
        <v>6.0519946327489485E-2</v>
      </c>
      <c r="J39" s="386">
        <f>'PDA Schedules FY 2020'!AE36</f>
        <v>6.2201361448269508E-2</v>
      </c>
      <c r="K39" s="397">
        <v>-1298358.8767252564</v>
      </c>
      <c r="L39" s="333">
        <v>-1315788.2820968628</v>
      </c>
      <c r="M39" s="398">
        <f t="shared" si="0"/>
        <v>-17429.40537160635</v>
      </c>
      <c r="N39" s="429"/>
      <c r="O39" s="439">
        <f t="shared" si="1"/>
        <v>0</v>
      </c>
      <c r="P39">
        <v>35</v>
      </c>
      <c r="Q39" t="s">
        <v>485</v>
      </c>
      <c r="R39" s="240">
        <v>174694625.01043001</v>
      </c>
      <c r="S39" s="240">
        <f t="shared" si="2"/>
        <v>0</v>
      </c>
    </row>
    <row r="40" spans="1:19">
      <c r="A40" s="230">
        <v>210037</v>
      </c>
      <c r="B40" s="230">
        <v>37</v>
      </c>
      <c r="C40" s="230" t="s">
        <v>29</v>
      </c>
      <c r="D40" s="320">
        <v>245479831.10427675</v>
      </c>
      <c r="E40" s="320">
        <v>253273608.65294856</v>
      </c>
      <c r="F40" s="321">
        <v>1.1187748164974232</v>
      </c>
      <c r="G40" s="438">
        <v>3.4583312181194398E-2</v>
      </c>
      <c r="H40" s="322">
        <v>1.1217528361287803</v>
      </c>
      <c r="I40" s="323">
        <v>3.4217714507275919E-2</v>
      </c>
      <c r="J40" s="386">
        <f>'PDA Schedules FY 2020'!AE37</f>
        <v>3.4991094743399204E-2</v>
      </c>
      <c r="K40" s="397">
        <v>2299440.4757065177</v>
      </c>
      <c r="L40" s="333">
        <v>2308119.7662436664</v>
      </c>
      <c r="M40" s="398">
        <f t="shared" si="0"/>
        <v>8679.2905371487141</v>
      </c>
      <c r="N40" s="429"/>
      <c r="O40" s="439">
        <f t="shared" si="1"/>
        <v>0</v>
      </c>
      <c r="P40">
        <v>37</v>
      </c>
      <c r="Q40" t="s">
        <v>486</v>
      </c>
      <c r="R40" s="240">
        <v>253373553.2060343</v>
      </c>
      <c r="S40" s="240">
        <f t="shared" si="2"/>
        <v>-99944.553085744381</v>
      </c>
    </row>
    <row r="41" spans="1:19">
      <c r="A41" s="230">
        <v>210038</v>
      </c>
      <c r="B41" s="230">
        <v>38</v>
      </c>
      <c r="C41" s="230" t="s">
        <v>30</v>
      </c>
      <c r="D41" s="320">
        <v>238042538.01941082</v>
      </c>
      <c r="E41" s="320">
        <v>245009008.04779527</v>
      </c>
      <c r="F41" s="321">
        <v>1.1211743847596074</v>
      </c>
      <c r="G41" s="438">
        <v>4.5324784965156885E-2</v>
      </c>
      <c r="H41" s="322">
        <v>1.1257422507673123</v>
      </c>
      <c r="I41" s="323">
        <v>4.1539768321463534E-2</v>
      </c>
      <c r="J41" s="386">
        <f>'PDA Schedules FY 2020'!AE38</f>
        <v>4.4486317556573743E-2</v>
      </c>
      <c r="K41" s="397">
        <v>-262603.59732699394</v>
      </c>
      <c r="L41" s="333">
        <v>-268324.51264312863</v>
      </c>
      <c r="M41" s="398">
        <f t="shared" si="0"/>
        <v>-5720.9153161346912</v>
      </c>
      <c r="N41" s="429"/>
      <c r="O41" s="439">
        <f t="shared" si="1"/>
        <v>0</v>
      </c>
      <c r="P41">
        <v>38</v>
      </c>
      <c r="Q41" t="s">
        <v>487</v>
      </c>
      <c r="R41" s="240">
        <v>245009008.04779527</v>
      </c>
      <c r="S41" s="240">
        <f t="shared" si="2"/>
        <v>0</v>
      </c>
    </row>
    <row r="42" spans="1:19">
      <c r="A42" s="230">
        <v>210039</v>
      </c>
      <c r="B42" s="230">
        <v>39</v>
      </c>
      <c r="C42" s="230" t="s">
        <v>31</v>
      </c>
      <c r="D42" s="320">
        <v>165657219.70225224</v>
      </c>
      <c r="E42" s="320">
        <v>170013771.9047721</v>
      </c>
      <c r="F42" s="321">
        <v>1.1132138111988261</v>
      </c>
      <c r="G42" s="438">
        <v>4.2189127272295172E-2</v>
      </c>
      <c r="H42" s="322">
        <v>1.1174827031278292</v>
      </c>
      <c r="I42" s="323">
        <v>3.6470944107112345E-2</v>
      </c>
      <c r="J42" s="386">
        <f>'PDA Schedules FY 2020'!AE39</f>
        <v>3.1721502639181144E-2</v>
      </c>
      <c r="K42" s="397">
        <v>311679.12675532699</v>
      </c>
      <c r="L42" s="333">
        <v>316046.87458974123</v>
      </c>
      <c r="M42" s="398">
        <f t="shared" si="0"/>
        <v>4367.7478344142437</v>
      </c>
      <c r="N42" s="429"/>
      <c r="O42" s="439">
        <f t="shared" si="1"/>
        <v>0</v>
      </c>
      <c r="P42">
        <v>39</v>
      </c>
      <c r="Q42" t="s">
        <v>158</v>
      </c>
      <c r="R42" s="240">
        <v>170013771.9047721</v>
      </c>
      <c r="S42" s="240">
        <f t="shared" si="2"/>
        <v>0</v>
      </c>
    </row>
    <row r="43" spans="1:19">
      <c r="A43" s="230">
        <v>210040</v>
      </c>
      <c r="B43" s="230">
        <v>40</v>
      </c>
      <c r="C43" s="230" t="s">
        <v>32</v>
      </c>
      <c r="D43" s="320">
        <v>289247707.31526887</v>
      </c>
      <c r="E43" s="320">
        <v>293852379.90991277</v>
      </c>
      <c r="F43" s="321">
        <v>1.1141571278152393</v>
      </c>
      <c r="G43" s="438">
        <v>5.3050015729786335E-2</v>
      </c>
      <c r="H43" s="322">
        <v>1.1180823599470688</v>
      </c>
      <c r="I43" s="323">
        <v>6.008122517985362E-2</v>
      </c>
      <c r="J43" s="386">
        <f>'PDA Schedules FY 2020'!AE40</f>
        <v>6.5212005261182829E-2</v>
      </c>
      <c r="K43" s="397">
        <v>-2592509.0312939584</v>
      </c>
      <c r="L43" s="333">
        <v>-2566834.449198395</v>
      </c>
      <c r="M43" s="398">
        <f t="shared" si="0"/>
        <v>25674.582095563412</v>
      </c>
      <c r="N43" s="429"/>
      <c r="O43" s="439">
        <f t="shared" si="1"/>
        <v>0</v>
      </c>
      <c r="P43">
        <v>40</v>
      </c>
      <c r="Q43" t="s">
        <v>319</v>
      </c>
      <c r="R43" s="240">
        <v>295046768.10494232</v>
      </c>
      <c r="S43" s="240">
        <f t="shared" si="2"/>
        <v>-1194388.1950295568</v>
      </c>
    </row>
    <row r="44" spans="1:19">
      <c r="A44" s="230">
        <v>210043</v>
      </c>
      <c r="B44" s="230">
        <v>43</v>
      </c>
      <c r="C44" s="230" t="s">
        <v>33</v>
      </c>
      <c r="D44" s="320">
        <v>487491167.33270442</v>
      </c>
      <c r="E44" s="320">
        <v>504660086.73225993</v>
      </c>
      <c r="F44" s="321">
        <v>1.1114837273564122</v>
      </c>
      <c r="G44" s="438">
        <v>4.9798504962581425E-2</v>
      </c>
      <c r="H44" s="322">
        <v>1.1144747022269594</v>
      </c>
      <c r="I44" s="323">
        <v>5.0258913430729024E-2</v>
      </c>
      <c r="J44" s="386">
        <f>'PDA Schedules FY 2020'!AE41</f>
        <v>5.7183015544945037E-2</v>
      </c>
      <c r="K44" s="397">
        <v>-2743778.777012229</v>
      </c>
      <c r="L44" s="333">
        <v>-2759127.0182369351</v>
      </c>
      <c r="M44" s="398">
        <f t="shared" si="0"/>
        <v>-15348.241224706173</v>
      </c>
      <c r="N44" s="429"/>
      <c r="O44" s="439">
        <f t="shared" si="1"/>
        <v>0</v>
      </c>
      <c r="P44">
        <v>43</v>
      </c>
      <c r="Q44" t="s">
        <v>488</v>
      </c>
      <c r="R44" s="240">
        <v>504660086.73225993</v>
      </c>
      <c r="S44" s="240">
        <f t="shared" si="2"/>
        <v>0</v>
      </c>
    </row>
    <row r="45" spans="1:19">
      <c r="A45" s="230">
        <v>210044</v>
      </c>
      <c r="B45" s="230">
        <v>44</v>
      </c>
      <c r="C45" s="230" t="s">
        <v>34</v>
      </c>
      <c r="D45" s="320">
        <v>530943613.57410896</v>
      </c>
      <c r="E45" s="320">
        <v>530829424.75627238</v>
      </c>
      <c r="F45" s="321">
        <v>1.1035926333106025</v>
      </c>
      <c r="G45" s="438">
        <v>3.1330552816312966E-2</v>
      </c>
      <c r="H45" s="322">
        <v>1.1062181730077554</v>
      </c>
      <c r="I45" s="323">
        <v>3.4389990133356321E-2</v>
      </c>
      <c r="J45" s="386">
        <f>'PDA Schedules FY 2020'!AE42</f>
        <v>2.9305182809996111E-2</v>
      </c>
      <c r="K45" s="397">
        <v>6404331.1581213474</v>
      </c>
      <c r="L45" s="333">
        <v>6635201.3133227825</v>
      </c>
      <c r="M45" s="398">
        <f t="shared" si="0"/>
        <v>230870.15520143509</v>
      </c>
      <c r="N45" s="429"/>
      <c r="O45" s="439">
        <f t="shared" si="1"/>
        <v>0</v>
      </c>
      <c r="P45">
        <v>44</v>
      </c>
      <c r="Q45" t="s">
        <v>159</v>
      </c>
      <c r="R45" s="240">
        <v>530829424.75627226</v>
      </c>
      <c r="S45" s="240">
        <f t="shared" si="2"/>
        <v>0</v>
      </c>
    </row>
    <row r="46" spans="1:19">
      <c r="A46" s="230">
        <v>210045</v>
      </c>
      <c r="B46" s="230">
        <v>45</v>
      </c>
      <c r="C46" s="230" t="s">
        <v>35</v>
      </c>
      <c r="D46" s="320"/>
      <c r="E46" s="320"/>
      <c r="F46" s="321"/>
      <c r="G46" s="321"/>
      <c r="H46" s="322"/>
      <c r="I46" s="323"/>
      <c r="J46" s="386"/>
      <c r="K46" s="397"/>
      <c r="L46" s="333"/>
      <c r="M46" s="398"/>
      <c r="N46" s="429"/>
      <c r="O46" s="439">
        <f t="shared" si="1"/>
        <v>0</v>
      </c>
      <c r="P46">
        <v>45</v>
      </c>
      <c r="Q46" t="s">
        <v>489</v>
      </c>
      <c r="R46" s="240"/>
      <c r="S46" s="240">
        <f t="shared" si="2"/>
        <v>0</v>
      </c>
    </row>
    <row r="47" spans="1:19">
      <c r="A47" s="230">
        <v>210048</v>
      </c>
      <c r="B47" s="230">
        <v>48</v>
      </c>
      <c r="C47" s="230" t="s">
        <v>36</v>
      </c>
      <c r="D47" s="320">
        <v>328466173.48733026</v>
      </c>
      <c r="E47" s="320">
        <v>331118628.60434508</v>
      </c>
      <c r="F47" s="321">
        <v>1.1025498858374603</v>
      </c>
      <c r="G47" s="321">
        <v>4.3794929158690453E-2</v>
      </c>
      <c r="H47" s="322">
        <v>1.1034462779264029</v>
      </c>
      <c r="I47" s="323">
        <v>4.8240373987029669E-2</v>
      </c>
      <c r="J47" s="386">
        <f>'PDA Schedules FY 2020'!AE44</f>
        <v>5.2396040994114476E-2</v>
      </c>
      <c r="K47" s="397">
        <v>86736.735241889954</v>
      </c>
      <c r="L47" s="333">
        <v>87215.953423261642</v>
      </c>
      <c r="M47" s="398">
        <f t="shared" si="0"/>
        <v>479.21818137168884</v>
      </c>
      <c r="N47" s="429"/>
      <c r="O47" s="439">
        <f t="shared" si="1"/>
        <v>0</v>
      </c>
      <c r="P47">
        <v>48</v>
      </c>
      <c r="Q47" t="s">
        <v>160</v>
      </c>
      <c r="R47" s="240">
        <v>331118628.60434508</v>
      </c>
      <c r="S47" s="240">
        <f t="shared" si="2"/>
        <v>0</v>
      </c>
    </row>
    <row r="48" spans="1:19">
      <c r="A48" s="230">
        <v>210049</v>
      </c>
      <c r="B48" s="230">
        <v>49</v>
      </c>
      <c r="C48" s="230" t="s">
        <v>37</v>
      </c>
      <c r="D48" s="320">
        <v>347985588.84561682</v>
      </c>
      <c r="E48" s="320">
        <v>359513136.77366573</v>
      </c>
      <c r="F48" s="321">
        <v>1.1072617895731318</v>
      </c>
      <c r="G48" s="321">
        <v>3.9253771972113813E-2</v>
      </c>
      <c r="H48" s="322">
        <v>1.1112301301678418</v>
      </c>
      <c r="I48" s="323">
        <v>5.0306292850217059E-2</v>
      </c>
      <c r="J48" s="386">
        <f>'PDA Schedules FY 2020'!AE45</f>
        <v>6.0201206538816436E-2</v>
      </c>
      <c r="K48" s="397">
        <v>1611752.3029282093</v>
      </c>
      <c r="L48" s="333">
        <v>1639691.1714143753</v>
      </c>
      <c r="M48" s="398">
        <f t="shared" si="0"/>
        <v>27938.868486166</v>
      </c>
      <c r="N48" s="429"/>
      <c r="O48" s="439">
        <f t="shared" si="1"/>
        <v>0</v>
      </c>
      <c r="P48">
        <v>49</v>
      </c>
      <c r="Q48" t="s">
        <v>490</v>
      </c>
      <c r="R48" s="240">
        <v>359513136.77366573</v>
      </c>
      <c r="S48" s="240">
        <f t="shared" si="2"/>
        <v>0</v>
      </c>
    </row>
    <row r="49" spans="1:19">
      <c r="A49" s="230">
        <v>210051</v>
      </c>
      <c r="B49" s="230">
        <v>51</v>
      </c>
      <c r="C49" s="230" t="s">
        <v>38</v>
      </c>
      <c r="D49" s="320">
        <v>284601928.80241692</v>
      </c>
      <c r="E49" s="320">
        <v>282837440.93790418</v>
      </c>
      <c r="F49" s="321">
        <v>1.1096984548833317</v>
      </c>
      <c r="G49" s="321">
        <v>6.6660986946555992E-2</v>
      </c>
      <c r="H49" s="322">
        <v>1.1137911972492751</v>
      </c>
      <c r="I49" s="323">
        <v>6.594593523482517E-2</v>
      </c>
      <c r="J49" s="386">
        <f>'PDA Schedules FY 2020'!AE46</f>
        <v>6.8588073979869033E-2</v>
      </c>
      <c r="K49" s="397">
        <v>-6396855.5755394399</v>
      </c>
      <c r="L49" s="333">
        <v>-6509611.5876745284</v>
      </c>
      <c r="M49" s="398">
        <f t="shared" si="0"/>
        <v>-112756.01213508844</v>
      </c>
      <c r="N49" s="429"/>
      <c r="O49" s="439">
        <f t="shared" si="1"/>
        <v>0</v>
      </c>
      <c r="P49">
        <v>51</v>
      </c>
      <c r="Q49" t="s">
        <v>491</v>
      </c>
      <c r="R49" s="240">
        <v>282837440.93790418</v>
      </c>
      <c r="S49" s="240">
        <f t="shared" si="2"/>
        <v>0</v>
      </c>
    </row>
    <row r="50" spans="1:19">
      <c r="A50" s="230">
        <v>210056</v>
      </c>
      <c r="B50" s="230">
        <v>2004</v>
      </c>
      <c r="C50" s="230" t="s">
        <v>44</v>
      </c>
      <c r="D50" s="320">
        <v>286853150.48222011</v>
      </c>
      <c r="E50" s="320">
        <v>282462236.80368292</v>
      </c>
      <c r="F50" s="321">
        <v>1.1217650008286368</v>
      </c>
      <c r="G50" s="321">
        <v>4.4604302977159276E-2</v>
      </c>
      <c r="H50" s="322">
        <v>1.1245232460373376</v>
      </c>
      <c r="I50" s="323">
        <v>4.518746855864423E-2</v>
      </c>
      <c r="J50" s="386">
        <f>'PDA Schedules FY 2020'!AE48</f>
        <v>4.5220696412711966E-2</v>
      </c>
      <c r="K50" s="397">
        <v>-142041.23190721869</v>
      </c>
      <c r="L50" s="333">
        <v>-142224.90395623446</v>
      </c>
      <c r="M50" s="398">
        <f t="shared" si="0"/>
        <v>-183.67204901576042</v>
      </c>
      <c r="N50" s="429"/>
      <c r="O50" s="439">
        <f t="shared" si="1"/>
        <v>0</v>
      </c>
      <c r="P50">
        <v>2004</v>
      </c>
      <c r="Q50" t="s">
        <v>492</v>
      </c>
      <c r="R50" s="240">
        <v>282462236.80368292</v>
      </c>
      <c r="S50" s="240">
        <f t="shared" si="2"/>
        <v>0</v>
      </c>
    </row>
    <row r="51" spans="1:19">
      <c r="A51" s="230">
        <v>210057</v>
      </c>
      <c r="B51" s="230">
        <v>5050</v>
      </c>
      <c r="C51" s="230" t="s">
        <v>45</v>
      </c>
      <c r="D51" s="320">
        <v>493108962.82564831</v>
      </c>
      <c r="E51" s="320">
        <v>496562142.44087422</v>
      </c>
      <c r="F51" s="321">
        <v>1.1050573495968667</v>
      </c>
      <c r="G51" s="321">
        <v>5.4501659957042516E-2</v>
      </c>
      <c r="H51" s="322">
        <v>1.1086487720971909</v>
      </c>
      <c r="I51" s="323">
        <v>6.152099075081429E-2</v>
      </c>
      <c r="J51" s="386">
        <f>'PDA Schedules FY 2020'!AE49</f>
        <v>6.4665647669671325E-2</v>
      </c>
      <c r="K51" s="397">
        <v>-5194670.8291405439</v>
      </c>
      <c r="L51" s="333">
        <v>-5154299.8104352355</v>
      </c>
      <c r="M51" s="398">
        <f t="shared" si="0"/>
        <v>40371.018705308437</v>
      </c>
      <c r="N51" s="429"/>
      <c r="O51" s="439">
        <f t="shared" si="1"/>
        <v>0</v>
      </c>
      <c r="P51">
        <v>5050</v>
      </c>
      <c r="Q51" t="s">
        <v>493</v>
      </c>
      <c r="R51" s="240">
        <v>496589066.44087422</v>
      </c>
      <c r="S51" s="240">
        <f t="shared" si="2"/>
        <v>-26924</v>
      </c>
    </row>
    <row r="52" spans="1:19">
      <c r="A52" s="230">
        <v>210058</v>
      </c>
      <c r="B52" s="230">
        <v>2001</v>
      </c>
      <c r="C52" s="230" t="s">
        <v>43</v>
      </c>
      <c r="D52" s="320">
        <v>133400345.5128704</v>
      </c>
      <c r="E52" s="320">
        <v>149098890.52905595</v>
      </c>
      <c r="F52" s="321">
        <v>1.1074274776874236</v>
      </c>
      <c r="G52" s="321">
        <v>4.4929172599797396E-2</v>
      </c>
      <c r="H52" s="322">
        <v>1.1108720872609235</v>
      </c>
      <c r="I52" s="334">
        <f>J52</f>
        <v>3.953183482305582E-2</v>
      </c>
      <c r="J52" s="386">
        <f>'PDA Schedules FY 2020'!AE50</f>
        <v>3.953183482305582E-2</v>
      </c>
      <c r="K52" s="397">
        <v>-104765.57989241183</v>
      </c>
      <c r="L52" s="333">
        <v>-104524.44802327454</v>
      </c>
      <c r="M52" s="398">
        <v>4883</v>
      </c>
      <c r="N52" s="437"/>
      <c r="O52" s="439">
        <f t="shared" si="1"/>
        <v>0</v>
      </c>
      <c r="P52">
        <v>2001</v>
      </c>
      <c r="Q52" t="s">
        <v>494</v>
      </c>
      <c r="R52" s="240">
        <v>149098890.52905595</v>
      </c>
      <c r="S52" s="240">
        <f t="shared" si="2"/>
        <v>0</v>
      </c>
    </row>
    <row r="53" spans="1:19">
      <c r="A53" s="230">
        <v>210060</v>
      </c>
      <c r="B53" s="230">
        <v>60</v>
      </c>
      <c r="C53" s="230" t="s">
        <v>41</v>
      </c>
      <c r="D53" s="320">
        <v>55419827.774535179</v>
      </c>
      <c r="E53" s="320">
        <v>58044051.786442839</v>
      </c>
      <c r="F53" s="321">
        <v>1.1175211412810639</v>
      </c>
      <c r="G53" s="321">
        <v>8.8398485189205317E-2</v>
      </c>
      <c r="H53" s="322">
        <v>1.1133653190562818</v>
      </c>
      <c r="I53" s="323">
        <v>7.9492391683414848E-2</v>
      </c>
      <c r="J53" s="386">
        <f>'PDA Schedules FY 2020'!AE51</f>
        <v>7.3030460686414361E-2</v>
      </c>
      <c r="K53" s="397">
        <v>-2550070.9901454151</v>
      </c>
      <c r="L53" s="333">
        <v>-2544514.5921960473</v>
      </c>
      <c r="M53" s="398">
        <f t="shared" si="0"/>
        <v>5556.3979493677616</v>
      </c>
      <c r="N53" s="437"/>
      <c r="O53" s="439">
        <f t="shared" si="1"/>
        <v>0</v>
      </c>
      <c r="P53">
        <v>60</v>
      </c>
      <c r="Q53" t="s">
        <v>495</v>
      </c>
      <c r="R53" s="240">
        <v>58044051.786442839</v>
      </c>
      <c r="S53" s="240">
        <f t="shared" si="2"/>
        <v>0</v>
      </c>
    </row>
    <row r="54" spans="1:19">
      <c r="A54" s="230">
        <v>210061</v>
      </c>
      <c r="B54" s="230">
        <v>61</v>
      </c>
      <c r="C54" s="230" t="s">
        <v>42</v>
      </c>
      <c r="D54" s="320">
        <v>122209113.02147916</v>
      </c>
      <c r="E54" s="320">
        <v>125141681.64642097</v>
      </c>
      <c r="F54" s="321">
        <v>1.1101746119123399</v>
      </c>
      <c r="G54" s="321">
        <v>5.122530912421789E-2</v>
      </c>
      <c r="H54" s="322">
        <v>1.1129872923943072</v>
      </c>
      <c r="I54" s="323">
        <v>5.7991371955233129E-2</v>
      </c>
      <c r="J54" s="386">
        <f>'PDA Schedules FY 2020'!AE52</f>
        <v>5.6418390406644425E-2</v>
      </c>
      <c r="K54" s="397">
        <v>-843601.41873916984</v>
      </c>
      <c r="L54" s="333">
        <v>-861297.42760899663</v>
      </c>
      <c r="M54" s="398">
        <f t="shared" si="0"/>
        <v>-17696.008869826794</v>
      </c>
      <c r="N54" s="437"/>
      <c r="O54" s="439">
        <f t="shared" si="1"/>
        <v>0</v>
      </c>
      <c r="P54">
        <v>61</v>
      </c>
      <c r="Q54" t="s">
        <v>161</v>
      </c>
      <c r="R54" s="240">
        <v>125141681.64642097</v>
      </c>
      <c r="S54" s="240">
        <f t="shared" si="2"/>
        <v>0</v>
      </c>
    </row>
    <row r="55" spans="1:19">
      <c r="A55" s="230">
        <v>210062</v>
      </c>
      <c r="B55" s="230">
        <v>62</v>
      </c>
      <c r="C55" s="230" t="s">
        <v>39</v>
      </c>
      <c r="D55" s="320">
        <v>298809356.0557099</v>
      </c>
      <c r="E55" s="320">
        <v>298103133.5581311</v>
      </c>
      <c r="F55" s="321">
        <v>1.1119327545391331</v>
      </c>
      <c r="G55" s="321">
        <v>4.7655229771582222E-2</v>
      </c>
      <c r="H55" s="322">
        <v>1.1133789020389273</v>
      </c>
      <c r="I55" s="323">
        <v>4.8910441153642986E-2</v>
      </c>
      <c r="J55" s="386">
        <f>'PDA Schedules FY 2020'!AE53</f>
        <v>4.9267669995252214E-2</v>
      </c>
      <c r="K55" s="397">
        <v>-1037681.2815828621</v>
      </c>
      <c r="L55" s="333">
        <v>-1041749.5789048374</v>
      </c>
      <c r="M55" s="398">
        <f t="shared" si="0"/>
        <v>-4068.2973219752312</v>
      </c>
      <c r="N55" s="437"/>
      <c r="O55" s="439">
        <f t="shared" si="1"/>
        <v>0</v>
      </c>
      <c r="P55">
        <v>62</v>
      </c>
      <c r="Q55" t="s">
        <v>496</v>
      </c>
      <c r="R55" s="240">
        <v>298103133.5581311</v>
      </c>
      <c r="S55" s="240">
        <f t="shared" si="2"/>
        <v>0</v>
      </c>
    </row>
    <row r="56" spans="1:19">
      <c r="A56" s="230">
        <v>210063</v>
      </c>
      <c r="B56" s="230">
        <v>63</v>
      </c>
      <c r="C56" s="230" t="s">
        <v>6</v>
      </c>
      <c r="D56" s="320">
        <v>417505537.08959901</v>
      </c>
      <c r="E56" s="320">
        <v>445529795.29359597</v>
      </c>
      <c r="F56" s="321">
        <v>1.1069411425391098</v>
      </c>
      <c r="G56" s="321">
        <v>4.1006078212364072E-2</v>
      </c>
      <c r="H56" s="322">
        <v>1.1111639532075388</v>
      </c>
      <c r="I56" s="323">
        <v>3.8138447126446519E-2</v>
      </c>
      <c r="J56" s="386">
        <f>'PDA Schedules FY 2020'!AE54</f>
        <v>3.6973969623610763E-2</v>
      </c>
      <c r="K56" s="397">
        <v>1273870.7959637642</v>
      </c>
      <c r="L56" s="333">
        <v>1273018.7454807162</v>
      </c>
      <c r="M56" s="398">
        <f t="shared" si="0"/>
        <v>-852.05048304796219</v>
      </c>
      <c r="N56" s="437"/>
      <c r="O56" s="439">
        <f t="shared" si="1"/>
        <v>0</v>
      </c>
      <c r="P56">
        <v>63</v>
      </c>
      <c r="Q56" t="s">
        <v>497</v>
      </c>
      <c r="R56" s="240">
        <v>445529795.29359597</v>
      </c>
      <c r="S56" s="240">
        <f t="shared" si="2"/>
        <v>0</v>
      </c>
    </row>
    <row r="57" spans="1:19">
      <c r="A57" s="230">
        <v>210064</v>
      </c>
      <c r="B57" s="230">
        <v>5033</v>
      </c>
      <c r="C57" s="230" t="s">
        <v>256</v>
      </c>
      <c r="D57" s="320">
        <v>66682311.177528672</v>
      </c>
      <c r="E57" s="320">
        <v>68608773.637440667</v>
      </c>
      <c r="F57" s="321">
        <v>1.1307207032453601</v>
      </c>
      <c r="G57" s="321">
        <v>4.6757047549308088E-2</v>
      </c>
      <c r="H57" s="322">
        <v>1.1329169062368893</v>
      </c>
      <c r="I57" s="334">
        <f>J57</f>
        <v>4.7972050119130777E-2</v>
      </c>
      <c r="J57" s="386">
        <f>'PDA Schedules FY 2020'!AE55</f>
        <v>4.7972050119130777E-2</v>
      </c>
      <c r="K57" s="397">
        <v>-158287.86264330149</v>
      </c>
      <c r="L57" s="333">
        <v>-158314.60377044976</v>
      </c>
      <c r="M57" s="398">
        <v>13478</v>
      </c>
      <c r="N57" s="437"/>
      <c r="O57" s="439">
        <f t="shared" si="1"/>
        <v>0</v>
      </c>
      <c r="P57">
        <v>5033</v>
      </c>
      <c r="Q57" t="s">
        <v>74</v>
      </c>
      <c r="R57" s="240">
        <v>68608773.637440667</v>
      </c>
      <c r="S57" s="240">
        <f t="shared" si="2"/>
        <v>0</v>
      </c>
    </row>
    <row r="58" spans="1:19">
      <c r="A58" s="230">
        <v>210065</v>
      </c>
      <c r="B58" s="230">
        <v>65</v>
      </c>
      <c r="C58" s="230" t="s">
        <v>334</v>
      </c>
      <c r="D58" s="320">
        <v>127565627.29582357</v>
      </c>
      <c r="E58" s="320">
        <v>137056561.86278468</v>
      </c>
      <c r="F58" s="321">
        <v>1.1064628607607305</v>
      </c>
      <c r="G58" s="321">
        <v>8.7433342300794692E-2</v>
      </c>
      <c r="H58" s="322">
        <v>1.1079222222454834</v>
      </c>
      <c r="I58" s="323">
        <v>8.7366237547161524E-2</v>
      </c>
      <c r="J58" s="386">
        <f>'PDA Schedules FY 2020'!AE56</f>
        <v>8.6772444370771681E-2</v>
      </c>
      <c r="K58" s="397">
        <v>-6087975.0155417323</v>
      </c>
      <c r="L58" s="333">
        <v>-6105993.8286099434</v>
      </c>
      <c r="M58" s="398">
        <f t="shared" si="0"/>
        <v>-18018.813068211079</v>
      </c>
      <c r="N58" s="437"/>
      <c r="O58" s="439">
        <f t="shared" si="1"/>
        <v>0</v>
      </c>
      <c r="P58">
        <v>65</v>
      </c>
      <c r="Q58" t="s">
        <v>498</v>
      </c>
      <c r="R58" s="240">
        <v>137056561.86278468</v>
      </c>
      <c r="S58" s="240">
        <f t="shared" si="2"/>
        <v>0</v>
      </c>
    </row>
    <row r="59" spans="1:19" ht="16" thickBot="1">
      <c r="A59" s="231">
        <v>218992</v>
      </c>
      <c r="B59" s="231">
        <v>8992</v>
      </c>
      <c r="C59" s="232" t="s">
        <v>257</v>
      </c>
      <c r="D59" s="324">
        <v>243643980.36415836</v>
      </c>
      <c r="E59" s="324">
        <v>250860116.11842898</v>
      </c>
      <c r="F59" s="325">
        <v>1.1102961842696528</v>
      </c>
      <c r="G59" s="325">
        <v>6.2553287298862489E-2</v>
      </c>
      <c r="H59" s="326">
        <v>1.1145700572779971</v>
      </c>
      <c r="I59" s="335">
        <f>J59</f>
        <v>6.282427808490583E-2</v>
      </c>
      <c r="J59" s="387">
        <f>'PDA Schedules FY 2020'!AE57</f>
        <v>6.282427808490583E-2</v>
      </c>
      <c r="K59" s="399">
        <v>-4453547.7492798567</v>
      </c>
      <c r="L59" s="400">
        <v>-4499881.863545239</v>
      </c>
      <c r="M59" s="401">
        <v>5135</v>
      </c>
      <c r="N59" s="437"/>
      <c r="O59" s="439">
        <f t="shared" si="1"/>
        <v>0</v>
      </c>
      <c r="P59">
        <v>8992</v>
      </c>
      <c r="Q59" t="s">
        <v>499</v>
      </c>
      <c r="R59" s="240">
        <v>250860116.11842898</v>
      </c>
      <c r="S59" s="240">
        <f t="shared" si="2"/>
        <v>0</v>
      </c>
    </row>
    <row r="61" spans="1:19">
      <c r="P61"/>
    </row>
    <row r="63" spans="1:19">
      <c r="O63" s="439"/>
      <c r="P63"/>
      <c r="R63" s="240"/>
    </row>
    <row r="64" spans="1:19">
      <c r="O64" s="439"/>
      <c r="P64"/>
      <c r="R64" s="240"/>
    </row>
    <row r="65" spans="1:18">
      <c r="O65" s="439"/>
      <c r="P65"/>
      <c r="R65" s="240"/>
    </row>
    <row r="66" spans="1:18">
      <c r="O66" s="439"/>
      <c r="P66"/>
      <c r="R66" s="240"/>
    </row>
    <row r="67" spans="1:18">
      <c r="D67" s="194"/>
      <c r="E67" s="194"/>
      <c r="K67" s="194"/>
      <c r="L67" s="194"/>
      <c r="O67" s="439"/>
      <c r="P67"/>
      <c r="R67" s="240"/>
    </row>
    <row r="68" spans="1:18">
      <c r="O68" s="439"/>
      <c r="P68"/>
      <c r="R68" s="240"/>
    </row>
    <row r="69" spans="1:18">
      <c r="A69" s="217"/>
      <c r="B69" s="217"/>
      <c r="C69" s="195"/>
      <c r="J69" s="184"/>
      <c r="K69" s="141"/>
      <c r="O69" s="439"/>
      <c r="P69"/>
      <c r="R69" s="240"/>
    </row>
    <row r="70" spans="1:18">
      <c r="A70" s="217"/>
      <c r="B70" s="217"/>
      <c r="C70" s="195"/>
      <c r="J70" s="184"/>
      <c r="O70" s="439"/>
      <c r="P70"/>
      <c r="R70" s="240"/>
    </row>
    <row r="71" spans="1:18">
      <c r="A71" s="217"/>
      <c r="B71" s="217"/>
      <c r="C71" s="195"/>
      <c r="J71" s="184"/>
      <c r="O71" s="439"/>
      <c r="P71"/>
      <c r="R71" s="240"/>
    </row>
    <row r="72" spans="1:18">
      <c r="A72" s="217"/>
      <c r="B72" s="217"/>
      <c r="C72" s="195"/>
      <c r="J72" s="184"/>
      <c r="O72" s="439"/>
      <c r="P72"/>
      <c r="R72" s="240"/>
    </row>
    <row r="73" spans="1:18">
      <c r="A73" s="217"/>
      <c r="B73" s="217"/>
      <c r="C73" s="195"/>
      <c r="J73" s="184"/>
      <c r="P73"/>
      <c r="R73" s="240"/>
    </row>
    <row r="74" spans="1:18">
      <c r="A74" s="217"/>
      <c r="B74" s="217"/>
      <c r="C74" s="195"/>
      <c r="J74" s="184"/>
    </row>
    <row r="75" spans="1:18">
      <c r="A75" s="217"/>
      <c r="B75" s="217"/>
      <c r="C75" s="195"/>
      <c r="J75" s="184"/>
    </row>
    <row r="77" spans="1:18">
      <c r="A77" s="217"/>
      <c r="B77" s="217"/>
      <c r="C77" s="195"/>
      <c r="J77" s="184"/>
    </row>
  </sheetData>
  <pageMargins left="0" right="0" top="0" bottom="0" header="0.3" footer="0.3"/>
  <pageSetup scale="4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3:DB69"/>
  <sheetViews>
    <sheetView workbookViewId="0">
      <pane xSplit="2" ySplit="7" topLeftCell="Y8" activePane="bottomRight" state="frozen"/>
      <selection pane="topRight" activeCell="D1" sqref="D1"/>
      <selection pane="bottomLeft" activeCell="A9" sqref="A9"/>
      <selection pane="bottomRight" activeCell="AL14" sqref="AL14"/>
    </sheetView>
  </sheetViews>
  <sheetFormatPr defaultRowHeight="15.5"/>
  <cols>
    <col min="1" max="1" width="7.84375" customWidth="1"/>
    <col min="2" max="2" width="12.07421875" customWidth="1"/>
    <col min="3" max="3" width="11.69140625" customWidth="1"/>
    <col min="4" max="4" width="12.07421875" customWidth="1"/>
    <col min="5" max="5" width="11.84375" customWidth="1"/>
    <col min="6" max="6" width="10.84375" customWidth="1"/>
    <col min="7" max="7" width="10.53515625" customWidth="1"/>
    <col min="8" max="8" width="9" bestFit="1" customWidth="1"/>
    <col min="9" max="9" width="8.07421875" customWidth="1"/>
    <col min="10" max="10" width="9.84375" customWidth="1"/>
    <col min="11" max="11" width="10.07421875" customWidth="1"/>
    <col min="12" max="12" width="9" bestFit="1" customWidth="1"/>
    <col min="13" max="13" width="9.84375" customWidth="1"/>
    <col min="14" max="14" width="9.4609375" customWidth="1"/>
    <col min="15" max="15" width="10.07421875" customWidth="1"/>
    <col min="16" max="16" width="11.53515625" customWidth="1"/>
    <col min="17" max="17" width="10.69140625" customWidth="1"/>
    <col min="18" max="18" width="11.3046875" customWidth="1"/>
    <col min="19" max="19" width="9.4609375" customWidth="1"/>
    <col min="20" max="20" width="8" customWidth="1"/>
    <col min="21" max="21" width="9.4609375" customWidth="1"/>
    <col min="22" max="22" width="10.07421875" customWidth="1"/>
    <col min="23" max="23" width="12.84375" customWidth="1"/>
    <col min="24" max="24" width="10.69140625" customWidth="1"/>
    <col min="25" max="25" width="9.4609375" customWidth="1"/>
    <col min="26" max="26" width="11.84375" customWidth="1"/>
    <col min="27" max="27" width="10.07421875" customWidth="1"/>
    <col min="28" max="28" width="9.84375" customWidth="1"/>
    <col min="29" max="29" width="10.69140625" customWidth="1"/>
    <col min="30" max="30" width="10" customWidth="1"/>
    <col min="31" max="31" width="12.07421875" customWidth="1"/>
    <col min="32" max="32" width="9" hidden="1" customWidth="1"/>
    <col min="33" max="33" width="8.84375" hidden="1" customWidth="1"/>
    <col min="34" max="34" width="1.53515625" hidden="1" customWidth="1"/>
    <col min="35" max="35" width="9" hidden="1" customWidth="1"/>
    <col min="36" max="36" width="11.69140625" customWidth="1"/>
    <col min="37" max="37" width="10.07421875" customWidth="1"/>
    <col min="38" max="38" width="13.4609375" customWidth="1"/>
    <col min="39" max="40" width="8.84375" bestFit="1" customWidth="1"/>
    <col min="49" max="49" width="9.69140625" customWidth="1"/>
    <col min="58" max="58" width="9.69140625" customWidth="1"/>
    <col min="60" max="60" width="9.69140625" customWidth="1"/>
    <col min="66" max="66" width="9.53515625" customWidth="1"/>
    <col min="78" max="78" width="12.69140625" customWidth="1"/>
    <col min="81" max="84" width="9.3046875" bestFit="1" customWidth="1"/>
    <col min="85" max="85" width="10.3046875" bestFit="1" customWidth="1"/>
    <col min="86" max="87" width="8.84375" bestFit="1" customWidth="1"/>
    <col min="88" max="88" width="9.3046875" bestFit="1" customWidth="1"/>
    <col min="89" max="91" width="8.84375" bestFit="1" customWidth="1"/>
    <col min="92" max="92" width="9.3046875" bestFit="1" customWidth="1"/>
    <col min="93" max="93" width="8.84375" bestFit="1" customWidth="1"/>
    <col min="94" max="94" width="10.3046875" bestFit="1" customWidth="1"/>
    <col min="95" max="95" width="8.84375" bestFit="1" customWidth="1"/>
    <col min="96" max="96" width="10.3046875" bestFit="1" customWidth="1"/>
    <col min="97" max="97" width="9.3046875" bestFit="1" customWidth="1"/>
    <col min="98" max="98" width="8.84375" bestFit="1" customWidth="1"/>
    <col min="99" max="99" width="9.3046875" bestFit="1" customWidth="1"/>
    <col min="100" max="100" width="8.84375" bestFit="1" customWidth="1"/>
    <col min="101" max="101" width="9.3046875" bestFit="1" customWidth="1"/>
    <col min="102" max="102" width="10.3046875" bestFit="1" customWidth="1"/>
    <col min="103" max="103" width="9.3046875" bestFit="1" customWidth="1"/>
    <col min="104" max="105" width="8.84375" bestFit="1" customWidth="1"/>
    <col min="106" max="108" width="9.3046875" bestFit="1" customWidth="1"/>
    <col min="109" max="109" width="9" bestFit="1" customWidth="1"/>
    <col min="110" max="110" width="9.3046875" bestFit="1" customWidth="1"/>
    <col min="111" max="111" width="10.3046875" bestFit="1" customWidth="1"/>
  </cols>
  <sheetData>
    <row r="3" spans="1:106">
      <c r="AS3" s="116" t="s">
        <v>346</v>
      </c>
    </row>
    <row r="4" spans="1:106">
      <c r="A4" s="116" t="s">
        <v>387</v>
      </c>
      <c r="AS4" s="116" t="s">
        <v>345</v>
      </c>
    </row>
    <row r="5" spans="1:106">
      <c r="C5" s="119"/>
      <c r="D5" s="119"/>
      <c r="E5" s="119"/>
      <c r="F5" s="119"/>
      <c r="G5" s="119" t="s">
        <v>190</v>
      </c>
      <c r="H5" s="119"/>
      <c r="I5" s="119"/>
      <c r="J5" s="119"/>
      <c r="K5" s="119"/>
      <c r="L5" s="119"/>
      <c r="M5" s="119"/>
      <c r="N5" s="119"/>
      <c r="O5" s="119"/>
      <c r="P5" s="119"/>
      <c r="Q5" s="119" t="s">
        <v>253</v>
      </c>
      <c r="R5" s="119" t="s">
        <v>183</v>
      </c>
      <c r="S5" s="119" t="s">
        <v>253</v>
      </c>
      <c r="T5" s="119" t="s">
        <v>291</v>
      </c>
      <c r="W5" s="119" t="s">
        <v>190</v>
      </c>
      <c r="X5" s="119" t="s">
        <v>253</v>
      </c>
      <c r="Y5" s="119" t="s">
        <v>51</v>
      </c>
    </row>
    <row r="6" spans="1:106">
      <c r="A6" s="116" t="s">
        <v>388</v>
      </c>
      <c r="B6" s="116" t="s">
        <v>252</v>
      </c>
      <c r="C6" s="119" t="s">
        <v>55</v>
      </c>
      <c r="D6" s="119" t="s">
        <v>54</v>
      </c>
      <c r="E6" s="119" t="s">
        <v>55</v>
      </c>
      <c r="F6" s="119" t="s">
        <v>54</v>
      </c>
      <c r="G6" s="119" t="s">
        <v>276</v>
      </c>
      <c r="H6" s="119" t="s">
        <v>277</v>
      </c>
      <c r="I6" s="119" t="s">
        <v>279</v>
      </c>
      <c r="J6" s="119" t="s">
        <v>47</v>
      </c>
      <c r="K6" s="119" t="s">
        <v>281</v>
      </c>
      <c r="L6" s="119" t="s">
        <v>288</v>
      </c>
      <c r="M6" s="119" t="s">
        <v>283</v>
      </c>
      <c r="N6" s="119" t="s">
        <v>183</v>
      </c>
      <c r="O6" s="119" t="s">
        <v>56</v>
      </c>
      <c r="P6" s="119" t="s">
        <v>288</v>
      </c>
      <c r="Q6" s="119" t="s">
        <v>276</v>
      </c>
      <c r="R6" s="119" t="s">
        <v>290</v>
      </c>
      <c r="S6" s="119" t="s">
        <v>290</v>
      </c>
      <c r="T6" s="119" t="s">
        <v>183</v>
      </c>
      <c r="U6" s="119" t="s">
        <v>283</v>
      </c>
      <c r="V6" s="119" t="s">
        <v>183</v>
      </c>
      <c r="W6" s="119" t="s">
        <v>53</v>
      </c>
      <c r="X6" s="119" t="s">
        <v>53</v>
      </c>
      <c r="Y6" s="119" t="s">
        <v>264</v>
      </c>
      <c r="Z6" s="210" t="s">
        <v>265</v>
      </c>
      <c r="AA6" s="210" t="s">
        <v>266</v>
      </c>
      <c r="AB6" s="210" t="s">
        <v>267</v>
      </c>
      <c r="AC6" s="210" t="s">
        <v>268</v>
      </c>
      <c r="AD6" s="210" t="s">
        <v>269</v>
      </c>
      <c r="AE6" s="210" t="s">
        <v>270</v>
      </c>
      <c r="AF6" s="210" t="s">
        <v>384</v>
      </c>
      <c r="AG6" s="210" t="s">
        <v>271</v>
      </c>
      <c r="AH6" s="210" t="s">
        <v>272</v>
      </c>
      <c r="AI6" s="210" t="s">
        <v>273</v>
      </c>
      <c r="AJ6" s="210" t="s">
        <v>274</v>
      </c>
      <c r="AK6" s="210" t="s">
        <v>275</v>
      </c>
      <c r="AL6" s="210" t="s">
        <v>335</v>
      </c>
    </row>
    <row r="7" spans="1:106">
      <c r="B7" s="116" t="s">
        <v>389</v>
      </c>
      <c r="C7" s="119" t="s">
        <v>287</v>
      </c>
      <c r="D7" s="119" t="s">
        <v>286</v>
      </c>
      <c r="E7" s="119" t="s">
        <v>285</v>
      </c>
      <c r="F7" s="119" t="s">
        <v>285</v>
      </c>
      <c r="G7" s="119" t="s">
        <v>53</v>
      </c>
      <c r="H7" s="119" t="s">
        <v>278</v>
      </c>
      <c r="I7" s="119" t="s">
        <v>280</v>
      </c>
      <c r="J7" s="119" t="s">
        <v>100</v>
      </c>
      <c r="K7" s="119" t="s">
        <v>282</v>
      </c>
      <c r="L7" s="119" t="s">
        <v>48</v>
      </c>
      <c r="M7" s="119"/>
      <c r="N7" s="119" t="s">
        <v>284</v>
      </c>
      <c r="O7" s="119" t="s">
        <v>284</v>
      </c>
      <c r="P7" s="119" t="s">
        <v>289</v>
      </c>
      <c r="Q7" s="119" t="s">
        <v>53</v>
      </c>
      <c r="R7" s="119" t="s">
        <v>53</v>
      </c>
      <c r="S7" s="119" t="s">
        <v>53</v>
      </c>
      <c r="T7" s="119" t="s">
        <v>284</v>
      </c>
      <c r="V7" s="119" t="s">
        <v>284</v>
      </c>
      <c r="W7" s="120" t="s">
        <v>292</v>
      </c>
      <c r="X7" s="120" t="s">
        <v>292</v>
      </c>
      <c r="Y7" s="119" t="s">
        <v>251</v>
      </c>
    </row>
    <row r="8" spans="1:106">
      <c r="A8" s="209"/>
      <c r="B8" s="209"/>
      <c r="C8" s="210"/>
      <c r="D8" s="210"/>
      <c r="E8" s="210"/>
      <c r="F8" s="210"/>
      <c r="G8" s="210"/>
      <c r="H8" s="210"/>
      <c r="I8" s="210"/>
      <c r="K8" s="210"/>
      <c r="L8" s="210"/>
      <c r="M8" s="210"/>
      <c r="N8" s="210"/>
      <c r="O8" s="210"/>
      <c r="P8" s="210"/>
      <c r="Q8" s="210"/>
      <c r="R8" s="210"/>
      <c r="S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</row>
    <row r="9" spans="1:106">
      <c r="A9" s="213">
        <v>210001</v>
      </c>
      <c r="B9" s="213" t="s">
        <v>336</v>
      </c>
      <c r="C9" s="214">
        <v>85297.600000000006</v>
      </c>
      <c r="D9" s="214">
        <v>48199.4</v>
      </c>
      <c r="E9" s="214">
        <v>107524.7</v>
      </c>
      <c r="F9" s="214">
        <v>84931.4</v>
      </c>
      <c r="G9" s="214">
        <f>SUM(C9:F9)</f>
        <v>325953.09999999998</v>
      </c>
      <c r="H9" s="214">
        <v>9366.9</v>
      </c>
      <c r="I9" s="214">
        <v>4596.8405899999998</v>
      </c>
      <c r="J9" s="214">
        <f>+H9+I9</f>
        <v>13963.740589999999</v>
      </c>
      <c r="K9" s="214">
        <v>21052.300999999999</v>
      </c>
      <c r="L9" s="214">
        <v>0</v>
      </c>
      <c r="M9" s="214">
        <v>4635.6000000000004</v>
      </c>
      <c r="N9" s="214">
        <v>7199.87</v>
      </c>
      <c r="O9" s="214">
        <v>46851.511590000002</v>
      </c>
      <c r="P9" s="214">
        <v>534.6</v>
      </c>
      <c r="Q9" s="214">
        <v>279636.18841</v>
      </c>
      <c r="R9" s="214">
        <v>5818.0029999999997</v>
      </c>
      <c r="S9" s="214">
        <v>285454.19141000003</v>
      </c>
      <c r="T9" s="216">
        <f>+(M9+N9)/G9</f>
        <v>3.6310346488497888E-2</v>
      </c>
      <c r="U9" s="216">
        <f>+M9/G9</f>
        <v>1.4221677903968395E-2</v>
      </c>
      <c r="V9" s="216">
        <f>+N9/G9</f>
        <v>2.2088668584529493E-2</v>
      </c>
      <c r="W9" s="214">
        <f>+G9-L9+P9</f>
        <v>326487.69999999995</v>
      </c>
      <c r="X9" s="214">
        <f>+Q9-L9+P9</f>
        <v>280170.78840999998</v>
      </c>
      <c r="Y9" s="215">
        <f>+Q9/G9</f>
        <v>0.85790314131082057</v>
      </c>
      <c r="Z9" s="214">
        <v>110986.92608999999</v>
      </c>
      <c r="AA9" s="214">
        <v>14124</v>
      </c>
      <c r="AB9" s="214">
        <v>61765.599999999999</v>
      </c>
      <c r="AC9" s="214">
        <v>19643.7</v>
      </c>
      <c r="AD9" s="214">
        <v>46224.76</v>
      </c>
      <c r="AE9" s="214">
        <v>252744.98608999999</v>
      </c>
      <c r="AF9" s="214">
        <v>32709.205320000001</v>
      </c>
      <c r="AG9" s="214"/>
      <c r="AH9" s="214">
        <v>32709.205320000001</v>
      </c>
      <c r="AI9" s="214">
        <v>2.2441087729999998</v>
      </c>
      <c r="AJ9" s="214">
        <v>9.4720207460000001</v>
      </c>
      <c r="AK9" s="214">
        <v>2.7160504300000001</v>
      </c>
      <c r="AL9" s="214">
        <v>15794</v>
      </c>
      <c r="AM9" s="179"/>
    </row>
    <row r="10" spans="1:106">
      <c r="A10" s="213">
        <v>210002</v>
      </c>
      <c r="B10" s="213" t="s">
        <v>337</v>
      </c>
      <c r="C10" s="214">
        <v>317906.2</v>
      </c>
      <c r="D10" s="214">
        <v>128570.1</v>
      </c>
      <c r="E10" s="214">
        <v>595063.9</v>
      </c>
      <c r="F10" s="214">
        <v>348452.8</v>
      </c>
      <c r="G10" s="214">
        <f>SUM(C10:F10)</f>
        <v>1389993</v>
      </c>
      <c r="H10" s="214">
        <v>39689.09031</v>
      </c>
      <c r="I10" s="214">
        <v>16894.2</v>
      </c>
      <c r="J10" s="214">
        <f t="shared" ref="J10:J64" si="0">+H10+I10</f>
        <v>56583.290309999997</v>
      </c>
      <c r="K10" s="214">
        <v>70641</v>
      </c>
      <c r="L10" s="214">
        <v>22673.3</v>
      </c>
      <c r="M10" s="214">
        <v>20830.755000000001</v>
      </c>
      <c r="N10" s="214">
        <v>34069.42613</v>
      </c>
      <c r="O10" s="214">
        <v>204797.77144000001</v>
      </c>
      <c r="P10" s="214">
        <v>0</v>
      </c>
      <c r="Q10" s="214">
        <v>1185195.22856</v>
      </c>
      <c r="R10" s="214">
        <v>33946.582470000001</v>
      </c>
      <c r="S10" s="214">
        <v>1219141.81103</v>
      </c>
      <c r="T10" s="216">
        <f t="shared" ref="T10:T65" si="1">+(M10+N10)/G10</f>
        <v>3.9496732091456571E-2</v>
      </c>
      <c r="U10" s="216">
        <f t="shared" ref="U10:U65" si="2">+M10/G10</f>
        <v>1.4986230146482753E-2</v>
      </c>
      <c r="V10" s="216">
        <f t="shared" ref="V10:V65" si="3">+N10/G10</f>
        <v>2.4510501944973822E-2</v>
      </c>
      <c r="W10" s="214">
        <f t="shared" ref="W10:W65" si="4">+G10-L10+P10</f>
        <v>1367319.7</v>
      </c>
      <c r="X10" s="214">
        <f t="shared" ref="X10:X65" si="5">+Q10-L10+P10</f>
        <v>1162521.9285599999</v>
      </c>
      <c r="Y10" s="215">
        <f t="shared" ref="Y10:Y65" si="6">+Q10/G10</f>
        <v>0.85266273179792984</v>
      </c>
      <c r="Z10" s="214">
        <v>657543.56188298203</v>
      </c>
      <c r="AA10" s="214">
        <v>122497</v>
      </c>
      <c r="AB10" s="214">
        <v>324277</v>
      </c>
      <c r="AC10" s="214">
        <v>76655.144668573994</v>
      </c>
      <c r="AD10" s="214">
        <v>7801.4968045630003</v>
      </c>
      <c r="AE10" s="214">
        <v>1188774.2033561191</v>
      </c>
      <c r="AF10" s="214">
        <v>30367.607673881001</v>
      </c>
      <c r="AG10" s="214"/>
      <c r="AH10" s="214">
        <v>30367.607673881001</v>
      </c>
      <c r="AI10" s="214">
        <v>4.2976299850000004</v>
      </c>
      <c r="AJ10" s="214">
        <v>33.382072422999997</v>
      </c>
      <c r="AK10" s="214">
        <v>1.3606186760000001</v>
      </c>
      <c r="AL10" s="214">
        <v>23390</v>
      </c>
    </row>
    <row r="11" spans="1:106">
      <c r="A11" s="213">
        <v>210003</v>
      </c>
      <c r="B11" s="213" t="s">
        <v>350</v>
      </c>
      <c r="C11" s="214">
        <v>88473</v>
      </c>
      <c r="D11" s="214">
        <v>43628.4</v>
      </c>
      <c r="E11" s="214">
        <v>131461.1</v>
      </c>
      <c r="F11" s="214">
        <v>29960.2</v>
      </c>
      <c r="G11" s="214">
        <f t="shared" ref="G11:G64" si="7">SUM(C11:F11)</f>
        <v>293522.7</v>
      </c>
      <c r="H11" s="214">
        <v>16368.911609999999</v>
      </c>
      <c r="I11" s="214">
        <v>9166.1908700000004</v>
      </c>
      <c r="J11" s="214">
        <f t="shared" si="0"/>
        <v>25535.102480000001</v>
      </c>
      <c r="K11" s="214">
        <v>27334.881000000001</v>
      </c>
      <c r="L11" s="214">
        <v>0</v>
      </c>
      <c r="M11" s="214">
        <v>7759.5959999999995</v>
      </c>
      <c r="N11" s="214">
        <v>25.620999999999999</v>
      </c>
      <c r="O11" s="214">
        <v>60655.20048</v>
      </c>
      <c r="P11" s="214">
        <v>16525.62</v>
      </c>
      <c r="Q11" s="214">
        <v>249393.11952000001</v>
      </c>
      <c r="R11" s="214">
        <v>4160.9444700000004</v>
      </c>
      <c r="S11" s="214">
        <v>253554.06399</v>
      </c>
      <c r="T11" s="216">
        <f t="shared" si="1"/>
        <v>2.6523389843443112E-2</v>
      </c>
      <c r="U11" s="216">
        <f t="shared" si="2"/>
        <v>2.6436101875595992E-2</v>
      </c>
      <c r="V11" s="216">
        <f t="shared" si="3"/>
        <v>8.7287967847120502E-5</v>
      </c>
      <c r="W11" s="214">
        <f t="shared" si="4"/>
        <v>310048.32</v>
      </c>
      <c r="X11" s="214">
        <f t="shared" si="5"/>
        <v>265918.73952</v>
      </c>
      <c r="Y11" s="215">
        <f t="shared" si="6"/>
        <v>0.84965530611431417</v>
      </c>
      <c r="Z11" s="214">
        <v>132614.10604000001</v>
      </c>
      <c r="AA11" s="214">
        <v>17172.014999999999</v>
      </c>
      <c r="AB11" s="214">
        <v>39766.125</v>
      </c>
      <c r="AC11" s="214">
        <v>9206.5872400000007</v>
      </c>
      <c r="AD11" s="214">
        <v>41321.859759999999</v>
      </c>
      <c r="AE11" s="214">
        <v>240080.69304000001</v>
      </c>
      <c r="AF11" s="214">
        <v>13473.37095</v>
      </c>
      <c r="AG11" s="214"/>
      <c r="AH11" s="214">
        <v>13473.37095</v>
      </c>
      <c r="AI11" s="214">
        <v>3.018650713</v>
      </c>
      <c r="AJ11" s="214">
        <v>16.295910912</v>
      </c>
      <c r="AK11" s="214">
        <v>0.89683017399999998</v>
      </c>
      <c r="AL11" s="214">
        <v>11039</v>
      </c>
    </row>
    <row r="12" spans="1:106">
      <c r="A12" s="213">
        <v>210004</v>
      </c>
      <c r="B12" s="213" t="s">
        <v>57</v>
      </c>
      <c r="C12" s="214">
        <v>149568.20000000001</v>
      </c>
      <c r="D12" s="214">
        <v>48272.5</v>
      </c>
      <c r="E12" s="214">
        <v>201206.5</v>
      </c>
      <c r="F12" s="214">
        <v>105585.4</v>
      </c>
      <c r="G12" s="214">
        <f t="shared" si="7"/>
        <v>504632.6</v>
      </c>
      <c r="H12" s="214">
        <v>11752.724910000001</v>
      </c>
      <c r="I12" s="214">
        <v>24552.044569999998</v>
      </c>
      <c r="J12" s="214">
        <f t="shared" si="0"/>
        <v>36304.769480000003</v>
      </c>
      <c r="K12" s="214">
        <v>41077.909050000002</v>
      </c>
      <c r="L12" s="214">
        <v>0</v>
      </c>
      <c r="M12" s="214">
        <v>16304.451139999999</v>
      </c>
      <c r="N12" s="214">
        <v>2239.8000000000002</v>
      </c>
      <c r="O12" s="214">
        <v>95926.929669999998</v>
      </c>
      <c r="P12" s="214">
        <v>14311.252</v>
      </c>
      <c r="Q12" s="214">
        <v>423016.92232999997</v>
      </c>
      <c r="R12" s="214">
        <v>9645</v>
      </c>
      <c r="S12" s="214">
        <v>432661.92232999997</v>
      </c>
      <c r="T12" s="216">
        <f t="shared" si="1"/>
        <v>3.6748024483554971E-2</v>
      </c>
      <c r="U12" s="216">
        <f t="shared" si="2"/>
        <v>3.2309547857193532E-2</v>
      </c>
      <c r="V12" s="216">
        <f t="shared" si="3"/>
        <v>4.4384766263614369E-3</v>
      </c>
      <c r="W12" s="214">
        <f t="shared" si="4"/>
        <v>518943.85199999996</v>
      </c>
      <c r="X12" s="214">
        <f t="shared" si="5"/>
        <v>437328.17432999995</v>
      </c>
      <c r="Y12" s="215">
        <f t="shared" si="6"/>
        <v>0.83826713202833114</v>
      </c>
      <c r="Z12" s="214">
        <v>210037.128566839</v>
      </c>
      <c r="AA12" s="214">
        <v>11101.73265</v>
      </c>
      <c r="AB12" s="214">
        <v>73407</v>
      </c>
      <c r="AC12" s="214">
        <v>30281.629785199999</v>
      </c>
      <c r="AD12" s="214">
        <v>56982.075648612998</v>
      </c>
      <c r="AE12" s="214">
        <v>381809.56665065198</v>
      </c>
      <c r="AF12" s="214">
        <v>50852.355679348002</v>
      </c>
      <c r="AG12" s="214"/>
      <c r="AH12" s="214">
        <v>50852.355679348002</v>
      </c>
      <c r="AI12" s="214">
        <v>2.1837278929999999</v>
      </c>
      <c r="AJ12" s="214">
        <v>9.8617470439999995</v>
      </c>
      <c r="AK12" s="214">
        <v>0</v>
      </c>
      <c r="AL12" s="214">
        <v>26970</v>
      </c>
    </row>
    <row r="13" spans="1:106">
      <c r="A13" s="213">
        <v>210005</v>
      </c>
      <c r="B13" s="213" t="s">
        <v>338</v>
      </c>
      <c r="C13" s="214">
        <v>96610.5</v>
      </c>
      <c r="D13" s="214">
        <v>41089.800000000003</v>
      </c>
      <c r="E13" s="214">
        <v>129608.6</v>
      </c>
      <c r="F13" s="214">
        <v>78804.5</v>
      </c>
      <c r="G13" s="214">
        <f t="shared" si="7"/>
        <v>346113.4</v>
      </c>
      <c r="H13" s="214">
        <v>8077.6120000000001</v>
      </c>
      <c r="I13" s="214">
        <v>7209.7591499999999</v>
      </c>
      <c r="J13" s="214">
        <f t="shared" si="0"/>
        <v>15287.371149999999</v>
      </c>
      <c r="K13" s="214">
        <v>18207.335630000001</v>
      </c>
      <c r="L13" s="214">
        <v>2255.4589999999998</v>
      </c>
      <c r="M13" s="214">
        <v>5910.6267200000002</v>
      </c>
      <c r="N13" s="214">
        <v>12915.199000000001</v>
      </c>
      <c r="O13" s="214">
        <v>54575.991499999996</v>
      </c>
      <c r="P13" s="214">
        <v>0</v>
      </c>
      <c r="Q13" s="214">
        <v>291537.40850000002</v>
      </c>
      <c r="R13" s="214">
        <v>4003.7793200000001</v>
      </c>
      <c r="S13" s="214">
        <v>295541.18781999999</v>
      </c>
      <c r="T13" s="216">
        <f t="shared" si="1"/>
        <v>5.4392074158353877E-2</v>
      </c>
      <c r="U13" s="216">
        <f t="shared" si="2"/>
        <v>1.7077139226623413E-2</v>
      </c>
      <c r="V13" s="216">
        <f t="shared" si="3"/>
        <v>3.7314934931730465E-2</v>
      </c>
      <c r="W13" s="214">
        <f t="shared" si="4"/>
        <v>343857.94100000005</v>
      </c>
      <c r="X13" s="214">
        <f t="shared" si="5"/>
        <v>289281.94950000005</v>
      </c>
      <c r="Y13" s="215">
        <f t="shared" si="6"/>
        <v>0.84231760024315727</v>
      </c>
      <c r="Z13" s="214">
        <v>120140.272450626</v>
      </c>
      <c r="AA13" s="214">
        <v>15189</v>
      </c>
      <c r="AB13" s="214">
        <v>10280</v>
      </c>
      <c r="AC13" s="214">
        <v>20089.299620000002</v>
      </c>
      <c r="AD13" s="214">
        <v>87629.047662415003</v>
      </c>
      <c r="AE13" s="214">
        <v>253327.61973304101</v>
      </c>
      <c r="AF13" s="214">
        <v>42213.568086959</v>
      </c>
      <c r="AG13" s="214"/>
      <c r="AH13" s="214">
        <v>42213.568086959</v>
      </c>
      <c r="AI13" s="214">
        <v>2.3066043299999999</v>
      </c>
      <c r="AJ13" s="214">
        <v>9.9636285769999997</v>
      </c>
      <c r="AK13" s="214">
        <v>0</v>
      </c>
      <c r="AL13" s="214">
        <v>16613</v>
      </c>
    </row>
    <row r="14" spans="1:106">
      <c r="A14" s="213">
        <v>210006</v>
      </c>
      <c r="B14" s="213" t="s">
        <v>351</v>
      </c>
      <c r="C14" s="214">
        <v>25499.9</v>
      </c>
      <c r="D14" s="214">
        <v>17668.099999999999</v>
      </c>
      <c r="E14" s="214">
        <v>24481.9</v>
      </c>
      <c r="F14" s="214">
        <v>37664.9</v>
      </c>
      <c r="G14" s="214">
        <f t="shared" si="7"/>
        <v>105314.79999999999</v>
      </c>
      <c r="H14" s="214">
        <v>5207</v>
      </c>
      <c r="I14" s="214">
        <v>1927</v>
      </c>
      <c r="J14" s="214">
        <f t="shared" si="0"/>
        <v>7134</v>
      </c>
      <c r="K14" s="214">
        <v>6367.5062499999995</v>
      </c>
      <c r="L14" s="214">
        <v>0</v>
      </c>
      <c r="M14" s="214">
        <v>1807.3355900000004</v>
      </c>
      <c r="N14" s="214">
        <v>3524</v>
      </c>
      <c r="O14" s="214">
        <v>18832.841840000001</v>
      </c>
      <c r="P14" s="214">
        <v>2468</v>
      </c>
      <c r="Q14" s="214">
        <v>88949.95815999998</v>
      </c>
      <c r="R14" s="214">
        <v>847.24176</v>
      </c>
      <c r="S14" s="214">
        <v>89797.199919999985</v>
      </c>
      <c r="T14" s="216">
        <f t="shared" si="1"/>
        <v>5.062285253354705E-2</v>
      </c>
      <c r="U14" s="216">
        <f t="shared" si="2"/>
        <v>1.7161268786533332E-2</v>
      </c>
      <c r="V14" s="216">
        <f t="shared" si="3"/>
        <v>3.3461583747013718E-2</v>
      </c>
      <c r="W14" s="214">
        <f t="shared" si="4"/>
        <v>107782.79999999999</v>
      </c>
      <c r="X14" s="214">
        <f t="shared" si="5"/>
        <v>91417.95815999998</v>
      </c>
      <c r="Y14" s="215">
        <f t="shared" si="6"/>
        <v>0.84461023673785629</v>
      </c>
      <c r="Z14" s="214">
        <v>48338.1</v>
      </c>
      <c r="AA14" s="214">
        <v>3902</v>
      </c>
      <c r="AB14" s="214">
        <v>8246</v>
      </c>
      <c r="AC14" s="214">
        <v>4846.3499719587289</v>
      </c>
      <c r="AD14" s="214">
        <v>15364.650028041273</v>
      </c>
      <c r="AE14" s="214">
        <v>80697.100000000006</v>
      </c>
      <c r="AF14" s="214">
        <v>9100.0999199999787</v>
      </c>
      <c r="AG14" s="213">
        <v>0</v>
      </c>
      <c r="AH14" s="214">
        <v>9100.0999199999787</v>
      </c>
      <c r="AI14" s="213">
        <v>1.7572094877630875</v>
      </c>
      <c r="AJ14" s="214">
        <v>8.6471841692172831</v>
      </c>
      <c r="AK14" s="214">
        <v>1.1098103100753789</v>
      </c>
      <c r="AL14" s="214">
        <v>4429</v>
      </c>
    </row>
    <row r="15" spans="1:106">
      <c r="A15" s="213">
        <v>210008</v>
      </c>
      <c r="B15" s="213" t="s">
        <v>58</v>
      </c>
      <c r="C15" s="214">
        <v>61380.2</v>
      </c>
      <c r="D15" s="214">
        <v>73610</v>
      </c>
      <c r="E15" s="214">
        <v>165887.5</v>
      </c>
      <c r="F15" s="214">
        <v>223213.7</v>
      </c>
      <c r="G15" s="214">
        <f t="shared" si="7"/>
        <v>524091.4</v>
      </c>
      <c r="H15" s="214">
        <v>7966.2</v>
      </c>
      <c r="I15" s="214">
        <v>14411.557000000001</v>
      </c>
      <c r="J15" s="214">
        <f t="shared" si="0"/>
        <v>22377.757000000001</v>
      </c>
      <c r="K15" s="214">
        <v>27939.026000000002</v>
      </c>
      <c r="L15" s="214">
        <v>0</v>
      </c>
      <c r="M15" s="214">
        <v>7337.2780000000002</v>
      </c>
      <c r="N15" s="214">
        <v>16364.013000000001</v>
      </c>
      <c r="O15" s="214">
        <v>74018.073999999993</v>
      </c>
      <c r="P15" s="214">
        <v>3251.3209999999999</v>
      </c>
      <c r="Q15" s="214">
        <v>453324.647</v>
      </c>
      <c r="R15" s="214">
        <v>10037.504000000001</v>
      </c>
      <c r="S15" s="214">
        <v>463362.15100000001</v>
      </c>
      <c r="T15" s="216">
        <f t="shared" si="1"/>
        <v>4.522358313836098E-2</v>
      </c>
      <c r="U15" s="216">
        <f t="shared" si="2"/>
        <v>1.3999996947097396E-2</v>
      </c>
      <c r="V15" s="216">
        <f t="shared" si="3"/>
        <v>3.1223586191263586E-2</v>
      </c>
      <c r="W15" s="214">
        <f t="shared" si="4"/>
        <v>527342.72100000002</v>
      </c>
      <c r="X15" s="214">
        <f t="shared" si="5"/>
        <v>456575.96799999999</v>
      </c>
      <c r="Y15" s="215">
        <f t="shared" si="6"/>
        <v>0.86497249716366265</v>
      </c>
      <c r="Z15" s="214">
        <v>191209.11359295799</v>
      </c>
      <c r="AA15" s="214">
        <v>8968.4840000000004</v>
      </c>
      <c r="AB15" s="214">
        <v>111950.78599999999</v>
      </c>
      <c r="AC15" s="214">
        <v>36695.71</v>
      </c>
      <c r="AD15" s="214">
        <v>86502.131999999998</v>
      </c>
      <c r="AE15" s="214">
        <v>435326.22559295798</v>
      </c>
      <c r="AF15" s="214">
        <v>28035.925407041999</v>
      </c>
      <c r="AG15" s="214"/>
      <c r="AH15" s="214">
        <v>28035.925407041999</v>
      </c>
      <c r="AI15" s="214">
        <v>3.6305760660000002</v>
      </c>
      <c r="AJ15" s="214">
        <v>14.079301744</v>
      </c>
      <c r="AK15" s="214">
        <v>0.46879773600000002</v>
      </c>
      <c r="AL15" s="214">
        <v>13408</v>
      </c>
    </row>
    <row r="16" spans="1:106">
      <c r="A16" s="213">
        <v>210009</v>
      </c>
      <c r="B16" s="213" t="s">
        <v>70</v>
      </c>
      <c r="C16" s="214">
        <v>547203.30000000005</v>
      </c>
      <c r="D16" s="214">
        <v>262543.8</v>
      </c>
      <c r="E16" s="214">
        <v>830834.4</v>
      </c>
      <c r="F16" s="214">
        <v>712137.4</v>
      </c>
      <c r="G16" s="214">
        <f t="shared" si="7"/>
        <v>2352718.9</v>
      </c>
      <c r="H16" s="214">
        <v>40121.239000000001</v>
      </c>
      <c r="I16" s="214">
        <v>21697.773000000001</v>
      </c>
      <c r="J16" s="214">
        <f t="shared" si="0"/>
        <v>61819.012000000002</v>
      </c>
      <c r="K16" s="214">
        <v>213426.54399999999</v>
      </c>
      <c r="L16" s="214">
        <v>43047.6</v>
      </c>
      <c r="M16" s="214">
        <v>59598.582000000002</v>
      </c>
      <c r="N16" s="214">
        <v>0</v>
      </c>
      <c r="O16" s="214">
        <v>377891.73800000001</v>
      </c>
      <c r="P16" s="214">
        <v>0</v>
      </c>
      <c r="Q16" s="214">
        <v>1974827.162</v>
      </c>
      <c r="R16" s="214">
        <v>15747.204</v>
      </c>
      <c r="S16" s="214">
        <v>1990574.3659999999</v>
      </c>
      <c r="T16" s="216">
        <f t="shared" si="1"/>
        <v>2.5331790380907809E-2</v>
      </c>
      <c r="U16" s="216">
        <f t="shared" si="2"/>
        <v>2.5331790380907809E-2</v>
      </c>
      <c r="V16" s="216">
        <f t="shared" si="3"/>
        <v>0</v>
      </c>
      <c r="W16" s="214">
        <f t="shared" si="4"/>
        <v>2309671.2999999998</v>
      </c>
      <c r="X16" s="214">
        <f t="shared" si="5"/>
        <v>1931779.5619999999</v>
      </c>
      <c r="Y16" s="215">
        <f t="shared" si="6"/>
        <v>0.8393808380593194</v>
      </c>
      <c r="Z16" s="214">
        <v>803877.87899999996</v>
      </c>
      <c r="AA16" s="214">
        <v>0</v>
      </c>
      <c r="AB16" s="214">
        <v>610170.21400000004</v>
      </c>
      <c r="AC16" s="214">
        <v>150995.67199999999</v>
      </c>
      <c r="AD16" s="214">
        <v>457795.43599999999</v>
      </c>
      <c r="AE16" s="214">
        <v>2022839.2009999999</v>
      </c>
      <c r="AF16" s="214">
        <v>-32264.834999999999</v>
      </c>
      <c r="AG16" s="214"/>
      <c r="AH16" s="214">
        <v>-32264.834999999999</v>
      </c>
      <c r="AI16" s="214">
        <v>3.8553930529999998</v>
      </c>
      <c r="AJ16" s="214">
        <v>25.998869769999999</v>
      </c>
      <c r="AK16" s="214">
        <v>0.919219589</v>
      </c>
      <c r="AL16" s="214">
        <v>45572</v>
      </c>
    </row>
    <row r="17" spans="1:38">
      <c r="A17" s="213">
        <v>210010</v>
      </c>
      <c r="B17" s="213" t="s">
        <v>352</v>
      </c>
      <c r="C17" s="214">
        <v>15748.5</v>
      </c>
      <c r="D17" s="214">
        <v>10998.9</v>
      </c>
      <c r="E17" s="214">
        <v>10603</v>
      </c>
      <c r="F17" s="214">
        <v>12500.8</v>
      </c>
      <c r="G17" s="214">
        <f t="shared" si="7"/>
        <v>49851.199999999997</v>
      </c>
      <c r="H17" s="214">
        <v>1946.5740000000001</v>
      </c>
      <c r="I17" s="214">
        <v>607.827</v>
      </c>
      <c r="J17" s="214">
        <f t="shared" si="0"/>
        <v>2554.4009999999998</v>
      </c>
      <c r="K17" s="214">
        <v>2789.5271499999999</v>
      </c>
      <c r="L17" s="214">
        <v>0</v>
      </c>
      <c r="M17" s="214">
        <v>1520.6001017819999</v>
      </c>
      <c r="N17" s="214">
        <v>1747.1469999999999</v>
      </c>
      <c r="O17" s="214">
        <v>8611.6752517820005</v>
      </c>
      <c r="P17" s="214">
        <v>833.4</v>
      </c>
      <c r="Q17" s="214">
        <v>42072.924748218</v>
      </c>
      <c r="R17" s="214">
        <v>74.825000000000003</v>
      </c>
      <c r="S17" s="214">
        <v>42147.749748217997</v>
      </c>
      <c r="T17" s="216">
        <f t="shared" si="1"/>
        <v>6.5550018891862183E-2</v>
      </c>
      <c r="U17" s="216">
        <f t="shared" si="2"/>
        <v>3.0502778303872324E-2</v>
      </c>
      <c r="V17" s="216">
        <f t="shared" si="3"/>
        <v>3.5047240587989859E-2</v>
      </c>
      <c r="W17" s="214">
        <f t="shared" si="4"/>
        <v>50684.6</v>
      </c>
      <c r="X17" s="214">
        <f t="shared" si="5"/>
        <v>42906.324748218001</v>
      </c>
      <c r="Y17" s="215">
        <f t="shared" si="6"/>
        <v>0.8439701501311504</v>
      </c>
      <c r="Z17" s="214">
        <v>22791.8498</v>
      </c>
      <c r="AA17" s="214">
        <v>2977</v>
      </c>
      <c r="AB17" s="214">
        <v>3441</v>
      </c>
      <c r="AC17" s="214">
        <v>3091.3840300000002</v>
      </c>
      <c r="AD17" s="214">
        <v>8061.6119699999999</v>
      </c>
      <c r="AE17" s="214">
        <v>40362.845800000003</v>
      </c>
      <c r="AF17" s="214">
        <v>1784.9039482180001</v>
      </c>
      <c r="AG17" s="214"/>
      <c r="AH17" s="214">
        <v>1784.9039482180001</v>
      </c>
      <c r="AI17" s="214">
        <v>1.698314602</v>
      </c>
      <c r="AJ17" s="214">
        <v>8.4532157229999996</v>
      </c>
      <c r="AK17" s="214">
        <v>0.54641755800000003</v>
      </c>
      <c r="AL17" s="214">
        <v>2524</v>
      </c>
    </row>
    <row r="18" spans="1:38">
      <c r="A18" s="213">
        <v>210011</v>
      </c>
      <c r="B18" s="213" t="s">
        <v>59</v>
      </c>
      <c r="C18" s="214">
        <v>89448</v>
      </c>
      <c r="D18" s="214">
        <v>37262.6</v>
      </c>
      <c r="E18" s="214">
        <v>153098.1</v>
      </c>
      <c r="F18" s="214">
        <v>151288.5</v>
      </c>
      <c r="G18" s="214">
        <f t="shared" si="7"/>
        <v>431097.2</v>
      </c>
      <c r="H18" s="214">
        <v>-3710.3244800000002</v>
      </c>
      <c r="I18" s="214">
        <v>20969.226739999998</v>
      </c>
      <c r="J18" s="214">
        <f t="shared" si="0"/>
        <v>17258.902259999999</v>
      </c>
      <c r="K18" s="214">
        <v>22198.535980000001</v>
      </c>
      <c r="L18" s="214">
        <v>0</v>
      </c>
      <c r="M18" s="214">
        <v>11131.77475</v>
      </c>
      <c r="N18" s="214">
        <v>0</v>
      </c>
      <c r="O18" s="214">
        <v>50589.21299</v>
      </c>
      <c r="P18" s="214">
        <v>1665.8910000000001</v>
      </c>
      <c r="Q18" s="214">
        <v>382173.87800999999</v>
      </c>
      <c r="R18" s="214">
        <v>4541.5447400000003</v>
      </c>
      <c r="S18" s="214">
        <v>386715.42275000003</v>
      </c>
      <c r="T18" s="216">
        <f t="shared" si="1"/>
        <v>2.5821960221499931E-2</v>
      </c>
      <c r="U18" s="216">
        <f t="shared" si="2"/>
        <v>2.5821960221499931E-2</v>
      </c>
      <c r="V18" s="216">
        <f t="shared" si="3"/>
        <v>0</v>
      </c>
      <c r="W18" s="214">
        <f t="shared" si="4"/>
        <v>432763.09100000001</v>
      </c>
      <c r="X18" s="214">
        <f t="shared" si="5"/>
        <v>383839.76900999999</v>
      </c>
      <c r="Y18" s="215">
        <f t="shared" si="6"/>
        <v>0.88651440559112882</v>
      </c>
      <c r="Z18" s="214">
        <v>148645.95050000001</v>
      </c>
      <c r="AA18" s="214">
        <v>15793.472900000001</v>
      </c>
      <c r="AB18" s="214">
        <v>56608.784679999997</v>
      </c>
      <c r="AC18" s="214">
        <v>20073.00592</v>
      </c>
      <c r="AD18" s="214">
        <v>68956.098060000004</v>
      </c>
      <c r="AE18" s="214">
        <v>310077.31206000003</v>
      </c>
      <c r="AF18" s="214">
        <v>76638.110690000001</v>
      </c>
      <c r="AG18" s="214"/>
      <c r="AH18" s="214">
        <v>76638.110690000001</v>
      </c>
      <c r="AI18" s="214">
        <v>2.530163086</v>
      </c>
      <c r="AJ18" s="214">
        <v>11.039521930999999</v>
      </c>
      <c r="AK18" s="214">
        <v>0.84544369500000005</v>
      </c>
      <c r="AL18" s="214">
        <v>15803</v>
      </c>
    </row>
    <row r="19" spans="1:38">
      <c r="A19" s="213">
        <v>210012</v>
      </c>
      <c r="B19" s="213" t="s">
        <v>60</v>
      </c>
      <c r="C19" s="214">
        <v>136635.9</v>
      </c>
      <c r="D19" s="214">
        <v>114224.4</v>
      </c>
      <c r="E19" s="214">
        <v>270630.40000000002</v>
      </c>
      <c r="F19" s="214">
        <v>248366.2</v>
      </c>
      <c r="G19" s="214">
        <f t="shared" si="7"/>
        <v>769856.9</v>
      </c>
      <c r="H19" s="214">
        <v>18787.54</v>
      </c>
      <c r="I19" s="214">
        <v>6526.7560000000003</v>
      </c>
      <c r="J19" s="214">
        <f t="shared" si="0"/>
        <v>25314.296000000002</v>
      </c>
      <c r="K19" s="214">
        <v>83926.081000000006</v>
      </c>
      <c r="L19" s="214">
        <v>0</v>
      </c>
      <c r="M19" s="214">
        <v>15715</v>
      </c>
      <c r="N19" s="214">
        <v>0</v>
      </c>
      <c r="O19" s="214">
        <v>124955.37699999999</v>
      </c>
      <c r="P19" s="214">
        <v>0</v>
      </c>
      <c r="Q19" s="214">
        <v>644901.52300000004</v>
      </c>
      <c r="R19" s="214">
        <v>11547.126</v>
      </c>
      <c r="S19" s="214">
        <v>656448.64899999998</v>
      </c>
      <c r="T19" s="216">
        <f t="shared" si="1"/>
        <v>2.0412884524383688E-2</v>
      </c>
      <c r="U19" s="216">
        <f t="shared" si="2"/>
        <v>2.0412884524383688E-2</v>
      </c>
      <c r="V19" s="216">
        <f t="shared" si="3"/>
        <v>0</v>
      </c>
      <c r="W19" s="214">
        <f t="shared" si="4"/>
        <v>769856.9</v>
      </c>
      <c r="X19" s="214">
        <f t="shared" si="5"/>
        <v>644901.52300000004</v>
      </c>
      <c r="Y19" s="215">
        <f t="shared" si="6"/>
        <v>0.83769012526873499</v>
      </c>
      <c r="Z19" s="214">
        <v>221999.963289804</v>
      </c>
      <c r="AA19" s="214">
        <v>61226</v>
      </c>
      <c r="AB19" s="214">
        <v>157404</v>
      </c>
      <c r="AC19" s="214">
        <v>50746.770298502997</v>
      </c>
      <c r="AD19" s="214">
        <v>95711.090712431993</v>
      </c>
      <c r="AE19" s="214">
        <v>587087.82430073805</v>
      </c>
      <c r="AF19" s="214">
        <v>69360.824699260993</v>
      </c>
      <c r="AG19" s="214"/>
      <c r="AH19" s="214">
        <v>69360.824699260993</v>
      </c>
      <c r="AI19" s="214">
        <v>2.8503649019999999</v>
      </c>
      <c r="AJ19" s="214">
        <v>17.321733512000002</v>
      </c>
      <c r="AK19" s="214">
        <v>2.2930908040000002</v>
      </c>
      <c r="AL19" s="214">
        <v>17928</v>
      </c>
    </row>
    <row r="20" spans="1:38">
      <c r="A20" s="213">
        <v>210013</v>
      </c>
      <c r="B20" s="213" t="s">
        <v>61</v>
      </c>
      <c r="C20" s="214">
        <v>28184.612550000002</v>
      </c>
      <c r="D20" s="214">
        <v>23417.763060000001</v>
      </c>
      <c r="E20" s="214">
        <v>34397.210740000002</v>
      </c>
      <c r="F20" s="214">
        <v>23890.24783</v>
      </c>
      <c r="G20" s="214">
        <f t="shared" si="7"/>
        <v>109889.83418000001</v>
      </c>
      <c r="H20" s="214">
        <v>2283.85212</v>
      </c>
      <c r="I20" s="214">
        <v>425.14</v>
      </c>
      <c r="J20" s="214">
        <f t="shared" si="0"/>
        <v>2708.9921199999999</v>
      </c>
      <c r="K20" s="214">
        <v>10390.045700000001</v>
      </c>
      <c r="L20" s="214">
        <v>130.696</v>
      </c>
      <c r="M20" s="214">
        <v>2779.2723599999999</v>
      </c>
      <c r="N20" s="214">
        <v>2697.4536499999999</v>
      </c>
      <c r="O20" s="214">
        <v>18706.45983</v>
      </c>
      <c r="P20" s="214">
        <v>0</v>
      </c>
      <c r="Q20" s="214">
        <v>91183.374349999998</v>
      </c>
      <c r="R20" s="214">
        <v>1274.5146</v>
      </c>
      <c r="S20" s="214">
        <v>92457.888949999993</v>
      </c>
      <c r="T20" s="216">
        <f t="shared" si="1"/>
        <v>4.9838331733480463E-2</v>
      </c>
      <c r="U20" s="216">
        <f t="shared" si="2"/>
        <v>2.5291441931266728E-2</v>
      </c>
      <c r="V20" s="216">
        <f t="shared" si="3"/>
        <v>2.4546889802213732E-2</v>
      </c>
      <c r="W20" s="214">
        <f t="shared" si="4"/>
        <v>109759.13818000001</v>
      </c>
      <c r="X20" s="214">
        <f t="shared" si="5"/>
        <v>91052.678350000002</v>
      </c>
      <c r="Y20" s="215">
        <f t="shared" si="6"/>
        <v>0.82977078844837682</v>
      </c>
      <c r="Z20" s="214">
        <v>36875.514762371</v>
      </c>
      <c r="AA20" s="214">
        <v>0</v>
      </c>
      <c r="AB20" s="214">
        <v>8504.0830000000005</v>
      </c>
      <c r="AC20" s="214">
        <v>6630.4750840360002</v>
      </c>
      <c r="AD20" s="214">
        <v>23743.198767488</v>
      </c>
      <c r="AE20" s="214">
        <v>75753.271613894001</v>
      </c>
      <c r="AF20" s="214">
        <v>16704.617336105999</v>
      </c>
      <c r="AG20" s="214"/>
      <c r="AH20" s="214">
        <v>16704.617336105999</v>
      </c>
      <c r="AI20" s="214">
        <v>2.427890525</v>
      </c>
      <c r="AJ20" s="214">
        <v>11.590844347999999</v>
      </c>
      <c r="AK20" s="214">
        <v>-3.1234812789999999</v>
      </c>
      <c r="AL20" s="214">
        <v>3722</v>
      </c>
    </row>
    <row r="21" spans="1:38">
      <c r="A21" s="213">
        <v>210015</v>
      </c>
      <c r="B21" s="213" t="s">
        <v>353</v>
      </c>
      <c r="C21" s="214">
        <v>137247.70000000001</v>
      </c>
      <c r="D21" s="214">
        <v>60567.7</v>
      </c>
      <c r="E21" s="214">
        <v>161039.79999999999</v>
      </c>
      <c r="F21" s="214">
        <v>159146.4</v>
      </c>
      <c r="G21" s="214">
        <f t="shared" si="7"/>
        <v>518001.6</v>
      </c>
      <c r="H21" s="214">
        <v>13201.80746</v>
      </c>
      <c r="I21" s="214">
        <v>5147.81405</v>
      </c>
      <c r="J21" s="214">
        <f t="shared" si="0"/>
        <v>18349.621510000001</v>
      </c>
      <c r="K21" s="214">
        <v>47477.651530000003</v>
      </c>
      <c r="L21" s="214">
        <v>1206.049</v>
      </c>
      <c r="M21" s="214">
        <v>10480.90429</v>
      </c>
      <c r="N21" s="214">
        <v>824.22202000000004</v>
      </c>
      <c r="O21" s="214">
        <v>78338.448350000006</v>
      </c>
      <c r="P21" s="214">
        <v>0</v>
      </c>
      <c r="Q21" s="214">
        <v>439663.15165000001</v>
      </c>
      <c r="R21" s="214">
        <v>4779.1160499999996</v>
      </c>
      <c r="S21" s="214">
        <v>444442.26770000003</v>
      </c>
      <c r="T21" s="216">
        <f t="shared" si="1"/>
        <v>2.1824500754437825E-2</v>
      </c>
      <c r="U21" s="216">
        <f t="shared" si="2"/>
        <v>2.0233343468437165E-2</v>
      </c>
      <c r="V21" s="216">
        <f t="shared" si="3"/>
        <v>1.5911572860006612E-3</v>
      </c>
      <c r="W21" s="214">
        <f t="shared" si="4"/>
        <v>516795.55099999998</v>
      </c>
      <c r="X21" s="214">
        <f t="shared" si="5"/>
        <v>438457.10265000002</v>
      </c>
      <c r="Y21" s="215">
        <f t="shared" si="6"/>
        <v>0.84876794135384914</v>
      </c>
      <c r="Z21" s="214">
        <v>209278.72039069599</v>
      </c>
      <c r="AA21" s="214">
        <v>0</v>
      </c>
      <c r="AB21" s="214">
        <v>76600.062634000002</v>
      </c>
      <c r="AC21" s="214">
        <v>26699.788668511999</v>
      </c>
      <c r="AD21" s="214">
        <v>80109.821284061007</v>
      </c>
      <c r="AE21" s="214">
        <v>392688.39297726902</v>
      </c>
      <c r="AF21" s="214">
        <v>51753.874722731998</v>
      </c>
      <c r="AG21" s="214"/>
      <c r="AH21" s="214">
        <v>51753.874722731998</v>
      </c>
      <c r="AI21" s="214">
        <v>2.3814100360000001</v>
      </c>
      <c r="AJ21" s="214">
        <v>10.611794599</v>
      </c>
      <c r="AK21" s="214">
        <v>1.252243861</v>
      </c>
      <c r="AL21" s="214">
        <v>21309</v>
      </c>
    </row>
    <row r="22" spans="1:38">
      <c r="A22" s="213">
        <v>210016</v>
      </c>
      <c r="B22" s="213" t="s">
        <v>339</v>
      </c>
      <c r="C22" s="214">
        <v>65047.5</v>
      </c>
      <c r="D22" s="214">
        <v>26042.9</v>
      </c>
      <c r="E22" s="214">
        <v>97207.4</v>
      </c>
      <c r="F22" s="214">
        <v>82850.100000000006</v>
      </c>
      <c r="G22" s="214">
        <f t="shared" si="7"/>
        <v>271147.90000000002</v>
      </c>
      <c r="H22" s="214">
        <v>10910.97</v>
      </c>
      <c r="I22" s="214">
        <v>6620.049</v>
      </c>
      <c r="J22" s="214">
        <f t="shared" si="0"/>
        <v>17531.019</v>
      </c>
      <c r="K22" s="214">
        <v>23178.046000000002</v>
      </c>
      <c r="L22" s="214">
        <v>0</v>
      </c>
      <c r="M22" s="214">
        <v>5049.1710000000003</v>
      </c>
      <c r="N22" s="214">
        <v>1168.1320000000001</v>
      </c>
      <c r="O22" s="214">
        <v>46926.368000000002</v>
      </c>
      <c r="P22" s="214">
        <v>8801.8279999999995</v>
      </c>
      <c r="Q22" s="214">
        <v>233023.36000000002</v>
      </c>
      <c r="R22" s="214">
        <v>-56.552000000001044</v>
      </c>
      <c r="S22" s="214">
        <v>232966.80800000002</v>
      </c>
      <c r="T22" s="216">
        <f t="shared" si="1"/>
        <v>2.2929563533407412E-2</v>
      </c>
      <c r="U22" s="216">
        <f t="shared" si="2"/>
        <v>1.8621464521761E-2</v>
      </c>
      <c r="V22" s="216">
        <f t="shared" si="3"/>
        <v>4.3080990116464114E-3</v>
      </c>
      <c r="W22" s="214">
        <f t="shared" si="4"/>
        <v>279949.728</v>
      </c>
      <c r="X22" s="214">
        <f t="shared" si="5"/>
        <v>241825.18800000002</v>
      </c>
      <c r="Y22" s="215">
        <f t="shared" si="6"/>
        <v>0.85939577625347641</v>
      </c>
      <c r="Z22" s="214">
        <v>109240.21623999998</v>
      </c>
      <c r="AA22" s="214">
        <v>13844.823</v>
      </c>
      <c r="AB22" s="214">
        <v>41406.955999999998</v>
      </c>
      <c r="AC22" s="214">
        <v>9911.0720000000001</v>
      </c>
      <c r="AD22" s="214">
        <v>30992.301000000003</v>
      </c>
      <c r="AE22" s="214">
        <v>205395.36824000001</v>
      </c>
      <c r="AF22" s="214">
        <v>27571.439760000008</v>
      </c>
      <c r="AG22" s="214">
        <v>0</v>
      </c>
      <c r="AH22" s="214">
        <v>27571.439760000008</v>
      </c>
      <c r="AI22" s="214">
        <v>2.4088873315684443</v>
      </c>
      <c r="AJ22" s="214">
        <v>12.009839688249622</v>
      </c>
      <c r="AK22" s="214">
        <v>-0.36166147148751426</v>
      </c>
      <c r="AL22" s="214">
        <v>10234</v>
      </c>
    </row>
    <row r="23" spans="1:38">
      <c r="A23" s="213">
        <v>210017</v>
      </c>
      <c r="B23" s="213" t="s">
        <v>62</v>
      </c>
      <c r="C23" s="214">
        <v>8162.1</v>
      </c>
      <c r="D23" s="214">
        <v>8701</v>
      </c>
      <c r="E23" s="214">
        <v>13274.1</v>
      </c>
      <c r="F23" s="214">
        <v>25121.200000000001</v>
      </c>
      <c r="G23" s="214">
        <f t="shared" si="7"/>
        <v>55258.399999999994</v>
      </c>
      <c r="H23" s="214">
        <v>1485.173</v>
      </c>
      <c r="I23" s="214">
        <v>2833.21</v>
      </c>
      <c r="J23" s="214">
        <f t="shared" si="0"/>
        <v>4318.3829999999998</v>
      </c>
      <c r="K23" s="214">
        <v>3283.99467</v>
      </c>
      <c r="L23" s="214">
        <v>410.00299999999999</v>
      </c>
      <c r="M23" s="214">
        <v>727.97333000000003</v>
      </c>
      <c r="N23" s="214">
        <v>0</v>
      </c>
      <c r="O23" s="214">
        <v>8740.3539999999994</v>
      </c>
      <c r="P23" s="214">
        <v>0</v>
      </c>
      <c r="Q23" s="214">
        <v>46518.046000000002</v>
      </c>
      <c r="R23" s="214">
        <v>951.88800000000003</v>
      </c>
      <c r="S23" s="214">
        <v>47469.934000000001</v>
      </c>
      <c r="T23" s="216">
        <f t="shared" si="1"/>
        <v>1.3173984950704329E-2</v>
      </c>
      <c r="U23" s="216">
        <f t="shared" si="2"/>
        <v>1.3173984950704329E-2</v>
      </c>
      <c r="V23" s="216">
        <f t="shared" si="3"/>
        <v>0</v>
      </c>
      <c r="W23" s="214">
        <f t="shared" si="4"/>
        <v>54848.396999999997</v>
      </c>
      <c r="X23" s="214">
        <f t="shared" si="5"/>
        <v>46108.043000000005</v>
      </c>
      <c r="Y23" s="215">
        <f t="shared" si="6"/>
        <v>0.84182759544250296</v>
      </c>
      <c r="Z23" s="214">
        <v>22949.478586115001</v>
      </c>
      <c r="AA23" s="214">
        <v>0</v>
      </c>
      <c r="AB23" s="214">
        <v>10798.828</v>
      </c>
      <c r="AC23" s="214">
        <v>3378.2357866699999</v>
      </c>
      <c r="AD23" s="214">
        <v>6301.183662077</v>
      </c>
      <c r="AE23" s="214">
        <v>43427.726034861</v>
      </c>
      <c r="AF23" s="214">
        <v>4042.207965139</v>
      </c>
      <c r="AG23" s="214"/>
      <c r="AH23" s="214">
        <v>4042.207965139</v>
      </c>
      <c r="AI23" s="214">
        <v>2.3437350540000002</v>
      </c>
      <c r="AJ23" s="214">
        <v>8.118944634</v>
      </c>
      <c r="AK23" s="214">
        <v>4.921900752</v>
      </c>
      <c r="AL23" s="214">
        <v>2075</v>
      </c>
    </row>
    <row r="24" spans="1:38">
      <c r="A24" s="213">
        <v>210018</v>
      </c>
      <c r="B24" s="213" t="s">
        <v>354</v>
      </c>
      <c r="C24" s="214">
        <v>34888.800000000003</v>
      </c>
      <c r="D24" s="214">
        <v>31446.6</v>
      </c>
      <c r="E24" s="214">
        <v>45795.4</v>
      </c>
      <c r="F24" s="214">
        <v>66330.600000000006</v>
      </c>
      <c r="G24" s="214">
        <f t="shared" si="7"/>
        <v>178461.4</v>
      </c>
      <c r="H24" s="214">
        <v>4062.0042600000002</v>
      </c>
      <c r="I24" s="214">
        <v>1322.8229699999999</v>
      </c>
      <c r="J24" s="214">
        <f t="shared" si="0"/>
        <v>5384.8272299999999</v>
      </c>
      <c r="K24" s="214">
        <v>15888.178721</v>
      </c>
      <c r="L24" s="214">
        <v>583.41699800000004</v>
      </c>
      <c r="M24" s="214">
        <v>4015.6401300000002</v>
      </c>
      <c r="N24" s="214">
        <v>289.34336300000001</v>
      </c>
      <c r="O24" s="214">
        <v>26161.406442</v>
      </c>
      <c r="P24" s="214">
        <v>0</v>
      </c>
      <c r="Q24" s="214">
        <v>152299.99355799999</v>
      </c>
      <c r="R24" s="214">
        <v>1565.42986</v>
      </c>
      <c r="S24" s="214">
        <v>153865.42341799999</v>
      </c>
      <c r="T24" s="216">
        <f t="shared" si="1"/>
        <v>2.4122771047408575E-2</v>
      </c>
      <c r="U24" s="216">
        <f t="shared" si="2"/>
        <v>2.2501449220951982E-2</v>
      </c>
      <c r="V24" s="216">
        <f t="shared" si="3"/>
        <v>1.6213218264565896E-3</v>
      </c>
      <c r="W24" s="214">
        <f t="shared" si="4"/>
        <v>177877.98300199999</v>
      </c>
      <c r="X24" s="214">
        <f t="shared" si="5"/>
        <v>151716.57655999999</v>
      </c>
      <c r="Y24" s="215">
        <f t="shared" si="6"/>
        <v>0.85340579844156772</v>
      </c>
      <c r="Z24" s="214">
        <v>71128.815772686998</v>
      </c>
      <c r="AA24" s="214">
        <v>0</v>
      </c>
      <c r="AB24" s="214">
        <v>28388.274502</v>
      </c>
      <c r="AC24" s="214">
        <v>11297.121916029</v>
      </c>
      <c r="AD24" s="214">
        <v>30370.503230630999</v>
      </c>
      <c r="AE24" s="214">
        <v>141184.71542134701</v>
      </c>
      <c r="AF24" s="214">
        <v>12680.707996653</v>
      </c>
      <c r="AG24" s="214"/>
      <c r="AH24" s="214">
        <v>12680.707996653</v>
      </c>
      <c r="AI24" s="214">
        <v>2.0681387600000001</v>
      </c>
      <c r="AJ24" s="214">
        <v>8.8396482340000002</v>
      </c>
      <c r="AK24" s="214">
        <v>1.209953396</v>
      </c>
      <c r="AL24" s="214">
        <v>7221</v>
      </c>
    </row>
    <row r="25" spans="1:38">
      <c r="A25" s="213">
        <v>210019</v>
      </c>
      <c r="B25" s="213" t="s">
        <v>355</v>
      </c>
      <c r="C25" s="214">
        <v>92399.8</v>
      </c>
      <c r="D25" s="214">
        <v>60527.5</v>
      </c>
      <c r="E25" s="214">
        <v>152062.5</v>
      </c>
      <c r="F25" s="214">
        <v>132079.5</v>
      </c>
      <c r="G25" s="214">
        <f t="shared" si="7"/>
        <v>437069.3</v>
      </c>
      <c r="H25" s="214">
        <v>11081.3</v>
      </c>
      <c r="I25" s="214">
        <v>7144.1</v>
      </c>
      <c r="J25" s="214">
        <f t="shared" si="0"/>
        <v>18225.400000000001</v>
      </c>
      <c r="K25" s="214">
        <v>19548.5</v>
      </c>
      <c r="L25" s="214">
        <v>1644.8</v>
      </c>
      <c r="M25" s="214">
        <v>5566.5</v>
      </c>
      <c r="N25" s="214">
        <v>22335.7</v>
      </c>
      <c r="O25" s="214">
        <v>67320.899999999994</v>
      </c>
      <c r="P25" s="214">
        <v>0</v>
      </c>
      <c r="Q25" s="214">
        <v>369748.4</v>
      </c>
      <c r="R25" s="214">
        <v>947</v>
      </c>
      <c r="S25" s="214">
        <v>370695.4</v>
      </c>
      <c r="T25" s="216">
        <f t="shared" si="1"/>
        <v>6.3839304201873712E-2</v>
      </c>
      <c r="U25" s="216">
        <f t="shared" si="2"/>
        <v>1.2735966584704073E-2</v>
      </c>
      <c r="V25" s="216">
        <f t="shared" si="3"/>
        <v>5.110333761716964E-2</v>
      </c>
      <c r="W25" s="214">
        <f t="shared" si="4"/>
        <v>435424.5</v>
      </c>
      <c r="X25" s="214">
        <f t="shared" si="5"/>
        <v>368103.60000000003</v>
      </c>
      <c r="Y25" s="215">
        <f t="shared" si="6"/>
        <v>0.84597202320089748</v>
      </c>
      <c r="Z25" s="214">
        <v>162695.06722999999</v>
      </c>
      <c r="AA25" s="214">
        <v>19871.900000000001</v>
      </c>
      <c r="AB25" s="214">
        <v>90667.9</v>
      </c>
      <c r="AC25" s="214">
        <v>27854</v>
      </c>
      <c r="AD25" s="214">
        <v>49534.1</v>
      </c>
      <c r="AE25" s="214">
        <v>350622.96723000001</v>
      </c>
      <c r="AF25" s="214">
        <v>20072.432769999999</v>
      </c>
      <c r="AG25" s="214"/>
      <c r="AH25" s="214">
        <v>20072.432769999999</v>
      </c>
      <c r="AI25" s="214">
        <v>2.5953653800000001</v>
      </c>
      <c r="AJ25" s="214">
        <v>11.377344189</v>
      </c>
      <c r="AK25" s="214">
        <v>1.967167501</v>
      </c>
      <c r="AL25" s="214">
        <v>17237</v>
      </c>
    </row>
    <row r="26" spans="1:38">
      <c r="A26" s="213">
        <v>210022</v>
      </c>
      <c r="B26" s="213" t="s">
        <v>63</v>
      </c>
      <c r="C26" s="214">
        <v>64082.7</v>
      </c>
      <c r="D26" s="214">
        <v>30694</v>
      </c>
      <c r="E26" s="214">
        <v>131627.20000000001</v>
      </c>
      <c r="F26" s="214">
        <v>84493.2</v>
      </c>
      <c r="G26" s="214">
        <f t="shared" si="7"/>
        <v>310897.10000000003</v>
      </c>
      <c r="H26" s="214">
        <v>6029.968007765</v>
      </c>
      <c r="I26" s="214">
        <v>3145.8860219829999</v>
      </c>
      <c r="J26" s="214">
        <f t="shared" si="0"/>
        <v>9175.8540297479994</v>
      </c>
      <c r="K26" s="214">
        <v>22766.767670000001</v>
      </c>
      <c r="L26" s="214">
        <v>2919.12</v>
      </c>
      <c r="M26" s="214">
        <v>4642.4644099999996</v>
      </c>
      <c r="N26" s="214">
        <v>5885.0619900000002</v>
      </c>
      <c r="O26" s="214">
        <v>45389.268099747002</v>
      </c>
      <c r="P26" s="214">
        <v>0</v>
      </c>
      <c r="Q26" s="214">
        <v>265507.83190025302</v>
      </c>
      <c r="R26" s="214">
        <v>7712.3953600000004</v>
      </c>
      <c r="S26" s="214">
        <v>273220.22726025298</v>
      </c>
      <c r="T26" s="216">
        <f t="shared" si="1"/>
        <v>3.386177098467627E-2</v>
      </c>
      <c r="U26" s="216">
        <f t="shared" si="2"/>
        <v>1.4932478977771099E-2</v>
      </c>
      <c r="V26" s="216">
        <f t="shared" si="3"/>
        <v>1.8929292006905178E-2</v>
      </c>
      <c r="W26" s="214">
        <f t="shared" si="4"/>
        <v>307977.98000000004</v>
      </c>
      <c r="X26" s="214">
        <f t="shared" si="5"/>
        <v>262588.71190025302</v>
      </c>
      <c r="Y26" s="215">
        <f t="shared" si="6"/>
        <v>0.85400549538819437</v>
      </c>
      <c r="Z26" s="214">
        <v>112890.9</v>
      </c>
      <c r="AA26" s="214">
        <v>0</v>
      </c>
      <c r="AB26" s="214">
        <v>72493</v>
      </c>
      <c r="AC26" s="214">
        <v>13742.14991</v>
      </c>
      <c r="AD26" s="214">
        <v>51090.27749</v>
      </c>
      <c r="AE26" s="214">
        <v>250216.32740000001</v>
      </c>
      <c r="AF26" s="214">
        <v>23003.899860253001</v>
      </c>
      <c r="AG26" s="214"/>
      <c r="AH26" s="214">
        <v>23003.899860253001</v>
      </c>
      <c r="AI26" s="214">
        <v>2.58753995</v>
      </c>
      <c r="AJ26" s="214">
        <v>11.420485547</v>
      </c>
      <c r="AK26" s="214">
        <v>1.159251604</v>
      </c>
      <c r="AL26" s="214">
        <v>13792</v>
      </c>
    </row>
    <row r="27" spans="1:38">
      <c r="A27" s="213">
        <v>210023</v>
      </c>
      <c r="B27" s="213" t="s">
        <v>64</v>
      </c>
      <c r="C27" s="214">
        <v>114046.3</v>
      </c>
      <c r="D27" s="214">
        <v>105965.9</v>
      </c>
      <c r="E27" s="214">
        <v>181661.7</v>
      </c>
      <c r="F27" s="214">
        <v>200100.7</v>
      </c>
      <c r="G27" s="214">
        <f t="shared" si="7"/>
        <v>601774.60000000009</v>
      </c>
      <c r="H27" s="214">
        <v>13294.4</v>
      </c>
      <c r="I27" s="214">
        <v>4450.8999999999996</v>
      </c>
      <c r="J27" s="214">
        <f t="shared" si="0"/>
        <v>17745.3</v>
      </c>
      <c r="K27" s="214">
        <v>49804.627</v>
      </c>
      <c r="L27" s="214">
        <v>9087.2999999999993</v>
      </c>
      <c r="M27" s="214">
        <v>10268.6</v>
      </c>
      <c r="N27" s="214">
        <v>-491.78</v>
      </c>
      <c r="O27" s="214">
        <v>86414.047000000006</v>
      </c>
      <c r="P27" s="214">
        <v>0</v>
      </c>
      <c r="Q27" s="214">
        <v>515360.55300000001</v>
      </c>
      <c r="R27" s="214">
        <v>3477.5</v>
      </c>
      <c r="S27" s="214">
        <v>518838.05300000001</v>
      </c>
      <c r="T27" s="216">
        <f t="shared" si="1"/>
        <v>1.6246647831264394E-2</v>
      </c>
      <c r="U27" s="216">
        <f t="shared" si="2"/>
        <v>1.7063864111246968E-2</v>
      </c>
      <c r="V27" s="216">
        <f t="shared" si="3"/>
        <v>-8.1721627998257136E-4</v>
      </c>
      <c r="W27" s="214">
        <f t="shared" si="4"/>
        <v>592687.30000000005</v>
      </c>
      <c r="X27" s="214">
        <f t="shared" si="5"/>
        <v>506273.25300000003</v>
      </c>
      <c r="Y27" s="215">
        <f t="shared" si="6"/>
        <v>0.85640130540571158</v>
      </c>
      <c r="Z27" s="214">
        <v>222256.619554729</v>
      </c>
      <c r="AA27" s="214">
        <v>4569</v>
      </c>
      <c r="AB27" s="214">
        <v>142797</v>
      </c>
      <c r="AC27" s="214">
        <v>33727.129330449003</v>
      </c>
      <c r="AD27" s="214">
        <v>74369.371472339</v>
      </c>
      <c r="AE27" s="214">
        <v>477719.12035751698</v>
      </c>
      <c r="AF27" s="214">
        <v>41118.932642483</v>
      </c>
      <c r="AG27" s="214"/>
      <c r="AH27" s="214">
        <v>41118.932642483</v>
      </c>
      <c r="AI27" s="214">
        <v>2.2362676540000002</v>
      </c>
      <c r="AJ27" s="214">
        <v>8.7877807210000007</v>
      </c>
      <c r="AK27" s="214">
        <v>1.5381155399999999</v>
      </c>
      <c r="AL27" s="214">
        <v>26713</v>
      </c>
    </row>
    <row r="28" spans="1:38">
      <c r="A28" s="213">
        <v>210024</v>
      </c>
      <c r="B28" s="213" t="s">
        <v>356</v>
      </c>
      <c r="C28" s="214">
        <v>81440</v>
      </c>
      <c r="D28" s="214">
        <v>37095.1</v>
      </c>
      <c r="E28" s="214">
        <v>161105.60000000001</v>
      </c>
      <c r="F28" s="214">
        <v>154801.70000000001</v>
      </c>
      <c r="G28" s="214">
        <f t="shared" si="7"/>
        <v>434442.4</v>
      </c>
      <c r="H28" s="214">
        <v>9276.1488000000008</v>
      </c>
      <c r="I28" s="214">
        <v>4243.5579100000004</v>
      </c>
      <c r="J28" s="214">
        <f t="shared" si="0"/>
        <v>13519.706710000002</v>
      </c>
      <c r="K28" s="214">
        <v>40753.909090000001</v>
      </c>
      <c r="L28" s="214">
        <v>3100.056</v>
      </c>
      <c r="M28" s="214">
        <v>5697.2022299999999</v>
      </c>
      <c r="N28" s="214">
        <v>-100.4162</v>
      </c>
      <c r="O28" s="214">
        <v>62970.457829999999</v>
      </c>
      <c r="P28" s="214">
        <v>0</v>
      </c>
      <c r="Q28" s="214">
        <v>371471.94216999999</v>
      </c>
      <c r="R28" s="214">
        <v>1747.5648060000001</v>
      </c>
      <c r="S28" s="214">
        <v>373219.50697599998</v>
      </c>
      <c r="T28" s="216">
        <f t="shared" si="1"/>
        <v>1.2882688314952684E-2</v>
      </c>
      <c r="U28" s="216">
        <f t="shared" si="2"/>
        <v>1.3113826435909569E-2</v>
      </c>
      <c r="V28" s="216">
        <f t="shared" si="3"/>
        <v>-2.3113812095688633E-4</v>
      </c>
      <c r="W28" s="214">
        <f t="shared" si="4"/>
        <v>431342.34400000004</v>
      </c>
      <c r="X28" s="214">
        <f t="shared" si="5"/>
        <v>368371.88617000001</v>
      </c>
      <c r="Y28" s="215">
        <f t="shared" si="6"/>
        <v>0.85505453005968102</v>
      </c>
      <c r="Z28" s="214">
        <v>154895.56944916499</v>
      </c>
      <c r="AA28" s="214">
        <v>0</v>
      </c>
      <c r="AB28" s="214">
        <v>90915.394931999996</v>
      </c>
      <c r="AC28" s="214">
        <v>19266.376911857002</v>
      </c>
      <c r="AD28" s="214">
        <v>53063.859952860003</v>
      </c>
      <c r="AE28" s="214">
        <v>318141.20124588202</v>
      </c>
      <c r="AF28" s="214">
        <v>55078.305730118002</v>
      </c>
      <c r="AG28" s="214"/>
      <c r="AH28" s="214">
        <v>55078.305730118002</v>
      </c>
      <c r="AI28" s="214">
        <v>3.65614661</v>
      </c>
      <c r="AJ28" s="214">
        <v>16.140999223000001</v>
      </c>
      <c r="AK28" s="214">
        <v>1.285840066</v>
      </c>
      <c r="AL28" s="214">
        <v>11004</v>
      </c>
    </row>
    <row r="29" spans="1:38">
      <c r="A29" s="213">
        <v>210027</v>
      </c>
      <c r="B29" s="213" t="s">
        <v>65</v>
      </c>
      <c r="C29" s="214">
        <v>72115.199999999997</v>
      </c>
      <c r="D29" s="214">
        <v>38695.699999999997</v>
      </c>
      <c r="E29" s="214">
        <v>103357.5</v>
      </c>
      <c r="F29" s="214">
        <v>114860.5</v>
      </c>
      <c r="G29" s="214">
        <f t="shared" si="7"/>
        <v>329028.90000000002</v>
      </c>
      <c r="H29" s="214">
        <v>6217.2</v>
      </c>
      <c r="I29" s="214">
        <v>9723.7000000000007</v>
      </c>
      <c r="J29" s="214">
        <f t="shared" si="0"/>
        <v>15940.900000000001</v>
      </c>
      <c r="K29" s="214">
        <v>37882.199999999997</v>
      </c>
      <c r="L29" s="214">
        <v>616.4</v>
      </c>
      <c r="M29" s="214">
        <v>4514.2</v>
      </c>
      <c r="N29" s="214">
        <v>-754.1</v>
      </c>
      <c r="O29" s="214">
        <v>58199.6</v>
      </c>
      <c r="P29" s="214">
        <v>0</v>
      </c>
      <c r="Q29" s="214">
        <v>270829.3</v>
      </c>
      <c r="R29" s="214">
        <v>3758.2</v>
      </c>
      <c r="S29" s="214">
        <v>274587.5</v>
      </c>
      <c r="T29" s="216">
        <f t="shared" si="1"/>
        <v>1.1427871533473199E-2</v>
      </c>
      <c r="U29" s="216">
        <f t="shared" si="2"/>
        <v>1.3719767473313133E-2</v>
      </c>
      <c r="V29" s="216">
        <f t="shared" si="3"/>
        <v>-2.291895939839935E-3</v>
      </c>
      <c r="W29" s="214">
        <f t="shared" si="4"/>
        <v>328412.5</v>
      </c>
      <c r="X29" s="214">
        <f t="shared" si="5"/>
        <v>270212.89999999997</v>
      </c>
      <c r="Y29" s="215">
        <f t="shared" si="6"/>
        <v>0.82311705749859654</v>
      </c>
      <c r="Z29" s="214">
        <v>102961.81978999999</v>
      </c>
      <c r="AA29" s="214">
        <v>18357.099999999999</v>
      </c>
      <c r="AB29" s="214">
        <v>53627.199999999997</v>
      </c>
      <c r="AC29" s="214">
        <v>25283.4</v>
      </c>
      <c r="AD29" s="214">
        <v>43481.2</v>
      </c>
      <c r="AE29" s="214">
        <v>243710.71979</v>
      </c>
      <c r="AF29" s="214">
        <v>30876.780210000001</v>
      </c>
      <c r="AG29" s="214"/>
      <c r="AH29" s="214">
        <v>30876.780210000001</v>
      </c>
      <c r="AI29" s="214">
        <v>2.3162152549999999</v>
      </c>
      <c r="AJ29" s="214">
        <v>11.270561287</v>
      </c>
      <c r="AK29" s="214">
        <v>2.6297521260000001</v>
      </c>
      <c r="AL29" s="214">
        <v>11532</v>
      </c>
    </row>
    <row r="30" spans="1:38">
      <c r="A30" s="213">
        <v>210028</v>
      </c>
      <c r="B30" s="213" t="s">
        <v>357</v>
      </c>
      <c r="C30" s="214">
        <v>34730.800000000003</v>
      </c>
      <c r="D30" s="214">
        <v>33080.6</v>
      </c>
      <c r="E30" s="214">
        <v>47106.5</v>
      </c>
      <c r="F30" s="214">
        <v>75093.3</v>
      </c>
      <c r="G30" s="214">
        <f t="shared" si="7"/>
        <v>190011.2</v>
      </c>
      <c r="H30" s="214">
        <v>5218.63</v>
      </c>
      <c r="I30" s="214">
        <v>2280.1539400000001</v>
      </c>
      <c r="J30" s="214">
        <f t="shared" si="0"/>
        <v>7498.7839400000003</v>
      </c>
      <c r="K30" s="214">
        <v>16342.655626</v>
      </c>
      <c r="L30" s="214">
        <v>0</v>
      </c>
      <c r="M30" s="214">
        <v>5593.4557000000004</v>
      </c>
      <c r="N30" s="214">
        <v>125.68276</v>
      </c>
      <c r="O30" s="214">
        <v>29560.578025999999</v>
      </c>
      <c r="P30" s="214">
        <v>504.54</v>
      </c>
      <c r="Q30" s="214">
        <v>160955.16197399999</v>
      </c>
      <c r="R30" s="214">
        <v>1631.5427199999999</v>
      </c>
      <c r="S30" s="214">
        <v>162586.70469399999</v>
      </c>
      <c r="T30" s="216">
        <f t="shared" si="1"/>
        <v>3.0098954482683123E-2</v>
      </c>
      <c r="U30" s="216">
        <f t="shared" si="2"/>
        <v>2.9437505262847663E-2</v>
      </c>
      <c r="V30" s="216">
        <f t="shared" si="3"/>
        <v>6.6144921983546227E-4</v>
      </c>
      <c r="W30" s="214">
        <f t="shared" si="4"/>
        <v>190515.74000000002</v>
      </c>
      <c r="X30" s="214">
        <f t="shared" si="5"/>
        <v>161459.701974</v>
      </c>
      <c r="Y30" s="215">
        <f t="shared" si="6"/>
        <v>0.84708249815800318</v>
      </c>
      <c r="Z30" s="214">
        <v>77245.972496582006</v>
      </c>
      <c r="AA30" s="214">
        <v>0</v>
      </c>
      <c r="AB30" s="214">
        <v>29085.534937</v>
      </c>
      <c r="AC30" s="214">
        <v>9336.7903620699999</v>
      </c>
      <c r="AD30" s="214">
        <v>34724.380826540997</v>
      </c>
      <c r="AE30" s="214">
        <v>150392.67862219299</v>
      </c>
      <c r="AF30" s="214">
        <v>12194.026071807</v>
      </c>
      <c r="AG30" s="214"/>
      <c r="AH30" s="214">
        <v>12194.026071807</v>
      </c>
      <c r="AI30" s="214">
        <v>2.3672006749999999</v>
      </c>
      <c r="AJ30" s="214">
        <v>8.7260812330000004</v>
      </c>
      <c r="AK30" s="214">
        <v>1.5164763960000001</v>
      </c>
      <c r="AL30" s="214">
        <v>7423</v>
      </c>
    </row>
    <row r="31" spans="1:38">
      <c r="A31" s="213">
        <v>210029</v>
      </c>
      <c r="B31" s="213" t="s">
        <v>340</v>
      </c>
      <c r="C31" s="214">
        <v>149840</v>
      </c>
      <c r="D31" s="214">
        <v>109863.7</v>
      </c>
      <c r="E31" s="214">
        <v>206534</v>
      </c>
      <c r="F31" s="214">
        <v>178981.8</v>
      </c>
      <c r="G31" s="214">
        <f t="shared" si="7"/>
        <v>645219.5</v>
      </c>
      <c r="H31" s="214">
        <v>9693</v>
      </c>
      <c r="I31" s="214">
        <v>16809</v>
      </c>
      <c r="J31" s="214">
        <f t="shared" si="0"/>
        <v>26502</v>
      </c>
      <c r="K31" s="214">
        <v>61350.8</v>
      </c>
      <c r="L31" s="214">
        <v>0</v>
      </c>
      <c r="M31" s="214">
        <v>19583.2</v>
      </c>
      <c r="N31" s="214">
        <v>0</v>
      </c>
      <c r="O31" s="214">
        <v>107436</v>
      </c>
      <c r="P31" s="214">
        <v>7518.7</v>
      </c>
      <c r="Q31" s="214">
        <v>545302.19999999995</v>
      </c>
      <c r="R31" s="214">
        <v>6607.4</v>
      </c>
      <c r="S31" s="214">
        <v>551909.6</v>
      </c>
      <c r="T31" s="216">
        <f t="shared" si="1"/>
        <v>3.0351221561034657E-2</v>
      </c>
      <c r="U31" s="216">
        <f t="shared" si="2"/>
        <v>3.0351221561034657E-2</v>
      </c>
      <c r="V31" s="216">
        <f t="shared" si="3"/>
        <v>0</v>
      </c>
      <c r="W31" s="214">
        <f t="shared" si="4"/>
        <v>652738.19999999995</v>
      </c>
      <c r="X31" s="214">
        <f t="shared" si="5"/>
        <v>552820.89999999991</v>
      </c>
      <c r="Y31" s="215">
        <f t="shared" si="6"/>
        <v>0.84514215704888018</v>
      </c>
      <c r="Z31" s="214">
        <v>255770.09369000001</v>
      </c>
      <c r="AA31" s="214">
        <v>41714.400000000001</v>
      </c>
      <c r="AB31" s="214">
        <v>105421</v>
      </c>
      <c r="AC31" s="214">
        <v>37403.5</v>
      </c>
      <c r="AD31" s="214">
        <v>108802.4</v>
      </c>
      <c r="AE31" s="214">
        <v>549111.39369000006</v>
      </c>
      <c r="AF31" s="214">
        <v>2798.20631</v>
      </c>
      <c r="AG31" s="214"/>
      <c r="AH31" s="214">
        <v>2798.20631</v>
      </c>
      <c r="AI31" s="214">
        <v>2.6579027289999999</v>
      </c>
      <c r="AJ31" s="214">
        <v>14.79032353</v>
      </c>
      <c r="AK31" s="214">
        <v>0.90852288000000003</v>
      </c>
      <c r="AL31" s="214">
        <v>20506</v>
      </c>
    </row>
    <row r="32" spans="1:38">
      <c r="A32" s="213">
        <v>210030</v>
      </c>
      <c r="B32" s="213" t="s">
        <v>358</v>
      </c>
      <c r="C32" s="214">
        <v>9351.7999999999993</v>
      </c>
      <c r="D32" s="214">
        <v>10973.1</v>
      </c>
      <c r="E32" s="214">
        <v>12236.1</v>
      </c>
      <c r="F32" s="214">
        <v>26645.5</v>
      </c>
      <c r="G32" s="214">
        <f t="shared" si="7"/>
        <v>59206.5</v>
      </c>
      <c r="H32" s="214">
        <v>2596.5222899999999</v>
      </c>
      <c r="I32" s="214">
        <v>360.12079</v>
      </c>
      <c r="J32" s="214">
        <f t="shared" si="0"/>
        <v>2956.6430799999998</v>
      </c>
      <c r="K32" s="214">
        <v>5652.99503</v>
      </c>
      <c r="L32" s="214">
        <v>0</v>
      </c>
      <c r="M32" s="214">
        <v>1177.00497</v>
      </c>
      <c r="N32" s="214">
        <v>1750.04955</v>
      </c>
      <c r="O32" s="214">
        <v>11536.69263</v>
      </c>
      <c r="P32" s="214">
        <v>486</v>
      </c>
      <c r="Q32" s="214">
        <v>48155.807370000002</v>
      </c>
      <c r="R32" s="214">
        <v>9.0710200000000007</v>
      </c>
      <c r="S32" s="214">
        <v>48164.878389999998</v>
      </c>
      <c r="T32" s="216">
        <f t="shared" si="1"/>
        <v>4.9438060348103663E-2</v>
      </c>
      <c r="U32" s="216">
        <f t="shared" si="2"/>
        <v>1.9879657976742418E-2</v>
      </c>
      <c r="V32" s="216">
        <f t="shared" si="3"/>
        <v>2.9558402371361252E-2</v>
      </c>
      <c r="W32" s="214">
        <f t="shared" si="4"/>
        <v>59692.5</v>
      </c>
      <c r="X32" s="214">
        <f t="shared" si="5"/>
        <v>48641.807370000002</v>
      </c>
      <c r="Y32" s="215">
        <f t="shared" si="6"/>
        <v>0.81335338805705459</v>
      </c>
      <c r="Z32" s="214">
        <v>14862.699632426</v>
      </c>
      <c r="AA32" s="214">
        <v>5782</v>
      </c>
      <c r="AB32" s="214">
        <v>6191</v>
      </c>
      <c r="AC32" s="214">
        <v>3852.959538176</v>
      </c>
      <c r="AD32" s="214">
        <v>10313.003649852</v>
      </c>
      <c r="AE32" s="214">
        <v>41001.662820454003</v>
      </c>
      <c r="AF32" s="214">
        <v>7163.2155695459996</v>
      </c>
      <c r="AG32" s="214"/>
      <c r="AH32" s="214">
        <v>7163.2155695459996</v>
      </c>
      <c r="AI32" s="214">
        <v>2.1933750409999999</v>
      </c>
      <c r="AJ32" s="214">
        <v>8.7121350209999999</v>
      </c>
      <c r="AK32" s="214">
        <v>1.8580900170000001</v>
      </c>
      <c r="AL32" s="214">
        <v>1716</v>
      </c>
    </row>
    <row r="33" spans="1:38">
      <c r="A33" s="213">
        <v>210032</v>
      </c>
      <c r="B33" s="213" t="s">
        <v>254</v>
      </c>
      <c r="C33" s="214">
        <v>29515.4</v>
      </c>
      <c r="D33" s="214">
        <v>19658.7</v>
      </c>
      <c r="E33" s="214">
        <v>37915.800000000003</v>
      </c>
      <c r="F33" s="214">
        <v>73781.399999999994</v>
      </c>
      <c r="G33" s="214">
        <f t="shared" si="7"/>
        <v>160871.29999999999</v>
      </c>
      <c r="H33" s="214">
        <v>5244.1572500000002</v>
      </c>
      <c r="I33" s="214">
        <v>1407.5</v>
      </c>
      <c r="J33" s="214">
        <f t="shared" si="0"/>
        <v>6651.6572500000002</v>
      </c>
      <c r="K33" s="214">
        <v>5967.7</v>
      </c>
      <c r="L33" s="214">
        <v>0</v>
      </c>
      <c r="M33" s="214">
        <v>2629.3</v>
      </c>
      <c r="N33" s="214">
        <v>8355.2999999999993</v>
      </c>
      <c r="O33" s="214">
        <v>23603.957249999999</v>
      </c>
      <c r="P33" s="214">
        <v>309.5</v>
      </c>
      <c r="Q33" s="214">
        <v>137576.84275000001</v>
      </c>
      <c r="R33" s="214">
        <v>3326.7</v>
      </c>
      <c r="S33" s="214">
        <v>140903.54274999999</v>
      </c>
      <c r="T33" s="216">
        <f t="shared" si="1"/>
        <v>6.8281912311269941E-2</v>
      </c>
      <c r="U33" s="216">
        <f t="shared" si="2"/>
        <v>1.6344121045829805E-2</v>
      </c>
      <c r="V33" s="216">
        <f t="shared" si="3"/>
        <v>5.1937791265440139E-2</v>
      </c>
      <c r="W33" s="214">
        <f t="shared" si="4"/>
        <v>161180.79999999999</v>
      </c>
      <c r="X33" s="214">
        <f t="shared" si="5"/>
        <v>137886.34275000001</v>
      </c>
      <c r="Y33" s="215">
        <f t="shared" si="6"/>
        <v>0.85519817860612812</v>
      </c>
      <c r="Z33" s="214">
        <v>65194.400000000001</v>
      </c>
      <c r="AA33" s="214">
        <v>2998.5</v>
      </c>
      <c r="AB33" s="214">
        <v>15831.774740000001</v>
      </c>
      <c r="AC33" s="214">
        <v>11760.9</v>
      </c>
      <c r="AD33" s="214">
        <v>27632.725259999999</v>
      </c>
      <c r="AE33" s="214">
        <v>123418.3</v>
      </c>
      <c r="AF33" s="214">
        <v>17485.242750000001</v>
      </c>
      <c r="AG33" s="214"/>
      <c r="AH33" s="214">
        <v>17485.242750000001</v>
      </c>
      <c r="AI33" s="214">
        <v>2.519357802</v>
      </c>
      <c r="AJ33" s="214">
        <v>9.4937153849999998</v>
      </c>
      <c r="AK33" s="214">
        <v>0.5</v>
      </c>
      <c r="AL33" s="214">
        <v>5449</v>
      </c>
    </row>
    <row r="34" spans="1:38">
      <c r="A34" s="213">
        <v>210033</v>
      </c>
      <c r="B34" s="213" t="s">
        <v>66</v>
      </c>
      <c r="C34" s="214">
        <v>61681.1</v>
      </c>
      <c r="D34" s="214">
        <v>4194.1000000000004</v>
      </c>
      <c r="E34" s="214">
        <v>76881.3</v>
      </c>
      <c r="F34" s="214">
        <v>92279.6</v>
      </c>
      <c r="G34" s="214">
        <f t="shared" si="7"/>
        <v>235036.1</v>
      </c>
      <c r="H34" s="214">
        <v>2952.4</v>
      </c>
      <c r="I34" s="214">
        <v>622</v>
      </c>
      <c r="J34" s="214">
        <f t="shared" si="0"/>
        <v>3574.4</v>
      </c>
      <c r="K34" s="214">
        <v>24949.040000000001</v>
      </c>
      <c r="L34" s="214">
        <v>0</v>
      </c>
      <c r="M34" s="214">
        <v>2919.2449999999999</v>
      </c>
      <c r="N34" s="214">
        <v>0</v>
      </c>
      <c r="O34" s="214">
        <v>31442.685000000001</v>
      </c>
      <c r="P34" s="214">
        <v>0</v>
      </c>
      <c r="Q34" s="214">
        <v>203593.41500000001</v>
      </c>
      <c r="R34" s="214">
        <v>6456.7</v>
      </c>
      <c r="S34" s="214">
        <v>210050.11499999999</v>
      </c>
      <c r="T34" s="216">
        <f t="shared" si="1"/>
        <v>1.2420411162370375E-2</v>
      </c>
      <c r="U34" s="216">
        <f t="shared" si="2"/>
        <v>1.2420411162370375E-2</v>
      </c>
      <c r="V34" s="216">
        <f t="shared" si="3"/>
        <v>0</v>
      </c>
      <c r="W34" s="214">
        <f t="shared" si="4"/>
        <v>235036.1</v>
      </c>
      <c r="X34" s="214">
        <f t="shared" si="5"/>
        <v>203593.41500000001</v>
      </c>
      <c r="Y34" s="215">
        <f t="shared" si="6"/>
        <v>0.86622189102014546</v>
      </c>
      <c r="Z34" s="214">
        <v>100860.870191768</v>
      </c>
      <c r="AA34" s="214">
        <v>0</v>
      </c>
      <c r="AB34" s="214">
        <v>26051</v>
      </c>
      <c r="AC34" s="214">
        <v>17297.29</v>
      </c>
      <c r="AD34" s="214">
        <v>36138.540999999997</v>
      </c>
      <c r="AE34" s="214">
        <v>180347.70119176799</v>
      </c>
      <c r="AF34" s="214">
        <v>29702.413808231999</v>
      </c>
      <c r="AG34" s="214"/>
      <c r="AH34" s="214">
        <v>29702.413808231999</v>
      </c>
      <c r="AI34" s="214">
        <v>2.768287269</v>
      </c>
      <c r="AJ34" s="214">
        <v>10.693106398999999</v>
      </c>
      <c r="AK34" s="214">
        <v>1.9040425000000001</v>
      </c>
      <c r="AL34" s="214">
        <v>9943</v>
      </c>
    </row>
    <row r="35" spans="1:38">
      <c r="A35" s="213">
        <v>210034</v>
      </c>
      <c r="B35" s="213" t="s">
        <v>359</v>
      </c>
      <c r="C35" s="214">
        <v>48969</v>
      </c>
      <c r="D35" s="214">
        <v>21765.1</v>
      </c>
      <c r="E35" s="214">
        <v>67565.3</v>
      </c>
      <c r="F35" s="214">
        <v>55338.1</v>
      </c>
      <c r="G35" s="214">
        <f t="shared" si="7"/>
        <v>193637.50000000003</v>
      </c>
      <c r="H35" s="214">
        <v>6312.3010800000002</v>
      </c>
      <c r="I35" s="214">
        <v>2816.0426499999999</v>
      </c>
      <c r="J35" s="214">
        <f t="shared" si="0"/>
        <v>9128.3437300000005</v>
      </c>
      <c r="K35" s="214">
        <v>14856.14149</v>
      </c>
      <c r="L35" s="214">
        <v>0</v>
      </c>
      <c r="M35" s="214">
        <v>4290.1225999999997</v>
      </c>
      <c r="N35" s="214">
        <v>-305.44107000000002</v>
      </c>
      <c r="O35" s="214">
        <v>27969.16675</v>
      </c>
      <c r="P35" s="214">
        <v>-1393.5239999999999</v>
      </c>
      <c r="Q35" s="214">
        <v>164274.80924999999</v>
      </c>
      <c r="R35" s="214">
        <v>10391.340597</v>
      </c>
      <c r="S35" s="214">
        <v>174666.14984699999</v>
      </c>
      <c r="T35" s="216">
        <f t="shared" si="1"/>
        <v>2.0578046762636366E-2</v>
      </c>
      <c r="U35" s="216">
        <f t="shared" si="2"/>
        <v>2.2155432702859721E-2</v>
      </c>
      <c r="V35" s="216">
        <f t="shared" si="3"/>
        <v>-1.5773859402233555E-3</v>
      </c>
      <c r="W35" s="214">
        <f t="shared" si="4"/>
        <v>192243.97600000002</v>
      </c>
      <c r="X35" s="214">
        <f t="shared" si="5"/>
        <v>162881.28524999999</v>
      </c>
      <c r="Y35" s="215">
        <f t="shared" si="6"/>
        <v>0.84836258085339855</v>
      </c>
      <c r="Z35" s="214">
        <v>79699.304691671001</v>
      </c>
      <c r="AA35" s="214">
        <v>0</v>
      </c>
      <c r="AB35" s="214">
        <v>21900.237029</v>
      </c>
      <c r="AC35" s="214">
        <v>7580.1824820809998</v>
      </c>
      <c r="AD35" s="214">
        <v>34282.973990427003</v>
      </c>
      <c r="AE35" s="214">
        <v>143462.69819317901</v>
      </c>
      <c r="AF35" s="214">
        <v>31203.451653821001</v>
      </c>
      <c r="AG35" s="214"/>
      <c r="AH35" s="214">
        <v>31203.451653821001</v>
      </c>
      <c r="AI35" s="214">
        <v>2.8170928439999998</v>
      </c>
      <c r="AJ35" s="214">
        <v>11.948289246</v>
      </c>
      <c r="AK35" s="214">
        <v>0.86654405899999998</v>
      </c>
      <c r="AL35" s="214">
        <v>7226</v>
      </c>
    </row>
    <row r="36" spans="1:38">
      <c r="A36" s="213">
        <v>210035</v>
      </c>
      <c r="B36" s="213" t="s">
        <v>360</v>
      </c>
      <c r="C36" s="214">
        <v>33187.300000000003</v>
      </c>
      <c r="D36" s="214">
        <v>25878.5</v>
      </c>
      <c r="E36" s="214">
        <v>41988</v>
      </c>
      <c r="F36" s="214">
        <v>47808.5</v>
      </c>
      <c r="G36" s="214">
        <f t="shared" si="7"/>
        <v>148862.29999999999</v>
      </c>
      <c r="H36" s="214">
        <v>6403.99953</v>
      </c>
      <c r="I36" s="214">
        <v>1474.1091899999999</v>
      </c>
      <c r="J36" s="214">
        <f t="shared" si="0"/>
        <v>7878.1087200000002</v>
      </c>
      <c r="K36" s="214">
        <v>4985.4996899999996</v>
      </c>
      <c r="L36" s="214">
        <v>0</v>
      </c>
      <c r="M36" s="214">
        <v>3846.20912</v>
      </c>
      <c r="N36" s="214">
        <v>5065</v>
      </c>
      <c r="O36" s="214">
        <v>21774.81753</v>
      </c>
      <c r="P36" s="214">
        <v>1821.7</v>
      </c>
      <c r="Q36" s="214">
        <v>128909.18247</v>
      </c>
      <c r="R36" s="214">
        <v>65.51746</v>
      </c>
      <c r="S36" s="214">
        <v>128974.69993</v>
      </c>
      <c r="T36" s="216">
        <f t="shared" si="1"/>
        <v>5.9862094835294095E-2</v>
      </c>
      <c r="U36" s="216">
        <f t="shared" si="2"/>
        <v>2.5837361910974105E-2</v>
      </c>
      <c r="V36" s="216">
        <f t="shared" si="3"/>
        <v>3.4024732924319998E-2</v>
      </c>
      <c r="W36" s="214">
        <f t="shared" si="4"/>
        <v>150684</v>
      </c>
      <c r="X36" s="214">
        <f t="shared" si="5"/>
        <v>130730.88247</v>
      </c>
      <c r="Y36" s="215">
        <f t="shared" si="6"/>
        <v>0.86596258737101339</v>
      </c>
      <c r="Z36" s="214">
        <v>55643.132296137002</v>
      </c>
      <c r="AA36" s="214">
        <v>6067</v>
      </c>
      <c r="AB36" s="214">
        <v>18879</v>
      </c>
      <c r="AC36" s="214">
        <v>6220.6564399999997</v>
      </c>
      <c r="AD36" s="214">
        <v>24774.906047712</v>
      </c>
      <c r="AE36" s="214">
        <v>111584.694783849</v>
      </c>
      <c r="AF36" s="214">
        <v>17390.005146151001</v>
      </c>
      <c r="AG36" s="214"/>
      <c r="AH36" s="214">
        <v>17390.005146151001</v>
      </c>
      <c r="AI36" s="214">
        <v>2.0253809870000001</v>
      </c>
      <c r="AJ36" s="214">
        <v>8.5340433329999996</v>
      </c>
      <c r="AK36" s="214">
        <v>0.846218629</v>
      </c>
      <c r="AL36" s="214">
        <v>6603</v>
      </c>
    </row>
    <row r="37" spans="1:38">
      <c r="A37" s="213">
        <v>210037</v>
      </c>
      <c r="B37" s="213" t="s">
        <v>361</v>
      </c>
      <c r="C37" s="214">
        <v>44526.400000000001</v>
      </c>
      <c r="D37" s="214">
        <v>32982.199999999997</v>
      </c>
      <c r="E37" s="214">
        <v>60958.9</v>
      </c>
      <c r="F37" s="214">
        <v>64600.3</v>
      </c>
      <c r="G37" s="214">
        <f t="shared" si="7"/>
        <v>203067.8</v>
      </c>
      <c r="H37" s="214">
        <v>3980.9160000000002</v>
      </c>
      <c r="I37" s="214">
        <v>2412.7930000000001</v>
      </c>
      <c r="J37" s="214">
        <f t="shared" si="0"/>
        <v>6393.7090000000007</v>
      </c>
      <c r="K37" s="214">
        <v>13840.745111742999</v>
      </c>
      <c r="L37" s="214">
        <v>34.031999999999996</v>
      </c>
      <c r="M37" s="214">
        <v>1656.6528882570001</v>
      </c>
      <c r="N37" s="214">
        <v>6966.335</v>
      </c>
      <c r="O37" s="214">
        <v>28891.473999999998</v>
      </c>
      <c r="P37" s="214">
        <v>0</v>
      </c>
      <c r="Q37" s="214">
        <v>174176.326</v>
      </c>
      <c r="R37" s="214">
        <v>531.98599999999999</v>
      </c>
      <c r="S37" s="214">
        <v>174708.31200000001</v>
      </c>
      <c r="T37" s="216">
        <f t="shared" si="1"/>
        <v>4.2463590427714297E-2</v>
      </c>
      <c r="U37" s="216">
        <f t="shared" si="2"/>
        <v>8.1581269322708976E-3</v>
      </c>
      <c r="V37" s="216">
        <f t="shared" si="3"/>
        <v>3.4305463495443396E-2</v>
      </c>
      <c r="W37" s="214">
        <f t="shared" si="4"/>
        <v>203033.76799999998</v>
      </c>
      <c r="X37" s="214">
        <f t="shared" si="5"/>
        <v>174142.29399999999</v>
      </c>
      <c r="Y37" s="215">
        <f t="shared" si="6"/>
        <v>0.85772498643310269</v>
      </c>
      <c r="Z37" s="214">
        <v>75964.577170000004</v>
      </c>
      <c r="AA37" s="214">
        <v>7250.4110000000001</v>
      </c>
      <c r="AB37" s="214">
        <v>34202</v>
      </c>
      <c r="AC37" s="214">
        <v>12266.001679999999</v>
      </c>
      <c r="AD37" s="214">
        <v>28386.616320000001</v>
      </c>
      <c r="AE37" s="214">
        <v>158069.60617000001</v>
      </c>
      <c r="AF37" s="214">
        <v>16638.705829999999</v>
      </c>
      <c r="AG37" s="214"/>
      <c r="AH37" s="214">
        <v>16638.705829999999</v>
      </c>
      <c r="AI37" s="214">
        <v>2.4270818059999999</v>
      </c>
      <c r="AJ37" s="214">
        <v>10.670656544</v>
      </c>
      <c r="AK37" s="214">
        <v>0.54641722500000001</v>
      </c>
      <c r="AL37" s="214">
        <v>7695</v>
      </c>
    </row>
    <row r="38" spans="1:38">
      <c r="A38" s="213">
        <v>210038</v>
      </c>
      <c r="B38" s="213" t="s">
        <v>341</v>
      </c>
      <c r="C38" s="214">
        <v>54630.9</v>
      </c>
      <c r="D38" s="214">
        <v>48798.1</v>
      </c>
      <c r="E38" s="214">
        <v>65043.3</v>
      </c>
      <c r="F38" s="214">
        <v>70664.100000000006</v>
      </c>
      <c r="G38" s="214">
        <f t="shared" si="7"/>
        <v>239136.4</v>
      </c>
      <c r="H38" s="214">
        <v>12256.94059</v>
      </c>
      <c r="I38" s="214">
        <v>5174</v>
      </c>
      <c r="J38" s="214">
        <f t="shared" si="0"/>
        <v>17430.940589999998</v>
      </c>
      <c r="K38" s="214">
        <v>14324.02822</v>
      </c>
      <c r="L38" s="214">
        <v>-9144</v>
      </c>
      <c r="M38" s="214">
        <v>7176.3975099999998</v>
      </c>
      <c r="N38" s="214">
        <v>7680</v>
      </c>
      <c r="O38" s="214">
        <v>37467.366320000001</v>
      </c>
      <c r="P38" s="214">
        <v>0</v>
      </c>
      <c r="Q38" s="214">
        <v>201669.03367999999</v>
      </c>
      <c r="R38" s="214">
        <v>239.19310999999999</v>
      </c>
      <c r="S38" s="214">
        <v>201908.22678999999</v>
      </c>
      <c r="T38" s="216">
        <f t="shared" si="1"/>
        <v>6.2125203482196766E-2</v>
      </c>
      <c r="U38" s="216">
        <f t="shared" si="2"/>
        <v>3.0009640983137655E-2</v>
      </c>
      <c r="V38" s="216">
        <f t="shared" si="3"/>
        <v>3.2115562499059114E-2</v>
      </c>
      <c r="W38" s="214">
        <f t="shared" si="4"/>
        <v>248280.4</v>
      </c>
      <c r="X38" s="214">
        <f t="shared" si="5"/>
        <v>210813.03367999999</v>
      </c>
      <c r="Y38" s="215">
        <f t="shared" si="6"/>
        <v>0.84332219469725223</v>
      </c>
      <c r="Z38" s="214">
        <v>69383.408807443004</v>
      </c>
      <c r="AA38" s="214">
        <v>23146</v>
      </c>
      <c r="AB38" s="214">
        <v>29853</v>
      </c>
      <c r="AC38" s="214">
        <v>13059.327019719</v>
      </c>
      <c r="AD38" s="214">
        <v>34878.826603344998</v>
      </c>
      <c r="AE38" s="214">
        <v>170320.56243050701</v>
      </c>
      <c r="AF38" s="214">
        <v>31587.664359492999</v>
      </c>
      <c r="AG38" s="214"/>
      <c r="AH38" s="214">
        <v>31587.664359492999</v>
      </c>
      <c r="AI38" s="214">
        <v>2.5351192010000001</v>
      </c>
      <c r="AJ38" s="214">
        <v>18.832487011000001</v>
      </c>
      <c r="AK38" s="214">
        <v>1.14128787</v>
      </c>
      <c r="AL38" s="214">
        <v>4526</v>
      </c>
    </row>
    <row r="39" spans="1:38">
      <c r="A39" s="213">
        <v>210039</v>
      </c>
      <c r="B39" s="213" t="s">
        <v>342</v>
      </c>
      <c r="C39" s="214">
        <v>27804</v>
      </c>
      <c r="D39" s="214">
        <v>23398.1</v>
      </c>
      <c r="E39" s="214">
        <v>38509</v>
      </c>
      <c r="F39" s="214">
        <v>59480.9</v>
      </c>
      <c r="G39" s="214">
        <f t="shared" si="7"/>
        <v>149192</v>
      </c>
      <c r="H39" s="214">
        <v>3644.5</v>
      </c>
      <c r="I39" s="214">
        <v>2545.8000000000002</v>
      </c>
      <c r="J39" s="214">
        <f t="shared" si="0"/>
        <v>6190.3</v>
      </c>
      <c r="K39" s="214">
        <v>11628.14206</v>
      </c>
      <c r="L39" s="214">
        <v>1799</v>
      </c>
      <c r="M39" s="214">
        <v>3408.3119900000002</v>
      </c>
      <c r="N39" s="214">
        <v>0</v>
      </c>
      <c r="O39" s="214">
        <v>23025.75405</v>
      </c>
      <c r="P39" s="214">
        <v>0</v>
      </c>
      <c r="Q39" s="214">
        <v>126166.24595</v>
      </c>
      <c r="R39" s="214">
        <v>2680.5413800000001</v>
      </c>
      <c r="S39" s="214">
        <v>128846.78733000001</v>
      </c>
      <c r="T39" s="216">
        <f t="shared" si="1"/>
        <v>2.2845139082524533E-2</v>
      </c>
      <c r="U39" s="216">
        <f t="shared" si="2"/>
        <v>2.2845139082524533E-2</v>
      </c>
      <c r="V39" s="216">
        <f t="shared" si="3"/>
        <v>0</v>
      </c>
      <c r="W39" s="214">
        <f t="shared" si="4"/>
        <v>147393</v>
      </c>
      <c r="X39" s="214">
        <f t="shared" si="5"/>
        <v>124367.24595</v>
      </c>
      <c r="Y39" s="215">
        <f t="shared" si="6"/>
        <v>0.84566361433588932</v>
      </c>
      <c r="Z39" s="214">
        <v>62282.983037022001</v>
      </c>
      <c r="AA39" s="214">
        <v>5902</v>
      </c>
      <c r="AB39" s="214">
        <v>21375</v>
      </c>
      <c r="AC39" s="214">
        <v>11431.129746864</v>
      </c>
      <c r="AD39" s="214">
        <v>14452.028274077</v>
      </c>
      <c r="AE39" s="214">
        <v>115443.141057963</v>
      </c>
      <c r="AF39" s="214">
        <v>13403.646272037</v>
      </c>
      <c r="AG39" s="214"/>
      <c r="AH39" s="214">
        <v>13403.646272037</v>
      </c>
      <c r="AI39" s="214">
        <v>2.7419008709999999</v>
      </c>
      <c r="AJ39" s="214">
        <v>9.8046700809999994</v>
      </c>
      <c r="AK39" s="214">
        <v>2.0808854609999998</v>
      </c>
      <c r="AL39" s="214">
        <v>5253</v>
      </c>
    </row>
    <row r="40" spans="1:38">
      <c r="A40" s="213">
        <v>210040</v>
      </c>
      <c r="B40" s="213" t="s">
        <v>67</v>
      </c>
      <c r="C40" s="214">
        <v>69060</v>
      </c>
      <c r="D40" s="214">
        <v>3361.6</v>
      </c>
      <c r="E40" s="214">
        <v>66501.100000000006</v>
      </c>
      <c r="F40" s="214">
        <v>119878.3</v>
      </c>
      <c r="G40" s="214">
        <f t="shared" si="7"/>
        <v>258801</v>
      </c>
      <c r="H40" s="214">
        <v>9711.4546399999999</v>
      </c>
      <c r="I40" s="214">
        <v>2734.2069999999999</v>
      </c>
      <c r="J40" s="214">
        <f t="shared" si="0"/>
        <v>12445.66164</v>
      </c>
      <c r="K40" s="214">
        <v>26848.637999999999</v>
      </c>
      <c r="L40" s="214">
        <v>0</v>
      </c>
      <c r="M40" s="214">
        <v>5429.0550000000003</v>
      </c>
      <c r="N40" s="214">
        <v>0</v>
      </c>
      <c r="O40" s="214">
        <v>44723.354639999998</v>
      </c>
      <c r="P40" s="214">
        <v>3024.0439999999999</v>
      </c>
      <c r="Q40" s="214">
        <v>217101.68935999999</v>
      </c>
      <c r="R40" s="214">
        <v>2173.5390000000002</v>
      </c>
      <c r="S40" s="214">
        <v>219275.22836000001</v>
      </c>
      <c r="T40" s="216">
        <f t="shared" si="1"/>
        <v>2.0977720333383566E-2</v>
      </c>
      <c r="U40" s="216">
        <f t="shared" si="2"/>
        <v>2.0977720333383566E-2</v>
      </c>
      <c r="V40" s="216">
        <f t="shared" si="3"/>
        <v>0</v>
      </c>
      <c r="W40" s="214">
        <f t="shared" si="4"/>
        <v>261825.04399999999</v>
      </c>
      <c r="X40" s="214">
        <f t="shared" si="5"/>
        <v>220125.73335999998</v>
      </c>
      <c r="Y40" s="215">
        <f t="shared" si="6"/>
        <v>0.83887500187402675</v>
      </c>
      <c r="Z40" s="214">
        <v>105650.60105000999</v>
      </c>
      <c r="AA40" s="214">
        <v>0</v>
      </c>
      <c r="AB40" s="214">
        <v>48451.714999999997</v>
      </c>
      <c r="AC40" s="214">
        <v>15566.991</v>
      </c>
      <c r="AD40" s="214">
        <v>12895.606</v>
      </c>
      <c r="AE40" s="214">
        <v>182564.91305000999</v>
      </c>
      <c r="AF40" s="214">
        <v>36710.315309990001</v>
      </c>
      <c r="AG40" s="214"/>
      <c r="AH40" s="214">
        <v>36710.315309990001</v>
      </c>
      <c r="AI40" s="214">
        <v>1.8931784599999999</v>
      </c>
      <c r="AJ40" s="214">
        <v>9.0002993500000006</v>
      </c>
      <c r="AK40" s="214">
        <v>0</v>
      </c>
      <c r="AL40" s="214">
        <v>10625</v>
      </c>
    </row>
    <row r="41" spans="1:38">
      <c r="A41" s="213">
        <v>210043</v>
      </c>
      <c r="B41" s="213" t="s">
        <v>362</v>
      </c>
      <c r="C41" s="214">
        <v>97731.3</v>
      </c>
      <c r="D41" s="214">
        <v>48289.7</v>
      </c>
      <c r="E41" s="214">
        <v>135240.79999999999</v>
      </c>
      <c r="F41" s="214">
        <v>135272.20000000001</v>
      </c>
      <c r="G41" s="214">
        <f t="shared" si="7"/>
        <v>416534</v>
      </c>
      <c r="H41" s="214">
        <v>19775</v>
      </c>
      <c r="I41" s="214">
        <v>6703</v>
      </c>
      <c r="J41" s="214">
        <f t="shared" si="0"/>
        <v>26478</v>
      </c>
      <c r="K41" s="214">
        <v>11880.849759999999</v>
      </c>
      <c r="L41" s="214">
        <v>0</v>
      </c>
      <c r="M41" s="214">
        <v>6347.5602200000003</v>
      </c>
      <c r="N41" s="214">
        <v>13759</v>
      </c>
      <c r="O41" s="214">
        <v>58465.409979999997</v>
      </c>
      <c r="P41" s="214">
        <v>3033</v>
      </c>
      <c r="Q41" s="214">
        <v>361101.59002</v>
      </c>
      <c r="R41" s="214">
        <v>1857.04537</v>
      </c>
      <c r="S41" s="214">
        <v>362958.63539000001</v>
      </c>
      <c r="T41" s="216">
        <f t="shared" si="1"/>
        <v>4.8271114050713743E-2</v>
      </c>
      <c r="U41" s="216">
        <f t="shared" si="2"/>
        <v>1.523899662452525E-2</v>
      </c>
      <c r="V41" s="216">
        <f t="shared" si="3"/>
        <v>3.3032117426188501E-2</v>
      </c>
      <c r="W41" s="214">
        <f t="shared" si="4"/>
        <v>419567</v>
      </c>
      <c r="X41" s="214">
        <f t="shared" si="5"/>
        <v>364134.59002</v>
      </c>
      <c r="Y41" s="215">
        <f t="shared" si="6"/>
        <v>0.86691984332611505</v>
      </c>
      <c r="Z41" s="214">
        <v>162966.16646187799</v>
      </c>
      <c r="AA41" s="214">
        <v>9560</v>
      </c>
      <c r="AB41" s="214">
        <v>66602</v>
      </c>
      <c r="AC41" s="214">
        <v>27894.836457993999</v>
      </c>
      <c r="AD41" s="214">
        <v>59006.852971403001</v>
      </c>
      <c r="AE41" s="214">
        <v>326029.85589127499</v>
      </c>
      <c r="AF41" s="214">
        <v>36928.779498725002</v>
      </c>
      <c r="AG41" s="214"/>
      <c r="AH41" s="214">
        <v>36928.779498725002</v>
      </c>
      <c r="AI41" s="214">
        <v>2.4868685780000002</v>
      </c>
      <c r="AJ41" s="214">
        <v>10.82656768</v>
      </c>
      <c r="AK41" s="214">
        <v>0.81204696499999995</v>
      </c>
      <c r="AL41" s="214">
        <v>16843</v>
      </c>
    </row>
    <row r="42" spans="1:38">
      <c r="A42" s="213">
        <v>210044</v>
      </c>
      <c r="B42" s="213" t="s">
        <v>71</v>
      </c>
      <c r="C42" s="214">
        <v>101644.5</v>
      </c>
      <c r="D42" s="214">
        <v>51148.5</v>
      </c>
      <c r="E42" s="214">
        <v>133907.6</v>
      </c>
      <c r="F42" s="214">
        <v>175942.67800000001</v>
      </c>
      <c r="G42" s="214">
        <f t="shared" si="7"/>
        <v>462643.27799999999</v>
      </c>
      <c r="H42" s="214">
        <v>13585.538</v>
      </c>
      <c r="I42" s="214">
        <v>1665.0550000000001</v>
      </c>
      <c r="J42" s="214">
        <f t="shared" si="0"/>
        <v>15250.593000000001</v>
      </c>
      <c r="K42" s="214">
        <v>44724.769679999998</v>
      </c>
      <c r="L42" s="214">
        <v>622.22</v>
      </c>
      <c r="M42" s="214">
        <v>4921.7173199999997</v>
      </c>
      <c r="N42" s="214">
        <v>0</v>
      </c>
      <c r="O42" s="214">
        <v>65519.3</v>
      </c>
      <c r="P42" s="214">
        <v>0</v>
      </c>
      <c r="Q42" s="214">
        <v>397123.978</v>
      </c>
      <c r="R42" s="214">
        <v>9200.7330000000002</v>
      </c>
      <c r="S42" s="214">
        <v>406324.71100000001</v>
      </c>
      <c r="T42" s="216">
        <f t="shared" si="1"/>
        <v>1.0638255334166987E-2</v>
      </c>
      <c r="U42" s="216">
        <f t="shared" si="2"/>
        <v>1.0638255334166987E-2</v>
      </c>
      <c r="V42" s="216">
        <f t="shared" si="3"/>
        <v>0</v>
      </c>
      <c r="W42" s="214">
        <f t="shared" si="4"/>
        <v>462021.05800000002</v>
      </c>
      <c r="X42" s="214">
        <f t="shared" si="5"/>
        <v>396501.75800000003</v>
      </c>
      <c r="Y42" s="215">
        <f t="shared" si="6"/>
        <v>0.85838052098532813</v>
      </c>
      <c r="Z42" s="214">
        <v>202491.701603917</v>
      </c>
      <c r="AA42" s="214">
        <v>0</v>
      </c>
      <c r="AB42" s="214">
        <v>79391</v>
      </c>
      <c r="AC42" s="214">
        <v>32186.174510000001</v>
      </c>
      <c r="AD42" s="214">
        <v>43381.565000000002</v>
      </c>
      <c r="AE42" s="214">
        <v>357450.44111391698</v>
      </c>
      <c r="AF42" s="214">
        <v>48874.269886082999</v>
      </c>
      <c r="AG42" s="214"/>
      <c r="AH42" s="214">
        <v>48874.269886082999</v>
      </c>
      <c r="AI42" s="214">
        <v>2.7209141790000002</v>
      </c>
      <c r="AJ42" s="214">
        <v>11.195484249</v>
      </c>
      <c r="AK42" s="214">
        <v>1.537041383</v>
      </c>
      <c r="AL42" s="214">
        <v>16447</v>
      </c>
    </row>
    <row r="43" spans="1:38">
      <c r="A43" s="213">
        <v>210045</v>
      </c>
      <c r="B43" s="213" t="s">
        <v>68</v>
      </c>
      <c r="C43" s="214">
        <v>1167.9000000000001</v>
      </c>
      <c r="D43" s="214">
        <v>2072.8000000000002</v>
      </c>
      <c r="E43" s="214">
        <v>3634.6</v>
      </c>
      <c r="F43" s="214">
        <v>10022.1</v>
      </c>
      <c r="G43" s="214">
        <f t="shared" si="7"/>
        <v>16897.400000000001</v>
      </c>
      <c r="H43" s="214">
        <v>470.69600000000003</v>
      </c>
      <c r="I43" s="214">
        <v>303.37200000000001</v>
      </c>
      <c r="J43" s="214">
        <f t="shared" si="0"/>
        <v>774.06799999999998</v>
      </c>
      <c r="K43" s="214">
        <v>1437.511</v>
      </c>
      <c r="L43" s="214">
        <v>211.124</v>
      </c>
      <c r="M43" s="214">
        <v>1140.6500000000001</v>
      </c>
      <c r="N43" s="214">
        <v>0</v>
      </c>
      <c r="O43" s="214">
        <v>3563.3530000000001</v>
      </c>
      <c r="P43" s="214">
        <v>0</v>
      </c>
      <c r="Q43" s="214">
        <v>13334.047</v>
      </c>
      <c r="R43" s="214">
        <v>269.14699999999999</v>
      </c>
      <c r="S43" s="214">
        <v>13603.194</v>
      </c>
      <c r="T43" s="216">
        <f t="shared" si="1"/>
        <v>6.7504468143027921E-2</v>
      </c>
      <c r="U43" s="216">
        <f t="shared" si="2"/>
        <v>6.7504468143027921E-2</v>
      </c>
      <c r="V43" s="216">
        <f t="shared" si="3"/>
        <v>0</v>
      </c>
      <c r="W43" s="214">
        <f t="shared" si="4"/>
        <v>16686.276000000002</v>
      </c>
      <c r="X43" s="214">
        <f t="shared" si="5"/>
        <v>13122.923000000001</v>
      </c>
      <c r="Y43" s="215">
        <f t="shared" si="6"/>
        <v>0.78911826671558938</v>
      </c>
      <c r="Z43" s="214">
        <v>8244.7196387669992</v>
      </c>
      <c r="AA43" s="214">
        <v>1817.058</v>
      </c>
      <c r="AB43" s="214">
        <v>1274.403</v>
      </c>
      <c r="AC43" s="214">
        <v>1236.0328569329999</v>
      </c>
      <c r="AD43" s="214">
        <v>2229.694319316</v>
      </c>
      <c r="AE43" s="214">
        <v>14801.907815015</v>
      </c>
      <c r="AF43" s="214">
        <v>-1198.7138150149999</v>
      </c>
      <c r="AG43" s="214"/>
      <c r="AH43" s="214">
        <v>-1198.7138150149999</v>
      </c>
      <c r="AI43" s="214">
        <v>4.8024303789999996</v>
      </c>
      <c r="AJ43" s="214">
        <v>15.995927801000001</v>
      </c>
      <c r="AK43" s="214">
        <v>2.1263170320000002</v>
      </c>
      <c r="AL43" s="214">
        <v>263</v>
      </c>
    </row>
    <row r="44" spans="1:38">
      <c r="A44" s="213">
        <v>210048</v>
      </c>
      <c r="B44" s="213" t="s">
        <v>363</v>
      </c>
      <c r="C44" s="214">
        <v>87036</v>
      </c>
      <c r="D44" s="214">
        <v>33778.800000000003</v>
      </c>
      <c r="E44" s="214">
        <v>99123.9</v>
      </c>
      <c r="F44" s="214">
        <v>83097.8</v>
      </c>
      <c r="G44" s="214">
        <f t="shared" si="7"/>
        <v>303036.5</v>
      </c>
      <c r="H44" s="214">
        <v>5379</v>
      </c>
      <c r="I44" s="214">
        <v>3368</v>
      </c>
      <c r="J44" s="214">
        <f t="shared" si="0"/>
        <v>8747</v>
      </c>
      <c r="K44" s="214">
        <v>28378.156999999999</v>
      </c>
      <c r="L44" s="214">
        <v>0</v>
      </c>
      <c r="M44" s="214">
        <v>6073.8429999999998</v>
      </c>
      <c r="N44" s="214">
        <v>0</v>
      </c>
      <c r="O44" s="214">
        <v>43199</v>
      </c>
      <c r="P44" s="214">
        <v>0</v>
      </c>
      <c r="Q44" s="214">
        <v>259837.5</v>
      </c>
      <c r="R44" s="214">
        <v>854.09</v>
      </c>
      <c r="S44" s="214">
        <v>260691.59</v>
      </c>
      <c r="T44" s="216">
        <f t="shared" si="1"/>
        <v>2.004327201508729E-2</v>
      </c>
      <c r="U44" s="216">
        <f t="shared" si="2"/>
        <v>2.004327201508729E-2</v>
      </c>
      <c r="V44" s="216">
        <f t="shared" si="3"/>
        <v>0</v>
      </c>
      <c r="W44" s="214">
        <f t="shared" si="4"/>
        <v>303036.5</v>
      </c>
      <c r="X44" s="214">
        <f t="shared" si="5"/>
        <v>259837.5</v>
      </c>
      <c r="Y44" s="215">
        <f t="shared" si="6"/>
        <v>0.85744621522489861</v>
      </c>
      <c r="Z44" s="214">
        <v>124054.25426</v>
      </c>
      <c r="AA44" s="214">
        <v>28220.03</v>
      </c>
      <c r="AB44" s="214">
        <v>38953.406000000003</v>
      </c>
      <c r="AC44" s="214">
        <v>13986.641</v>
      </c>
      <c r="AD44" s="214">
        <v>42075.514000000003</v>
      </c>
      <c r="AE44" s="214">
        <v>247289.84526</v>
      </c>
      <c r="AF44" s="214">
        <v>13401.74474</v>
      </c>
      <c r="AG44" s="214"/>
      <c r="AH44" s="214">
        <v>13401.74474</v>
      </c>
      <c r="AI44" s="214">
        <v>2.052973605</v>
      </c>
      <c r="AJ44" s="214">
        <v>8.663469289</v>
      </c>
      <c r="AK44" s="214">
        <v>0.94998671999999995</v>
      </c>
      <c r="AL44" s="214">
        <v>17489</v>
      </c>
    </row>
    <row r="45" spans="1:38">
      <c r="A45" s="213">
        <v>210049</v>
      </c>
      <c r="B45" s="213" t="s">
        <v>364</v>
      </c>
      <c r="C45" s="214">
        <v>43912</v>
      </c>
      <c r="D45" s="214">
        <v>43640.7</v>
      </c>
      <c r="E45" s="214">
        <v>88829.4</v>
      </c>
      <c r="F45" s="214">
        <v>165033.9</v>
      </c>
      <c r="G45" s="214">
        <f t="shared" si="7"/>
        <v>341416</v>
      </c>
      <c r="H45" s="214">
        <v>9860.9498100000001</v>
      </c>
      <c r="I45" s="214">
        <v>3014</v>
      </c>
      <c r="J45" s="214">
        <f t="shared" si="0"/>
        <v>12874.94981</v>
      </c>
      <c r="K45" s="214">
        <v>16754.087390000001</v>
      </c>
      <c r="L45" s="214">
        <v>285</v>
      </c>
      <c r="M45" s="214">
        <v>4048.02835</v>
      </c>
      <c r="N45" s="214">
        <v>11332</v>
      </c>
      <c r="O45" s="214">
        <v>45294.065549999999</v>
      </c>
      <c r="P45" s="214">
        <v>0</v>
      </c>
      <c r="Q45" s="214">
        <v>296121.93445</v>
      </c>
      <c r="R45" s="214">
        <v>2507.7311800000002</v>
      </c>
      <c r="S45" s="214">
        <v>298629.66563</v>
      </c>
      <c r="T45" s="216">
        <f t="shared" si="1"/>
        <v>4.5047766800618602E-2</v>
      </c>
      <c r="U45" s="216">
        <f t="shared" si="2"/>
        <v>1.1856586539588069E-2</v>
      </c>
      <c r="V45" s="216">
        <f t="shared" si="3"/>
        <v>3.3191180261030531E-2</v>
      </c>
      <c r="W45" s="214">
        <f t="shared" si="4"/>
        <v>341131</v>
      </c>
      <c r="X45" s="214">
        <f t="shared" si="5"/>
        <v>295836.93445</v>
      </c>
      <c r="Y45" s="215">
        <f t="shared" si="6"/>
        <v>0.8673346722180566</v>
      </c>
      <c r="Z45" s="214">
        <v>138382.56017703199</v>
      </c>
      <c r="AA45" s="214">
        <v>10016</v>
      </c>
      <c r="AB45" s="214">
        <v>67028</v>
      </c>
      <c r="AC45" s="214">
        <v>16517.102023162999</v>
      </c>
      <c r="AD45" s="214">
        <v>39798.895323331999</v>
      </c>
      <c r="AE45" s="214">
        <v>271742.55752352701</v>
      </c>
      <c r="AF45" s="214">
        <v>26887.108106472999</v>
      </c>
      <c r="AG45" s="214"/>
      <c r="AH45" s="214">
        <v>26887.108106472999</v>
      </c>
      <c r="AI45" s="214">
        <v>2.4531008000000001</v>
      </c>
      <c r="AJ45" s="214">
        <v>9.3028528510000008</v>
      </c>
      <c r="AK45" s="214">
        <v>1.512285082</v>
      </c>
      <c r="AL45" s="214">
        <v>11357</v>
      </c>
    </row>
    <row r="46" spans="1:38">
      <c r="A46" s="213">
        <v>210051</v>
      </c>
      <c r="B46" s="213" t="s">
        <v>365</v>
      </c>
      <c r="C46" s="214">
        <v>65282.2</v>
      </c>
      <c r="D46" s="214">
        <v>29320</v>
      </c>
      <c r="E46" s="214">
        <v>75384.399999999994</v>
      </c>
      <c r="F46" s="214">
        <v>62595.1</v>
      </c>
      <c r="G46" s="214">
        <f t="shared" si="7"/>
        <v>232581.69999999998</v>
      </c>
      <c r="H46" s="214">
        <v>4165.9903899999999</v>
      </c>
      <c r="I46" s="214">
        <v>6756.7398000000003</v>
      </c>
      <c r="J46" s="214">
        <f t="shared" si="0"/>
        <v>10922.73019</v>
      </c>
      <c r="K46" s="214">
        <v>19611.40209</v>
      </c>
      <c r="L46" s="214">
        <v>0</v>
      </c>
      <c r="M46" s="214">
        <v>4419.6931100000002</v>
      </c>
      <c r="N46" s="214">
        <v>0</v>
      </c>
      <c r="O46" s="214">
        <v>34953.825389999998</v>
      </c>
      <c r="P46" s="214">
        <v>3818.52</v>
      </c>
      <c r="Q46" s="214">
        <v>201446.39460999999</v>
      </c>
      <c r="R46" s="214">
        <v>-378.27478000000002</v>
      </c>
      <c r="S46" s="214">
        <v>201068.11983000001</v>
      </c>
      <c r="T46" s="216">
        <f t="shared" si="1"/>
        <v>1.9002755203870299E-2</v>
      </c>
      <c r="U46" s="216">
        <f t="shared" si="2"/>
        <v>1.9002755203870299E-2</v>
      </c>
      <c r="V46" s="216">
        <f t="shared" si="3"/>
        <v>0</v>
      </c>
      <c r="W46" s="214">
        <f t="shared" si="4"/>
        <v>236400.21999999997</v>
      </c>
      <c r="X46" s="214">
        <f t="shared" si="5"/>
        <v>205264.91460999998</v>
      </c>
      <c r="Y46" s="215">
        <f t="shared" si="6"/>
        <v>0.86613174901550727</v>
      </c>
      <c r="Z46" s="214">
        <v>95585.974622780996</v>
      </c>
      <c r="AA46" s="214">
        <v>0</v>
      </c>
      <c r="AB46" s="214">
        <v>38653.103999999999</v>
      </c>
      <c r="AC46" s="214">
        <v>9958.9956829959992</v>
      </c>
      <c r="AD46" s="214">
        <v>41808.454730026999</v>
      </c>
      <c r="AE46" s="214">
        <v>186006.52903580401</v>
      </c>
      <c r="AF46" s="214">
        <v>15061.590794195999</v>
      </c>
      <c r="AG46" s="214"/>
      <c r="AH46" s="214">
        <v>15061.590794195999</v>
      </c>
      <c r="AI46" s="214">
        <v>2.0645567759999999</v>
      </c>
      <c r="AJ46" s="214">
        <v>11.275701732</v>
      </c>
      <c r="AK46" s="214">
        <v>1.7438926690000001</v>
      </c>
      <c r="AL46" s="214">
        <v>9977</v>
      </c>
    </row>
    <row r="47" spans="1:38">
      <c r="A47" s="213">
        <v>210055</v>
      </c>
      <c r="B47" s="213" t="s">
        <v>72</v>
      </c>
      <c r="C47" s="214">
        <v>24540.6</v>
      </c>
      <c r="D47" s="214">
        <v>17603.5</v>
      </c>
      <c r="E47" s="214">
        <v>34791.800000000003</v>
      </c>
      <c r="F47" s="214">
        <v>23555.9</v>
      </c>
      <c r="G47" s="214">
        <f t="shared" si="7"/>
        <v>100491.79999999999</v>
      </c>
      <c r="H47" s="214">
        <v>8017.8946100000003</v>
      </c>
      <c r="I47" s="214">
        <v>2521.3647799999999</v>
      </c>
      <c r="J47" s="214">
        <f t="shared" si="0"/>
        <v>10539.259389999999</v>
      </c>
      <c r="K47" s="214">
        <v>9451.0715999999993</v>
      </c>
      <c r="L47" s="214">
        <v>0</v>
      </c>
      <c r="M47" s="214">
        <v>2538.2959999999998</v>
      </c>
      <c r="N47" s="214">
        <v>21.7</v>
      </c>
      <c r="O47" s="214">
        <v>22550.326990000001</v>
      </c>
      <c r="P47" s="214">
        <v>3736.7159999999999</v>
      </c>
      <c r="Q47" s="214">
        <v>81678.189010000002</v>
      </c>
      <c r="R47" s="214">
        <v>120.76027999999999</v>
      </c>
      <c r="S47" s="214">
        <v>81798.949290000004</v>
      </c>
      <c r="T47" s="216">
        <f t="shared" si="1"/>
        <v>2.5474675545666414E-2</v>
      </c>
      <c r="U47" s="216">
        <f t="shared" si="2"/>
        <v>2.5258737528833199E-2</v>
      </c>
      <c r="V47" s="216">
        <f t="shared" si="3"/>
        <v>2.1593801683321426E-4</v>
      </c>
      <c r="W47" s="214">
        <f t="shared" si="4"/>
        <v>104228.51599999999</v>
      </c>
      <c r="X47" s="214">
        <f t="shared" si="5"/>
        <v>85414.905010000002</v>
      </c>
      <c r="Y47" s="215">
        <f t="shared" si="6"/>
        <v>0.81278461536165147</v>
      </c>
      <c r="Z47" s="214">
        <v>45373.758000000002</v>
      </c>
      <c r="AA47" s="214">
        <v>5310.12</v>
      </c>
      <c r="AB47" s="214">
        <v>11863.465</v>
      </c>
      <c r="AC47" s="214">
        <v>3945.0079999999998</v>
      </c>
      <c r="AD47" s="214">
        <v>15328.255999999999</v>
      </c>
      <c r="AE47" s="214">
        <v>81820.607000000004</v>
      </c>
      <c r="AF47" s="214">
        <v>-21.657710000000002</v>
      </c>
      <c r="AG47" s="214"/>
      <c r="AH47" s="214">
        <v>-21.657710000000002</v>
      </c>
      <c r="AI47" s="214">
        <v>2.190168581</v>
      </c>
      <c r="AJ47" s="214">
        <v>12.827526518999999</v>
      </c>
      <c r="AK47" s="214">
        <v>0.75339805800000004</v>
      </c>
      <c r="AL47" s="214">
        <v>3766</v>
      </c>
    </row>
    <row r="48" spans="1:38">
      <c r="A48" s="213">
        <v>210056</v>
      </c>
      <c r="B48" s="213" t="s">
        <v>366</v>
      </c>
      <c r="C48" s="214">
        <v>66472.600000000006</v>
      </c>
      <c r="D48" s="214">
        <v>40893.599999999999</v>
      </c>
      <c r="E48" s="214">
        <v>91736.5</v>
      </c>
      <c r="F48" s="214">
        <v>98475.1</v>
      </c>
      <c r="G48" s="214">
        <f t="shared" si="7"/>
        <v>297577.80000000005</v>
      </c>
      <c r="H48" s="214">
        <v>7948.2158600000002</v>
      </c>
      <c r="I48" s="214">
        <v>3854.2615000000001</v>
      </c>
      <c r="J48" s="214">
        <f t="shared" si="0"/>
        <v>11802.477360000001</v>
      </c>
      <c r="K48" s="214">
        <v>32350.048136000001</v>
      </c>
      <c r="L48" s="214">
        <v>695.08799999999997</v>
      </c>
      <c r="M48" s="214">
        <v>5037.9163900000003</v>
      </c>
      <c r="N48" s="214">
        <v>-2785.5952699999998</v>
      </c>
      <c r="O48" s="214">
        <v>47099.934615999999</v>
      </c>
      <c r="P48" s="214">
        <v>0</v>
      </c>
      <c r="Q48" s="214">
        <v>250477.865384</v>
      </c>
      <c r="R48" s="214">
        <v>3178.499648</v>
      </c>
      <c r="S48" s="214">
        <v>253656.365032</v>
      </c>
      <c r="T48" s="216">
        <f t="shared" si="1"/>
        <v>7.5688479449743905E-3</v>
      </c>
      <c r="U48" s="216">
        <f t="shared" si="2"/>
        <v>1.6929745397674154E-2</v>
      </c>
      <c r="V48" s="216">
        <f t="shared" si="3"/>
        <v>-9.3608974526997631E-3</v>
      </c>
      <c r="W48" s="214">
        <f t="shared" si="4"/>
        <v>296882.71200000006</v>
      </c>
      <c r="X48" s="214">
        <f t="shared" si="5"/>
        <v>249782.77738400002</v>
      </c>
      <c r="Y48" s="215">
        <f t="shared" si="6"/>
        <v>0.84172228366497759</v>
      </c>
      <c r="Z48" s="214">
        <v>125763.04673648901</v>
      </c>
      <c r="AA48" s="214">
        <v>0</v>
      </c>
      <c r="AB48" s="214">
        <v>35445.017238</v>
      </c>
      <c r="AC48" s="214">
        <v>15100.251585373</v>
      </c>
      <c r="AD48" s="214">
        <v>41603.086636073</v>
      </c>
      <c r="AE48" s="214">
        <v>217911.40219593601</v>
      </c>
      <c r="AF48" s="214">
        <v>35744.962836065002</v>
      </c>
      <c r="AG48" s="214"/>
      <c r="AH48" s="214">
        <v>35744.962836065002</v>
      </c>
      <c r="AI48" s="214">
        <v>2.45245472</v>
      </c>
      <c r="AJ48" s="214">
        <v>12.613404568</v>
      </c>
      <c r="AK48" s="214">
        <v>1.181057171</v>
      </c>
      <c r="AL48" s="214">
        <v>9185</v>
      </c>
    </row>
    <row r="49" spans="1:38">
      <c r="A49" s="213">
        <v>210057</v>
      </c>
      <c r="B49" s="213" t="s">
        <v>69</v>
      </c>
      <c r="C49" s="214">
        <v>99639.4</v>
      </c>
      <c r="D49" s="214">
        <v>47399.1</v>
      </c>
      <c r="E49" s="214">
        <v>135573.29999999999</v>
      </c>
      <c r="F49" s="214">
        <v>118715.8</v>
      </c>
      <c r="G49" s="214">
        <f t="shared" si="7"/>
        <v>401327.6</v>
      </c>
      <c r="H49" s="214">
        <v>11501.409</v>
      </c>
      <c r="I49" s="214">
        <v>2338.3049999999998</v>
      </c>
      <c r="J49" s="214">
        <f t="shared" si="0"/>
        <v>13839.714</v>
      </c>
      <c r="K49" s="214">
        <v>32948.671000000002</v>
      </c>
      <c r="L49" s="214">
        <v>0</v>
      </c>
      <c r="M49" s="214">
        <v>6777.308</v>
      </c>
      <c r="N49" s="214">
        <v>1762.7329999999999</v>
      </c>
      <c r="O49" s="214">
        <v>55328.425999999999</v>
      </c>
      <c r="P49" s="214">
        <v>402.46499999999997</v>
      </c>
      <c r="Q49" s="214">
        <v>346401.63900000002</v>
      </c>
      <c r="R49" s="214">
        <v>130.04399999999987</v>
      </c>
      <c r="S49" s="214">
        <v>346531.68300000002</v>
      </c>
      <c r="T49" s="216">
        <f t="shared" si="1"/>
        <v>2.1279475919423432E-2</v>
      </c>
      <c r="U49" s="216">
        <f t="shared" si="2"/>
        <v>1.6887221312463934E-2</v>
      </c>
      <c r="V49" s="216">
        <f t="shared" si="3"/>
        <v>4.3922546069595017E-3</v>
      </c>
      <c r="W49" s="214">
        <f t="shared" si="4"/>
        <v>401730.065</v>
      </c>
      <c r="X49" s="214">
        <f t="shared" si="5"/>
        <v>346804.10400000005</v>
      </c>
      <c r="Y49" s="215">
        <f t="shared" si="6"/>
        <v>0.86313933803705511</v>
      </c>
      <c r="Z49" s="214">
        <v>158598.43433000002</v>
      </c>
      <c r="AA49" s="214">
        <v>18042.922999999999</v>
      </c>
      <c r="AB49" s="214">
        <v>54806.455999999998</v>
      </c>
      <c r="AC49" s="214">
        <v>23955.492000000002</v>
      </c>
      <c r="AD49" s="214">
        <v>51982.00499999999</v>
      </c>
      <c r="AE49" s="214">
        <v>307385.31033000001</v>
      </c>
      <c r="AF49" s="214">
        <v>39146.372670000012</v>
      </c>
      <c r="AG49" s="214">
        <v>0</v>
      </c>
      <c r="AH49" s="214">
        <v>39146.372670000012</v>
      </c>
      <c r="AI49" s="214">
        <v>2.4973581110674998</v>
      </c>
      <c r="AJ49" s="214">
        <v>10.57553952348786</v>
      </c>
      <c r="AK49" s="214">
        <v>4.4625245690718849</v>
      </c>
      <c r="AL49" s="214">
        <v>16681</v>
      </c>
    </row>
    <row r="50" spans="1:38">
      <c r="A50" s="213">
        <v>210058</v>
      </c>
      <c r="B50" s="213" t="s">
        <v>367</v>
      </c>
      <c r="C50" s="214">
        <v>36996.800000000003</v>
      </c>
      <c r="D50" s="214">
        <v>10117.6</v>
      </c>
      <c r="E50" s="214">
        <v>35085.300000000003</v>
      </c>
      <c r="F50" s="214">
        <v>42087.1</v>
      </c>
      <c r="G50" s="214">
        <f t="shared" si="7"/>
        <v>124286.80000000002</v>
      </c>
      <c r="H50" s="214">
        <v>5080.0472300000001</v>
      </c>
      <c r="I50" s="214">
        <v>2271</v>
      </c>
      <c r="J50" s="214">
        <f t="shared" si="0"/>
        <v>7351.0472300000001</v>
      </c>
      <c r="K50" s="214">
        <v>3393.3351699999998</v>
      </c>
      <c r="L50" s="214">
        <v>0</v>
      </c>
      <c r="M50" s="214">
        <v>2107.9527699999999</v>
      </c>
      <c r="N50" s="214">
        <v>4195</v>
      </c>
      <c r="O50" s="214">
        <v>17047.335169999998</v>
      </c>
      <c r="P50" s="214">
        <v>11</v>
      </c>
      <c r="Q50" s="214">
        <v>107250.46483</v>
      </c>
      <c r="R50" s="214">
        <v>683.38145999999995</v>
      </c>
      <c r="S50" s="214">
        <v>107933.84629</v>
      </c>
      <c r="T50" s="216">
        <f t="shared" si="1"/>
        <v>5.0712970082100427E-2</v>
      </c>
      <c r="U50" s="216">
        <f t="shared" si="2"/>
        <v>1.6960391368994934E-2</v>
      </c>
      <c r="V50" s="216">
        <f t="shared" si="3"/>
        <v>3.375257871310549E-2</v>
      </c>
      <c r="W50" s="214">
        <f t="shared" si="4"/>
        <v>124297.80000000002</v>
      </c>
      <c r="X50" s="214">
        <f t="shared" si="5"/>
        <v>107261.46483</v>
      </c>
      <c r="Y50" s="215">
        <f t="shared" si="6"/>
        <v>0.86292723627931511</v>
      </c>
      <c r="Z50" s="214">
        <v>50911.593368540001</v>
      </c>
      <c r="AA50" s="214">
        <v>8867</v>
      </c>
      <c r="AB50" s="214">
        <v>15379</v>
      </c>
      <c r="AC50" s="214">
        <v>6826.2081099999996</v>
      </c>
      <c r="AD50" s="214">
        <v>21687.661705822</v>
      </c>
      <c r="AE50" s="214">
        <v>103671.463184362</v>
      </c>
      <c r="AF50" s="214">
        <v>4262.3831056380004</v>
      </c>
      <c r="AG50" s="214"/>
      <c r="AH50" s="214">
        <v>4262.3831056380004</v>
      </c>
      <c r="AI50" s="214">
        <v>1.7891420760000001</v>
      </c>
      <c r="AJ50" s="214">
        <v>22.818169647000001</v>
      </c>
      <c r="AK50" s="214">
        <v>5.9753138559999996</v>
      </c>
      <c r="AL50" s="214">
        <v>2635</v>
      </c>
    </row>
    <row r="51" spans="1:38">
      <c r="A51" s="213">
        <v>210060</v>
      </c>
      <c r="B51" s="213" t="s">
        <v>343</v>
      </c>
      <c r="C51" s="214">
        <v>6869.9570000000003</v>
      </c>
      <c r="D51" s="214">
        <v>10815.86</v>
      </c>
      <c r="E51" s="214">
        <v>12664.286</v>
      </c>
      <c r="F51" s="214">
        <v>18694.544000000002</v>
      </c>
      <c r="G51" s="214">
        <f t="shared" si="7"/>
        <v>49044.647000000004</v>
      </c>
      <c r="H51" s="214">
        <v>3206.261</v>
      </c>
      <c r="I51" s="214">
        <v>992.21199999999999</v>
      </c>
      <c r="J51" s="214">
        <f t="shared" si="0"/>
        <v>4198.473</v>
      </c>
      <c r="K51" s="214">
        <v>2624.7250000000004</v>
      </c>
      <c r="L51" s="214">
        <v>0</v>
      </c>
      <c r="M51" s="214">
        <v>1320.7</v>
      </c>
      <c r="N51" s="214">
        <v>1686.2619999999999</v>
      </c>
      <c r="O51" s="214">
        <v>9830.16</v>
      </c>
      <c r="P51" s="214">
        <v>2253.5010000000002</v>
      </c>
      <c r="Q51" s="214">
        <v>41467.988000000012</v>
      </c>
      <c r="R51" s="214">
        <v>617.73900000000003</v>
      </c>
      <c r="S51" s="214">
        <v>42085.727000000014</v>
      </c>
      <c r="T51" s="216">
        <f t="shared" si="1"/>
        <v>6.1310707364251184E-2</v>
      </c>
      <c r="U51" s="216">
        <f t="shared" si="2"/>
        <v>2.692852494177397E-2</v>
      </c>
      <c r="V51" s="216">
        <f t="shared" si="3"/>
        <v>3.438218242247721E-2</v>
      </c>
      <c r="W51" s="214">
        <f t="shared" si="4"/>
        <v>51298.148000000001</v>
      </c>
      <c r="X51" s="214">
        <f t="shared" si="5"/>
        <v>43721.489000000016</v>
      </c>
      <c r="Y51" s="215">
        <f t="shared" si="6"/>
        <v>0.84551506711833424</v>
      </c>
      <c r="Z51" s="214">
        <v>24056.89847227581</v>
      </c>
      <c r="AA51" s="214">
        <v>2330.6854699999994</v>
      </c>
      <c r="AB51" s="214">
        <v>3214.6484099999998</v>
      </c>
      <c r="AC51" s="214">
        <v>1469.8</v>
      </c>
      <c r="AD51" s="214">
        <v>9886.0356647590997</v>
      </c>
      <c r="AE51" s="214">
        <v>40958.068017034908</v>
      </c>
      <c r="AF51" s="214">
        <v>1127.6589829651057</v>
      </c>
      <c r="AG51" s="214">
        <v>0</v>
      </c>
      <c r="AH51" s="214">
        <v>1127.6589829651057</v>
      </c>
      <c r="AI51" s="214">
        <v>2.1728020972683573</v>
      </c>
      <c r="AJ51" s="214">
        <v>7.7424765763126837</v>
      </c>
      <c r="AK51" s="214">
        <v>1.0797450834823104</v>
      </c>
      <c r="AL51" s="214">
        <v>2107</v>
      </c>
    </row>
    <row r="52" spans="1:38">
      <c r="A52" s="213">
        <v>210061</v>
      </c>
      <c r="B52" s="213" t="s">
        <v>73</v>
      </c>
      <c r="C52" s="214">
        <v>12724.1</v>
      </c>
      <c r="D52" s="214">
        <v>27779</v>
      </c>
      <c r="E52" s="214">
        <v>25449.7</v>
      </c>
      <c r="F52" s="214">
        <v>41312.300000000003</v>
      </c>
      <c r="G52" s="214">
        <f t="shared" si="7"/>
        <v>107265.1</v>
      </c>
      <c r="H52" s="214">
        <v>3551.8</v>
      </c>
      <c r="I52" s="214">
        <v>2465.6</v>
      </c>
      <c r="J52" s="214">
        <f t="shared" si="0"/>
        <v>6017.4</v>
      </c>
      <c r="K52" s="214">
        <v>6119.84069</v>
      </c>
      <c r="L52" s="214">
        <v>512.6</v>
      </c>
      <c r="M52" s="214">
        <v>818.45930999999996</v>
      </c>
      <c r="N52" s="214">
        <v>2665.8</v>
      </c>
      <c r="O52" s="214">
        <v>16134.1</v>
      </c>
      <c r="P52" s="214">
        <v>0</v>
      </c>
      <c r="Q52" s="214">
        <v>91131</v>
      </c>
      <c r="R52" s="214">
        <v>361.03899999999999</v>
      </c>
      <c r="S52" s="214">
        <v>91492.039000000004</v>
      </c>
      <c r="T52" s="216">
        <f t="shared" si="1"/>
        <v>3.2482692972830865E-2</v>
      </c>
      <c r="U52" s="216">
        <f t="shared" si="2"/>
        <v>7.6302479557656677E-3</v>
      </c>
      <c r="V52" s="216">
        <f t="shared" si="3"/>
        <v>2.4852445017065197E-2</v>
      </c>
      <c r="W52" s="214">
        <f t="shared" si="4"/>
        <v>106752.5</v>
      </c>
      <c r="X52" s="214">
        <f t="shared" si="5"/>
        <v>90618.4</v>
      </c>
      <c r="Y52" s="215">
        <f t="shared" si="6"/>
        <v>0.84958667823924083</v>
      </c>
      <c r="Z52" s="214">
        <v>38384.610314621001</v>
      </c>
      <c r="AA52" s="214">
        <v>8182.1170000000002</v>
      </c>
      <c r="AB52" s="214">
        <v>17510.601999999999</v>
      </c>
      <c r="AC52" s="214">
        <v>6663.7071606910004</v>
      </c>
      <c r="AD52" s="214">
        <v>6976.1399026640001</v>
      </c>
      <c r="AE52" s="214">
        <v>77717.176377975004</v>
      </c>
      <c r="AF52" s="214">
        <v>13774.862622025001</v>
      </c>
      <c r="AG52" s="214"/>
      <c r="AH52" s="214">
        <v>13774.862622025001</v>
      </c>
      <c r="AI52" s="214">
        <v>2.402554147</v>
      </c>
      <c r="AJ52" s="214">
        <v>8.4607535469999995</v>
      </c>
      <c r="AK52" s="214">
        <v>2.3668520829999999</v>
      </c>
      <c r="AL52" s="214">
        <v>3269</v>
      </c>
    </row>
    <row r="53" spans="1:38">
      <c r="A53" s="213">
        <v>210062</v>
      </c>
      <c r="B53" s="213" t="s">
        <v>368</v>
      </c>
      <c r="C53" s="214">
        <v>66691.5</v>
      </c>
      <c r="D53" s="214">
        <v>28647.599999999999</v>
      </c>
      <c r="E53" s="214">
        <v>96586.2</v>
      </c>
      <c r="F53" s="214">
        <v>78397.399999999994</v>
      </c>
      <c r="G53" s="214">
        <f t="shared" si="7"/>
        <v>270322.69999999995</v>
      </c>
      <c r="H53" s="214">
        <v>8764.9349999999995</v>
      </c>
      <c r="I53" s="214">
        <v>3014.0417400000001</v>
      </c>
      <c r="J53" s="214">
        <f t="shared" si="0"/>
        <v>11778.97674</v>
      </c>
      <c r="K53" s="214">
        <v>25232.95678</v>
      </c>
      <c r="L53" s="214">
        <v>0</v>
      </c>
      <c r="M53" s="214">
        <v>7552.0814300000002</v>
      </c>
      <c r="N53" s="214">
        <v>199.9</v>
      </c>
      <c r="O53" s="214">
        <v>44763.914949999998</v>
      </c>
      <c r="P53" s="214">
        <v>2353.0680000000002</v>
      </c>
      <c r="Q53" s="214">
        <v>227911.85305000001</v>
      </c>
      <c r="R53" s="214">
        <v>9207.73452</v>
      </c>
      <c r="S53" s="214">
        <v>237119.58757</v>
      </c>
      <c r="T53" s="216">
        <f t="shared" si="1"/>
        <v>2.867676828472045E-2</v>
      </c>
      <c r="U53" s="216">
        <f t="shared" si="2"/>
        <v>2.7937281737715706E-2</v>
      </c>
      <c r="V53" s="216">
        <f t="shared" si="3"/>
        <v>7.3948654700474665E-4</v>
      </c>
      <c r="W53" s="214">
        <f t="shared" si="4"/>
        <v>272675.76799999998</v>
      </c>
      <c r="X53" s="214">
        <f t="shared" si="5"/>
        <v>230264.92105</v>
      </c>
      <c r="Y53" s="215">
        <f t="shared" si="6"/>
        <v>0.84311030131764753</v>
      </c>
      <c r="Z53" s="214">
        <v>106835.142971582</v>
      </c>
      <c r="AA53" s="214">
        <v>0</v>
      </c>
      <c r="AB53" s="214">
        <v>32563.828871000002</v>
      </c>
      <c r="AC53" s="214">
        <v>13759.601222585001</v>
      </c>
      <c r="AD53" s="214">
        <v>59230.542319647</v>
      </c>
      <c r="AE53" s="214">
        <v>212389.11538481299</v>
      </c>
      <c r="AF53" s="214">
        <v>24730.472185187002</v>
      </c>
      <c r="AG53" s="214"/>
      <c r="AH53" s="214">
        <v>24730.472185187002</v>
      </c>
      <c r="AI53" s="214">
        <v>2.7324376909999999</v>
      </c>
      <c r="AJ53" s="214">
        <v>12.201380125</v>
      </c>
      <c r="AK53" s="214">
        <v>1.00193602</v>
      </c>
      <c r="AL53" s="214">
        <v>10652</v>
      </c>
    </row>
    <row r="54" spans="1:38">
      <c r="A54" s="213">
        <v>210063</v>
      </c>
      <c r="B54" s="213" t="s">
        <v>369</v>
      </c>
      <c r="C54" s="214">
        <v>85159.7</v>
      </c>
      <c r="D54" s="214">
        <v>36884.699999999997</v>
      </c>
      <c r="E54" s="214">
        <v>158413.1</v>
      </c>
      <c r="F54" s="214">
        <v>127719.4</v>
      </c>
      <c r="G54" s="214">
        <f t="shared" si="7"/>
        <v>408176.9</v>
      </c>
      <c r="H54" s="214">
        <v>10684.08505</v>
      </c>
      <c r="I54" s="214">
        <v>6131.7715099999996</v>
      </c>
      <c r="J54" s="214">
        <f t="shared" si="0"/>
        <v>16815.85656</v>
      </c>
      <c r="K54" s="214">
        <v>12699.11335</v>
      </c>
      <c r="L54" s="214">
        <v>2865</v>
      </c>
      <c r="M54" s="214">
        <v>5193.8866500000004</v>
      </c>
      <c r="N54" s="214">
        <v>11102.9</v>
      </c>
      <c r="O54" s="214">
        <v>48676.756560000002</v>
      </c>
      <c r="P54" s="214">
        <v>0</v>
      </c>
      <c r="Q54" s="214">
        <v>359500.14344000001</v>
      </c>
      <c r="R54" s="214">
        <v>570.45617000000004</v>
      </c>
      <c r="S54" s="214">
        <v>360070.59960999998</v>
      </c>
      <c r="T54" s="216">
        <f t="shared" si="1"/>
        <v>3.9925793571365747E-2</v>
      </c>
      <c r="U54" s="216">
        <f t="shared" si="2"/>
        <v>1.2724597227329621E-2</v>
      </c>
      <c r="V54" s="216">
        <f t="shared" si="3"/>
        <v>2.7201196344036126E-2</v>
      </c>
      <c r="W54" s="214">
        <f t="shared" si="4"/>
        <v>405311.9</v>
      </c>
      <c r="X54" s="214">
        <f t="shared" si="5"/>
        <v>356635.14344000001</v>
      </c>
      <c r="Y54" s="215">
        <f t="shared" si="6"/>
        <v>0.88074593011020463</v>
      </c>
      <c r="Z54" s="214">
        <v>130837.937555162</v>
      </c>
      <c r="AA54" s="214">
        <v>16946</v>
      </c>
      <c r="AB54" s="214">
        <v>80461</v>
      </c>
      <c r="AC54" s="214">
        <v>19424.108699031</v>
      </c>
      <c r="AD54" s="214">
        <v>65828.719581397003</v>
      </c>
      <c r="AE54" s="214">
        <v>313497.76583559101</v>
      </c>
      <c r="AF54" s="214">
        <v>46572.833774409002</v>
      </c>
      <c r="AG54" s="214"/>
      <c r="AH54" s="214">
        <v>46572.833774409002</v>
      </c>
      <c r="AI54" s="214">
        <v>3.1129810450000002</v>
      </c>
      <c r="AJ54" s="214">
        <v>12.216712428999999</v>
      </c>
      <c r="AK54" s="214">
        <v>0.97629264800000004</v>
      </c>
      <c r="AL54" s="214">
        <v>15313</v>
      </c>
    </row>
    <row r="55" spans="1:38">
      <c r="A55" s="213">
        <v>210064</v>
      </c>
      <c r="B55" s="213" t="s">
        <v>74</v>
      </c>
      <c r="C55" s="214">
        <v>35838.9</v>
      </c>
      <c r="D55" s="214">
        <v>2657.9</v>
      </c>
      <c r="E55" s="214">
        <v>20804.7</v>
      </c>
      <c r="F55" s="214">
        <v>130.5</v>
      </c>
      <c r="G55" s="214">
        <f t="shared" si="7"/>
        <v>59432</v>
      </c>
      <c r="H55" s="214">
        <v>1742.854</v>
      </c>
      <c r="I55" s="214">
        <v>812.38</v>
      </c>
      <c r="J55" s="214">
        <f t="shared" si="0"/>
        <v>2555.2339999999999</v>
      </c>
      <c r="K55" s="214">
        <v>6069.1019999999999</v>
      </c>
      <c r="L55" s="214">
        <v>1676.3779999999999</v>
      </c>
      <c r="M55" s="214">
        <v>1054.3900000000001</v>
      </c>
      <c r="N55" s="214">
        <v>0</v>
      </c>
      <c r="O55" s="214">
        <v>11355.103999999999</v>
      </c>
      <c r="P55" s="214">
        <v>0</v>
      </c>
      <c r="Q55" s="214">
        <v>48076.896000000001</v>
      </c>
      <c r="R55" s="214">
        <v>2257.8420000000001</v>
      </c>
      <c r="S55" s="214">
        <v>50334.737999999998</v>
      </c>
      <c r="T55" s="216">
        <f t="shared" si="1"/>
        <v>1.7741115897159782E-2</v>
      </c>
      <c r="U55" s="216">
        <f t="shared" si="2"/>
        <v>1.7741115897159782E-2</v>
      </c>
      <c r="V55" s="216">
        <f t="shared" si="3"/>
        <v>0</v>
      </c>
      <c r="W55" s="214">
        <f t="shared" si="4"/>
        <v>57755.622000000003</v>
      </c>
      <c r="X55" s="214">
        <f t="shared" si="5"/>
        <v>46400.518000000004</v>
      </c>
      <c r="Y55" s="215">
        <f t="shared" si="6"/>
        <v>0.80893956117916277</v>
      </c>
      <c r="Z55" s="214">
        <v>25566.945680000001</v>
      </c>
      <c r="AA55" s="214">
        <v>0</v>
      </c>
      <c r="AB55" s="214">
        <v>6110.9690000000001</v>
      </c>
      <c r="AC55" s="214">
        <v>2448.3449999999998</v>
      </c>
      <c r="AD55" s="214">
        <v>8136.2629999999999</v>
      </c>
      <c r="AE55" s="214">
        <v>42262.522680000002</v>
      </c>
      <c r="AF55" s="214">
        <v>8072.2153200000002</v>
      </c>
      <c r="AG55" s="214"/>
      <c r="AH55" s="214">
        <v>8072.2153200000002</v>
      </c>
      <c r="AI55" s="214">
        <v>1.0888163319999999</v>
      </c>
      <c r="AJ55" s="214">
        <v>30.194654216</v>
      </c>
      <c r="AK55" s="214">
        <v>1.937189976</v>
      </c>
      <c r="AL55" s="214">
        <v>1334</v>
      </c>
    </row>
    <row r="56" spans="1:38">
      <c r="A56" s="213">
        <v>210065</v>
      </c>
      <c r="B56" s="213" t="s">
        <v>370</v>
      </c>
      <c r="C56" s="214">
        <v>26125.8</v>
      </c>
      <c r="D56" s="214">
        <v>14892.8</v>
      </c>
      <c r="E56" s="214">
        <v>30972</v>
      </c>
      <c r="F56" s="214">
        <v>24349.7</v>
      </c>
      <c r="G56" s="214">
        <f t="shared" si="7"/>
        <v>96340.3</v>
      </c>
      <c r="H56" s="214">
        <v>6004.057694612</v>
      </c>
      <c r="I56" s="214">
        <v>2819.6498000000001</v>
      </c>
      <c r="J56" s="214">
        <f t="shared" si="0"/>
        <v>8823.707494612001</v>
      </c>
      <c r="K56" s="214">
        <v>7372.4</v>
      </c>
      <c r="L56" s="214">
        <v>0</v>
      </c>
      <c r="M56" s="214">
        <v>3205.61</v>
      </c>
      <c r="N56" s="214">
        <v>826</v>
      </c>
      <c r="O56" s="214">
        <v>20227.717494611999</v>
      </c>
      <c r="P56" s="214">
        <v>3936.37</v>
      </c>
      <c r="Q56" s="214">
        <v>80048.952505388006</v>
      </c>
      <c r="R56" s="214">
        <v>1035.94658</v>
      </c>
      <c r="S56" s="214">
        <v>81084.899085387995</v>
      </c>
      <c r="T56" s="216">
        <f t="shared" si="1"/>
        <v>4.1847596488696841E-2</v>
      </c>
      <c r="U56" s="216">
        <f t="shared" si="2"/>
        <v>3.3273822066155076E-2</v>
      </c>
      <c r="V56" s="216">
        <f t="shared" si="3"/>
        <v>8.5737744225417613E-3</v>
      </c>
      <c r="W56" s="214">
        <f t="shared" si="4"/>
        <v>100276.67</v>
      </c>
      <c r="X56" s="214">
        <f t="shared" si="5"/>
        <v>83985.322505388001</v>
      </c>
      <c r="Y56" s="215">
        <f t="shared" si="6"/>
        <v>0.83089789532924441</v>
      </c>
      <c r="Z56" s="214">
        <v>38594.862812296</v>
      </c>
      <c r="AA56" s="214">
        <v>5605.4813199999999</v>
      </c>
      <c r="AB56" s="214">
        <v>12833.587669</v>
      </c>
      <c r="AC56" s="214">
        <v>11917.643669999999</v>
      </c>
      <c r="AD56" s="214">
        <v>18816.514765573</v>
      </c>
      <c r="AE56" s="214">
        <v>87768.090236867996</v>
      </c>
      <c r="AF56" s="214">
        <v>-6683.1911514800004</v>
      </c>
      <c r="AG56" s="214"/>
      <c r="AH56" s="214">
        <v>-6683.1911514800004</v>
      </c>
      <c r="AI56" s="214">
        <v>2.6813062190000001</v>
      </c>
      <c r="AJ56" s="214">
        <v>10.59416012</v>
      </c>
      <c r="AK56" s="214">
        <v>0.64398440199999996</v>
      </c>
      <c r="AL56" s="214">
        <v>4948</v>
      </c>
    </row>
    <row r="57" spans="1:38">
      <c r="A57" s="213">
        <v>210087</v>
      </c>
      <c r="B57" s="213" t="s">
        <v>344</v>
      </c>
      <c r="C57" s="214">
        <v>0</v>
      </c>
      <c r="D57" s="214">
        <v>0</v>
      </c>
      <c r="E57" s="214">
        <v>0</v>
      </c>
      <c r="F57" s="214">
        <v>14275.7</v>
      </c>
      <c r="G57" s="214">
        <f t="shared" si="7"/>
        <v>14275.7</v>
      </c>
      <c r="H57" s="214">
        <v>1428.144</v>
      </c>
      <c r="I57" s="214">
        <v>638.99699999999996</v>
      </c>
      <c r="J57" s="214">
        <f t="shared" si="0"/>
        <v>2067.1410000000001</v>
      </c>
      <c r="K57" s="214">
        <v>834.05300000000011</v>
      </c>
      <c r="L57" s="214">
        <v>0</v>
      </c>
      <c r="M57" s="214">
        <v>1126.1279999999999</v>
      </c>
      <c r="N57" s="214">
        <v>0</v>
      </c>
      <c r="O57" s="214">
        <v>4027.3220000000001</v>
      </c>
      <c r="P57" s="214">
        <v>0</v>
      </c>
      <c r="Q57" s="214">
        <v>10248.378000000001</v>
      </c>
      <c r="R57" s="214">
        <v>3.4210000000000207</v>
      </c>
      <c r="S57" s="214">
        <v>10251.799000000001</v>
      </c>
      <c r="T57" s="216">
        <f t="shared" si="1"/>
        <v>7.8884257864763191E-2</v>
      </c>
      <c r="U57" s="216">
        <f t="shared" si="2"/>
        <v>7.8884257864763191E-2</v>
      </c>
      <c r="V57" s="216">
        <f t="shared" si="3"/>
        <v>0</v>
      </c>
      <c r="W57" s="214">
        <f t="shared" si="4"/>
        <v>14275.7</v>
      </c>
      <c r="X57" s="214">
        <f t="shared" si="5"/>
        <v>10248.378000000001</v>
      </c>
      <c r="Y57" s="215">
        <f t="shared" si="6"/>
        <v>0.71788970068017677</v>
      </c>
      <c r="Z57" s="214">
        <v>4407.0860000000002</v>
      </c>
      <c r="AA57" s="214">
        <v>738.49300000000005</v>
      </c>
      <c r="AB57" s="214">
        <v>444.57400000000001</v>
      </c>
      <c r="AC57" s="214">
        <v>1186.3630000000001</v>
      </c>
      <c r="AD57" s="214">
        <v>3961.94</v>
      </c>
      <c r="AE57" s="214">
        <v>10738.456</v>
      </c>
      <c r="AF57" s="214">
        <v>-486.65699999999924</v>
      </c>
      <c r="AG57" s="214">
        <v>0</v>
      </c>
      <c r="AH57" s="214">
        <v>-486.65699999999924</v>
      </c>
      <c r="AI57" s="214">
        <v>0</v>
      </c>
      <c r="AJ57" s="214">
        <v>0</v>
      </c>
      <c r="AK57" s="214">
        <v>-21.549283988302516</v>
      </c>
      <c r="AL57" s="214">
        <v>0</v>
      </c>
    </row>
    <row r="58" spans="1:38">
      <c r="A58" s="213">
        <v>210088</v>
      </c>
      <c r="B58" s="213" t="s">
        <v>372</v>
      </c>
      <c r="C58" s="214">
        <v>0</v>
      </c>
      <c r="D58" s="214">
        <v>3955.2</v>
      </c>
      <c r="E58" s="214">
        <v>0</v>
      </c>
      <c r="F58" s="214">
        <v>2477.6</v>
      </c>
      <c r="G58" s="214">
        <f t="shared" si="7"/>
        <v>6432.7999999999993</v>
      </c>
      <c r="H58" s="214">
        <v>625.63333</v>
      </c>
      <c r="I58" s="214">
        <v>78.701650000000001</v>
      </c>
      <c r="J58" s="214">
        <f t="shared" si="0"/>
        <v>704.33497999999997</v>
      </c>
      <c r="K58" s="214">
        <v>218.77067</v>
      </c>
      <c r="L58" s="214">
        <v>0</v>
      </c>
      <c r="M58" s="214">
        <v>364.57</v>
      </c>
      <c r="N58" s="214">
        <v>-1.2889999999999999</v>
      </c>
      <c r="O58" s="214">
        <v>1286.3866499999999</v>
      </c>
      <c r="P58" s="214">
        <v>0</v>
      </c>
      <c r="Q58" s="214">
        <v>5146.4133499999998</v>
      </c>
      <c r="R58" s="214">
        <v>10.608000000000001</v>
      </c>
      <c r="S58" s="214">
        <v>5157.02135</v>
      </c>
      <c r="T58" s="216">
        <f t="shared" si="1"/>
        <v>5.6473230941425201E-2</v>
      </c>
      <c r="U58" s="216">
        <f t="shared" si="2"/>
        <v>5.6673610247481659E-2</v>
      </c>
      <c r="V58" s="216">
        <f t="shared" si="3"/>
        <v>-2.0037930605646065E-4</v>
      </c>
      <c r="W58" s="214">
        <f t="shared" si="4"/>
        <v>6432.7999999999993</v>
      </c>
      <c r="X58" s="214">
        <f t="shared" si="5"/>
        <v>5146.4133499999998</v>
      </c>
      <c r="Y58" s="215">
        <f t="shared" si="6"/>
        <v>0.80002694782987194</v>
      </c>
      <c r="Z58" s="214">
        <v>3663.4301500000001</v>
      </c>
      <c r="AA58" s="214">
        <v>906</v>
      </c>
      <c r="AB58" s="214">
        <v>505</v>
      </c>
      <c r="AC58" s="214">
        <v>649.58429000000001</v>
      </c>
      <c r="AD58" s="214">
        <v>1393.6924100000001</v>
      </c>
      <c r="AE58" s="214">
        <v>7117.7068499999996</v>
      </c>
      <c r="AF58" s="214">
        <v>-1960.6855</v>
      </c>
      <c r="AG58" s="214"/>
      <c r="AH58" s="214">
        <v>-1960.6855</v>
      </c>
      <c r="AI58" s="214">
        <v>0</v>
      </c>
      <c r="AJ58" s="214">
        <v>0</v>
      </c>
      <c r="AK58" s="214">
        <v>0.53056912599999995</v>
      </c>
      <c r="AL58" s="214">
        <v>0</v>
      </c>
    </row>
    <row r="59" spans="1:38">
      <c r="A59" s="213">
        <v>210333</v>
      </c>
      <c r="B59" s="213" t="s">
        <v>373</v>
      </c>
      <c r="C59" s="214">
        <v>0</v>
      </c>
      <c r="D59" s="214">
        <v>11487.6</v>
      </c>
      <c r="E59" s="214">
        <v>0</v>
      </c>
      <c r="F59" s="214">
        <v>8446</v>
      </c>
      <c r="G59" s="214">
        <f t="shared" si="7"/>
        <v>19933.599999999999</v>
      </c>
      <c r="H59" s="214">
        <v>2546.585</v>
      </c>
      <c r="I59" s="214">
        <v>1127.2560000000001</v>
      </c>
      <c r="J59" s="214">
        <f t="shared" si="0"/>
        <v>3673.8410000000003</v>
      </c>
      <c r="K59" s="214">
        <v>2058.8029999999999</v>
      </c>
      <c r="L59" s="214">
        <v>0</v>
      </c>
      <c r="M59" s="214">
        <v>862.37</v>
      </c>
      <c r="N59" s="214">
        <v>65.281000000000006</v>
      </c>
      <c r="O59" s="214">
        <v>6660.2950000000001</v>
      </c>
      <c r="P59" s="214">
        <v>0</v>
      </c>
      <c r="Q59" s="214">
        <v>13273.305</v>
      </c>
      <c r="R59" s="214">
        <v>2.2749999999999999</v>
      </c>
      <c r="S59" s="214">
        <v>13275.58</v>
      </c>
      <c r="T59" s="216">
        <f t="shared" si="1"/>
        <v>4.6537053016013172E-2</v>
      </c>
      <c r="U59" s="216">
        <f t="shared" si="2"/>
        <v>4.3262130272504716E-2</v>
      </c>
      <c r="V59" s="216">
        <f t="shared" si="3"/>
        <v>3.2749227435084484E-3</v>
      </c>
      <c r="W59" s="214">
        <f t="shared" si="4"/>
        <v>19933.599999999999</v>
      </c>
      <c r="X59" s="214">
        <f t="shared" si="5"/>
        <v>13273.305</v>
      </c>
      <c r="Y59" s="215">
        <f t="shared" si="6"/>
        <v>0.66587595818116152</v>
      </c>
      <c r="Z59" s="214">
        <v>8605.8477796200004</v>
      </c>
      <c r="AA59" s="214">
        <v>-469.733</v>
      </c>
      <c r="AB59" s="214">
        <v>3776.0030000000002</v>
      </c>
      <c r="AC59" s="214">
        <v>1527.654</v>
      </c>
      <c r="AD59" s="214">
        <v>1378.9779194109999</v>
      </c>
      <c r="AE59" s="214">
        <v>14818.749699030999</v>
      </c>
      <c r="AF59" s="214">
        <v>-1543.1696990309999</v>
      </c>
      <c r="AG59" s="214"/>
      <c r="AH59" s="214">
        <v>-1543.1696990309999</v>
      </c>
      <c r="AI59" s="214">
        <v>0</v>
      </c>
      <c r="AJ59" s="214">
        <v>0</v>
      </c>
      <c r="AK59" s="214">
        <v>1.248554913</v>
      </c>
      <c r="AL59" s="214">
        <v>0</v>
      </c>
    </row>
    <row r="60" spans="1:38">
      <c r="A60" s="213">
        <v>213300</v>
      </c>
      <c r="B60" s="213" t="s">
        <v>383</v>
      </c>
      <c r="C60" s="214">
        <v>24595.038190659001</v>
      </c>
      <c r="D60" s="214">
        <v>2062.1143258920001</v>
      </c>
      <c r="E60" s="214">
        <v>19903.197809341</v>
      </c>
      <c r="F60" s="214">
        <v>12886.448674108</v>
      </c>
      <c r="G60" s="214">
        <f t="shared" si="7"/>
        <v>59446.798999999999</v>
      </c>
      <c r="H60" s="214">
        <v>396.87900000000002</v>
      </c>
      <c r="I60" s="214">
        <v>413.28136000000001</v>
      </c>
      <c r="J60" s="214">
        <f t="shared" si="0"/>
        <v>810.16036000000008</v>
      </c>
      <c r="K60" s="214">
        <v>2682.1073200000001</v>
      </c>
      <c r="L60" s="214">
        <v>0</v>
      </c>
      <c r="M60" s="214">
        <v>894.61532</v>
      </c>
      <c r="N60" s="214">
        <v>0</v>
      </c>
      <c r="O60" s="214">
        <v>4386.8829999999998</v>
      </c>
      <c r="P60" s="214">
        <v>0</v>
      </c>
      <c r="Q60" s="214">
        <v>55059.915999999997</v>
      </c>
      <c r="R60" s="214">
        <v>774.94</v>
      </c>
      <c r="S60" s="214">
        <v>55834.856</v>
      </c>
      <c r="T60" s="216">
        <f t="shared" si="1"/>
        <v>1.5049007432679428E-2</v>
      </c>
      <c r="U60" s="216">
        <f t="shared" si="2"/>
        <v>1.5049007432679428E-2</v>
      </c>
      <c r="V60" s="216">
        <f t="shared" si="3"/>
        <v>0</v>
      </c>
      <c r="W60" s="214">
        <f t="shared" si="4"/>
        <v>59446.798999999999</v>
      </c>
      <c r="X60" s="214">
        <f t="shared" si="5"/>
        <v>55059.915999999997</v>
      </c>
      <c r="Y60" s="215">
        <f t="shared" si="6"/>
        <v>0.92620489120028138</v>
      </c>
      <c r="Z60" s="214">
        <v>32282.835218526001</v>
      </c>
      <c r="AA60" s="214">
        <v>3124.0657500000002</v>
      </c>
      <c r="AB60" s="214">
        <v>6241.9459999999999</v>
      </c>
      <c r="AC60" s="214">
        <v>3280.8395592249999</v>
      </c>
      <c r="AD60" s="214">
        <v>3884.081899109</v>
      </c>
      <c r="AE60" s="214">
        <v>48813.768426859999</v>
      </c>
      <c r="AF60" s="214">
        <v>7021.0875731400001</v>
      </c>
      <c r="AG60" s="214"/>
      <c r="AH60" s="214">
        <v>7021.0875731400001</v>
      </c>
      <c r="AI60" s="214">
        <v>1.7160099550000001</v>
      </c>
      <c r="AJ60" s="214">
        <v>52.802023540999997</v>
      </c>
      <c r="AK60" s="214">
        <v>1.820887946</v>
      </c>
      <c r="AL60" s="214">
        <v>692</v>
      </c>
    </row>
    <row r="61" spans="1:38">
      <c r="A61" s="213">
        <v>214000</v>
      </c>
      <c r="B61" s="213" t="s">
        <v>374</v>
      </c>
      <c r="C61" s="214">
        <v>118364.7</v>
      </c>
      <c r="D61" s="214">
        <v>15860</v>
      </c>
      <c r="E61" s="214">
        <v>15923.6</v>
      </c>
      <c r="F61" s="214">
        <v>721</v>
      </c>
      <c r="G61" s="214">
        <f t="shared" si="7"/>
        <v>150869.30000000002</v>
      </c>
      <c r="H61" s="214">
        <v>742.77103</v>
      </c>
      <c r="I61" s="214">
        <v>5363.3218999999999</v>
      </c>
      <c r="J61" s="214">
        <f t="shared" si="0"/>
        <v>6106.0929299999998</v>
      </c>
      <c r="K61" s="214">
        <v>11897.16023</v>
      </c>
      <c r="L61" s="214">
        <v>0</v>
      </c>
      <c r="M61" s="214">
        <v>1274.8933199999999</v>
      </c>
      <c r="N61" s="214">
        <v>0</v>
      </c>
      <c r="O61" s="214">
        <v>19278.146479999999</v>
      </c>
      <c r="P61" s="214">
        <v>0</v>
      </c>
      <c r="Q61" s="214">
        <v>131591.15351999999</v>
      </c>
      <c r="R61" s="214">
        <v>61.372500000000002</v>
      </c>
      <c r="S61" s="214">
        <v>131652.52601999999</v>
      </c>
      <c r="T61" s="216">
        <f t="shared" si="1"/>
        <v>8.4503163996916524E-3</v>
      </c>
      <c r="U61" s="216">
        <f t="shared" si="2"/>
        <v>8.4503163996916524E-3</v>
      </c>
      <c r="V61" s="216">
        <f t="shared" si="3"/>
        <v>0</v>
      </c>
      <c r="W61" s="214">
        <f t="shared" si="4"/>
        <v>150869.30000000002</v>
      </c>
      <c r="X61" s="214">
        <f t="shared" si="5"/>
        <v>131591.15351999999</v>
      </c>
      <c r="Y61" s="215">
        <f t="shared" si="6"/>
        <v>0.87221955374618942</v>
      </c>
      <c r="Z61" s="214">
        <v>84001.168201378998</v>
      </c>
      <c r="AA61" s="214">
        <v>6902.0290100000002</v>
      </c>
      <c r="AB61" s="214">
        <v>8749.3978299999999</v>
      </c>
      <c r="AC61" s="214">
        <v>11632.611916405</v>
      </c>
      <c r="AD61" s="214">
        <v>14790.820303226001</v>
      </c>
      <c r="AE61" s="214">
        <v>126076.027261009</v>
      </c>
      <c r="AF61" s="214">
        <v>5576.4987589909997</v>
      </c>
      <c r="AG61" s="214"/>
      <c r="AH61" s="214">
        <v>5576.4987589909997</v>
      </c>
      <c r="AI61" s="214">
        <v>1.065645059</v>
      </c>
      <c r="AJ61" s="214">
        <v>13.003473396</v>
      </c>
      <c r="AK61" s="214">
        <v>2.3956833959999999</v>
      </c>
      <c r="AL61" s="214">
        <v>8630</v>
      </c>
    </row>
    <row r="62" spans="1:38">
      <c r="A62" s="213">
        <v>214003</v>
      </c>
      <c r="B62" s="213" t="s">
        <v>375</v>
      </c>
      <c r="C62" s="214">
        <v>15837.7</v>
      </c>
      <c r="D62" s="214">
        <v>742.4</v>
      </c>
      <c r="E62" s="214">
        <v>4629.8</v>
      </c>
      <c r="F62" s="214">
        <v>773.8</v>
      </c>
      <c r="G62" s="214">
        <f t="shared" si="7"/>
        <v>21983.7</v>
      </c>
      <c r="H62" s="214">
        <v>489.5</v>
      </c>
      <c r="I62" s="214">
        <v>356.7</v>
      </c>
      <c r="J62" s="214">
        <f t="shared" si="0"/>
        <v>846.2</v>
      </c>
      <c r="K62" s="214">
        <v>4240</v>
      </c>
      <c r="L62" s="214">
        <v>0</v>
      </c>
      <c r="M62" s="214">
        <v>70.400000000000006</v>
      </c>
      <c r="N62" s="214">
        <v>4.7</v>
      </c>
      <c r="O62" s="214">
        <v>5161.3</v>
      </c>
      <c r="P62" s="214">
        <v>0</v>
      </c>
      <c r="Q62" s="214">
        <v>16822.400000000001</v>
      </c>
      <c r="R62" s="214">
        <v>125.2</v>
      </c>
      <c r="S62" s="214">
        <v>16947.599999999999</v>
      </c>
      <c r="T62" s="216">
        <f t="shared" si="1"/>
        <v>3.4161674331436476E-3</v>
      </c>
      <c r="U62" s="216">
        <f t="shared" si="2"/>
        <v>3.2023726670214752E-3</v>
      </c>
      <c r="V62" s="216">
        <f t="shared" si="3"/>
        <v>2.1379476612217233E-4</v>
      </c>
      <c r="W62" s="214">
        <f t="shared" si="4"/>
        <v>21983.7</v>
      </c>
      <c r="X62" s="214">
        <f t="shared" si="5"/>
        <v>16822.400000000001</v>
      </c>
      <c r="Y62" s="215">
        <f t="shared" si="6"/>
        <v>0.76522150502417707</v>
      </c>
      <c r="Z62" s="214">
        <v>11698.6</v>
      </c>
      <c r="AA62" s="214">
        <v>818.4</v>
      </c>
      <c r="AB62" s="214">
        <v>1433.3</v>
      </c>
      <c r="AC62" s="214">
        <v>816.5</v>
      </c>
      <c r="AD62" s="214">
        <v>2100</v>
      </c>
      <c r="AE62" s="214">
        <v>16866.8</v>
      </c>
      <c r="AF62" s="214">
        <v>80.8</v>
      </c>
      <c r="AG62" s="214"/>
      <c r="AH62" s="214">
        <v>80.8</v>
      </c>
      <c r="AI62" s="214">
        <v>0.93000700000000003</v>
      </c>
      <c r="AJ62" s="214">
        <v>7.8633100000000002</v>
      </c>
      <c r="AK62" s="214">
        <v>4.7</v>
      </c>
      <c r="AL62" s="214">
        <v>1997</v>
      </c>
    </row>
    <row r="63" spans="1:38">
      <c r="A63" s="213">
        <v>214013</v>
      </c>
      <c r="B63" s="213" t="s">
        <v>376</v>
      </c>
      <c r="C63" s="214">
        <v>35660.6</v>
      </c>
      <c r="D63" s="214">
        <v>5202.7</v>
      </c>
      <c r="E63" s="214">
        <v>1200.4000000000001</v>
      </c>
      <c r="F63" s="214">
        <v>69.400000000000006</v>
      </c>
      <c r="G63" s="214">
        <f t="shared" si="7"/>
        <v>42133.1</v>
      </c>
      <c r="H63" s="214">
        <v>1379.635</v>
      </c>
      <c r="I63" s="214">
        <v>1407.6790000000001</v>
      </c>
      <c r="J63" s="214">
        <f t="shared" si="0"/>
        <v>2787.3140000000003</v>
      </c>
      <c r="K63" s="214">
        <v>4283.0059999999994</v>
      </c>
      <c r="L63" s="214">
        <v>0</v>
      </c>
      <c r="M63" s="214">
        <v>380.79599999999999</v>
      </c>
      <c r="N63" s="214">
        <v>0</v>
      </c>
      <c r="O63" s="214">
        <v>7451.116</v>
      </c>
      <c r="P63" s="214">
        <v>0</v>
      </c>
      <c r="Q63" s="214">
        <v>34681.983999999997</v>
      </c>
      <c r="R63" s="214">
        <v>275.11399999999958</v>
      </c>
      <c r="S63" s="214">
        <v>34957.097999999998</v>
      </c>
      <c r="T63" s="216">
        <f t="shared" si="1"/>
        <v>9.037929798661859E-3</v>
      </c>
      <c r="U63" s="216">
        <f t="shared" si="2"/>
        <v>9.037929798661859E-3</v>
      </c>
      <c r="V63" s="216">
        <f t="shared" si="3"/>
        <v>0</v>
      </c>
      <c r="W63" s="214">
        <f t="shared" si="4"/>
        <v>42133.1</v>
      </c>
      <c r="X63" s="214">
        <f t="shared" si="5"/>
        <v>34681.983999999997</v>
      </c>
      <c r="Y63" s="215">
        <f t="shared" si="6"/>
        <v>0.82315291303037275</v>
      </c>
      <c r="Z63" s="214">
        <v>23702.755110000002</v>
      </c>
      <c r="AA63" s="214">
        <v>2538.9470000000001</v>
      </c>
      <c r="AB63" s="214">
        <v>1360.6079999999999</v>
      </c>
      <c r="AC63" s="214">
        <v>2481.5569999999998</v>
      </c>
      <c r="AD63" s="214">
        <v>4608.7611699999998</v>
      </c>
      <c r="AE63" s="214">
        <v>34692.628280000004</v>
      </c>
      <c r="AF63" s="214">
        <v>264.46971999999369</v>
      </c>
      <c r="AG63" s="214">
        <v>0</v>
      </c>
      <c r="AH63" s="214">
        <v>264.46971999999369</v>
      </c>
      <c r="AI63" s="214">
        <v>0.9439130359991682</v>
      </c>
      <c r="AJ63" s="214">
        <v>8.0937434960709496</v>
      </c>
      <c r="AK63" s="214">
        <v>-6.3986196452646402E-2</v>
      </c>
      <c r="AL63" s="214">
        <v>3750</v>
      </c>
    </row>
    <row r="64" spans="1:38">
      <c r="A64" s="213">
        <v>218992</v>
      </c>
      <c r="B64" s="213" t="s">
        <v>371</v>
      </c>
      <c r="C64" s="214">
        <v>78043.7</v>
      </c>
      <c r="D64" s="214">
        <v>10582.3</v>
      </c>
      <c r="E64" s="214">
        <v>109151</v>
      </c>
      <c r="F64" s="214">
        <v>15418.1</v>
      </c>
      <c r="G64" s="214">
        <f t="shared" si="7"/>
        <v>213195.1</v>
      </c>
      <c r="H64" s="214">
        <v>9813.5349999999999</v>
      </c>
      <c r="I64" s="214">
        <v>3414.2</v>
      </c>
      <c r="J64" s="214">
        <f t="shared" si="0"/>
        <v>13227.735000000001</v>
      </c>
      <c r="K64" s="214">
        <v>7467</v>
      </c>
      <c r="L64" s="214">
        <v>0</v>
      </c>
      <c r="M64" s="214">
        <v>3200.2649999999999</v>
      </c>
      <c r="N64" s="214">
        <v>6934.40643</v>
      </c>
      <c r="O64" s="214">
        <v>30829.406429999999</v>
      </c>
      <c r="P64" s="214">
        <v>18666</v>
      </c>
      <c r="Q64" s="214">
        <v>201031.69357</v>
      </c>
      <c r="R64" s="214">
        <v>3476</v>
      </c>
      <c r="S64" s="214">
        <v>204507.69357</v>
      </c>
      <c r="T64" s="216">
        <f t="shared" si="1"/>
        <v>4.7537074867105296E-2</v>
      </c>
      <c r="U64" s="216">
        <f t="shared" si="2"/>
        <v>1.5010968826206604E-2</v>
      </c>
      <c r="V64" s="216">
        <f t="shared" si="3"/>
        <v>3.2526106040898686E-2</v>
      </c>
      <c r="W64" s="214">
        <f t="shared" si="4"/>
        <v>231861.1</v>
      </c>
      <c r="X64" s="214">
        <f t="shared" si="5"/>
        <v>219697.69357</v>
      </c>
      <c r="Y64" s="215">
        <f t="shared" si="6"/>
        <v>0.94294706383964733</v>
      </c>
      <c r="Z64" s="214">
        <v>66716.399999999994</v>
      </c>
      <c r="AA64" s="214">
        <v>12270</v>
      </c>
      <c r="AB64" s="214">
        <v>29571</v>
      </c>
      <c r="AC64" s="214">
        <v>12419.647960086</v>
      </c>
      <c r="AD64" s="214">
        <v>41440.152039913999</v>
      </c>
      <c r="AE64" s="214">
        <v>162417.20000000001</v>
      </c>
      <c r="AF64" s="214">
        <v>42090.493569999999</v>
      </c>
      <c r="AG64" s="214"/>
      <c r="AH64" s="214">
        <v>42090.493569999999</v>
      </c>
      <c r="AI64" s="214">
        <v>4.1064692589999998</v>
      </c>
      <c r="AJ64" s="214">
        <v>35.422132361999999</v>
      </c>
      <c r="AK64" s="214">
        <v>1.3606186760000001</v>
      </c>
      <c r="AL64" s="214">
        <v>4026</v>
      </c>
    </row>
    <row r="65" spans="1:38">
      <c r="A65" s="118"/>
      <c r="B65" s="211" t="s">
        <v>56</v>
      </c>
      <c r="C65" s="212">
        <f t="shared" ref="C65:S65" si="8">SUM(C9:C64)</f>
        <v>4005017.7077406589</v>
      </c>
      <c r="D65" s="212">
        <f t="shared" si="8"/>
        <v>2079010.4373858927</v>
      </c>
      <c r="E65" s="212">
        <f t="shared" si="8"/>
        <v>5752173.3945493409</v>
      </c>
      <c r="F65" s="212">
        <f t="shared" si="8"/>
        <v>5201601.3185041072</v>
      </c>
      <c r="G65" s="212">
        <f t="shared" si="8"/>
        <v>17037802.858180009</v>
      </c>
      <c r="H65" s="212">
        <f t="shared" si="8"/>
        <v>438592.528382377</v>
      </c>
      <c r="I65" s="212">
        <f t="shared" si="8"/>
        <v>274082.97148198297</v>
      </c>
      <c r="J65" s="212">
        <f t="shared" si="8"/>
        <v>712675.4998643602</v>
      </c>
      <c r="K65" s="212">
        <f t="shared" si="8"/>
        <v>1301409.8935347428</v>
      </c>
      <c r="L65" s="212">
        <f t="shared" si="8"/>
        <v>87230.641997999992</v>
      </c>
      <c r="M65" s="212">
        <f t="shared" si="8"/>
        <v>334734.61202003906</v>
      </c>
      <c r="N65" s="212">
        <f t="shared" si="8"/>
        <v>191344.417353</v>
      </c>
      <c r="O65" s="212">
        <f t="shared" si="8"/>
        <v>2627395.0647701407</v>
      </c>
      <c r="P65" s="212">
        <f t="shared" si="8"/>
        <v>98873.511999999988</v>
      </c>
      <c r="Q65" s="212">
        <f t="shared" si="8"/>
        <v>14509281.305409854</v>
      </c>
      <c r="R65" s="212">
        <f t="shared" si="8"/>
        <v>197843.18765099999</v>
      </c>
      <c r="S65" s="212">
        <f t="shared" si="8"/>
        <v>14707124.493060857</v>
      </c>
      <c r="T65" s="216">
        <f t="shared" si="1"/>
        <v>3.087716378408872E-2</v>
      </c>
      <c r="U65" s="216">
        <f t="shared" si="2"/>
        <v>1.9646583236484029E-2</v>
      </c>
      <c r="V65" s="216">
        <f t="shared" si="3"/>
        <v>1.1230580547604689E-2</v>
      </c>
      <c r="W65" s="214">
        <f t="shared" si="4"/>
        <v>17049445.728182007</v>
      </c>
      <c r="X65" s="214">
        <f t="shared" si="5"/>
        <v>14520924.175411854</v>
      </c>
      <c r="Y65" s="215">
        <f t="shared" si="6"/>
        <v>0.85159344935393544</v>
      </c>
      <c r="Z65" s="214">
        <f t="shared" ref="Z65:AL65" si="9">+S65-N65+R65</f>
        <v>14713623.263358857</v>
      </c>
      <c r="AA65" s="214">
        <f t="shared" si="9"/>
        <v>12079729.459167879</v>
      </c>
      <c r="AB65" s="214">
        <f t="shared" si="9"/>
        <v>-98873.461476252967</v>
      </c>
      <c r="AC65" s="214">
        <f t="shared" si="9"/>
        <v>-14509281.274532691</v>
      </c>
      <c r="AD65" s="214">
        <f t="shared" si="9"/>
        <v>16851602.551761586</v>
      </c>
      <c r="AE65" s="214">
        <f t="shared" si="9"/>
        <v>16863245.410533004</v>
      </c>
      <c r="AF65" s="214">
        <f t="shared" si="9"/>
        <v>14520924.99612814</v>
      </c>
      <c r="AG65" s="214">
        <f t="shared" si="9"/>
        <v>14713624.095305724</v>
      </c>
      <c r="AH65" s="214">
        <f t="shared" si="9"/>
        <v>26793352.711296156</v>
      </c>
      <c r="AI65" s="214">
        <f t="shared" si="9"/>
        <v>-5068589.730490379</v>
      </c>
      <c r="AJ65" s="214">
        <f t="shared" si="9"/>
        <v>-29129078.911420796</v>
      </c>
      <c r="AK65" s="214">
        <f t="shared" si="9"/>
        <v>2342320.4256354459</v>
      </c>
      <c r="AL65" s="214">
        <f t="shared" si="9"/>
        <v>19001224.698935732</v>
      </c>
    </row>
    <row r="66" spans="1:38">
      <c r="J66" s="179">
        <f>+J65/G65</f>
        <v>4.182907302053903E-2</v>
      </c>
      <c r="AF66" s="117"/>
      <c r="AG66" s="117"/>
      <c r="AH66" s="117"/>
      <c r="AI66" s="117"/>
    </row>
    <row r="67" spans="1:38">
      <c r="AF67" s="117"/>
      <c r="AG67" s="117"/>
      <c r="AH67" s="117"/>
      <c r="AI67" s="117"/>
    </row>
    <row r="68" spans="1:38">
      <c r="AF68" s="117"/>
      <c r="AG68" s="117"/>
      <c r="AH68" s="117"/>
      <c r="AI68" s="117"/>
    </row>
    <row r="69" spans="1:38">
      <c r="AF69" s="201"/>
      <c r="AG69" s="201"/>
      <c r="AH69" s="201"/>
      <c r="AI69" s="201"/>
    </row>
  </sheetData>
  <pageMargins left="0" right="0" top="0" bottom="0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V69"/>
  <sheetViews>
    <sheetView showGridLines="0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8" sqref="H8"/>
    </sheetView>
  </sheetViews>
  <sheetFormatPr defaultRowHeight="15.5"/>
  <cols>
    <col min="2" max="2" width="32.53515625" bestFit="1" customWidth="1"/>
    <col min="3" max="3" width="18.765625" bestFit="1" customWidth="1"/>
    <col min="4" max="4" width="15.84375" customWidth="1"/>
    <col min="5" max="5" width="8.84375" customWidth="1"/>
    <col min="10" max="10" width="13.4609375" style="240" bestFit="1" customWidth="1"/>
    <col min="11" max="11" width="15.69140625" bestFit="1" customWidth="1"/>
    <col min="12" max="12" width="15.53515625" bestFit="1" customWidth="1"/>
    <col min="13" max="13" width="17.07421875" bestFit="1" customWidth="1"/>
  </cols>
  <sheetData>
    <row r="1" spans="1:22" ht="27.5">
      <c r="A1" s="153" t="s">
        <v>385</v>
      </c>
      <c r="B1" s="425" t="str">
        <f>Input!A2&amp; " UCC Policy"</f>
        <v>FY2022 UCC Policy</v>
      </c>
      <c r="C1" s="156"/>
      <c r="D1" s="156"/>
      <c r="E1" s="157"/>
      <c r="F1" s="159"/>
      <c r="G1" s="160"/>
      <c r="H1" s="161"/>
      <c r="I1" s="158"/>
      <c r="J1" s="235"/>
    </row>
    <row r="2" spans="1:22" ht="21">
      <c r="A2" s="153"/>
      <c r="B2" s="162"/>
      <c r="C2" s="162"/>
      <c r="D2" s="156"/>
      <c r="E2" s="157"/>
      <c r="F2" s="159"/>
      <c r="G2" s="160"/>
      <c r="H2" s="161"/>
      <c r="I2" s="158"/>
      <c r="J2" s="235"/>
    </row>
    <row r="3" spans="1:22">
      <c r="A3" s="153"/>
      <c r="B3" s="163"/>
      <c r="C3" s="163"/>
      <c r="D3" s="163"/>
      <c r="E3" s="164"/>
      <c r="F3" s="165"/>
      <c r="G3" s="160"/>
      <c r="H3" s="153"/>
      <c r="I3" s="153"/>
      <c r="J3" s="236"/>
    </row>
    <row r="4" spans="1:22">
      <c r="A4" s="166"/>
      <c r="B4" s="153"/>
      <c r="C4" s="153"/>
      <c r="D4" s="153"/>
      <c r="E4" s="167"/>
      <c r="F4" s="168"/>
      <c r="G4" s="168"/>
      <c r="H4" s="153"/>
      <c r="I4" s="153"/>
      <c r="J4" s="236"/>
    </row>
    <row r="5" spans="1:22" ht="18">
      <c r="A5" s="226"/>
      <c r="B5" s="153"/>
      <c r="C5" s="153"/>
      <c r="D5" s="153"/>
      <c r="E5" s="167"/>
      <c r="F5" s="168"/>
      <c r="G5" s="168"/>
      <c r="H5" s="153"/>
      <c r="I5" s="153"/>
      <c r="J5" s="236"/>
      <c r="L5" t="str">
        <f>G6</f>
        <v>FY2022</v>
      </c>
    </row>
    <row r="6" spans="1:22" ht="31">
      <c r="A6" s="153"/>
      <c r="B6" s="153"/>
      <c r="C6" s="153"/>
      <c r="D6" s="241" t="s">
        <v>52</v>
      </c>
      <c r="E6" s="167"/>
      <c r="F6" s="168"/>
      <c r="G6" s="205" t="str">
        <f>Input!A2</f>
        <v>FY2022</v>
      </c>
      <c r="H6" s="218" t="str">
        <f>LEFT(C7,6)</f>
        <v>FY2021</v>
      </c>
      <c r="I6" s="404" t="str">
        <f>G6 &amp; " /" &amp; H6</f>
        <v>FY2022 /FY2021</v>
      </c>
      <c r="J6" s="236"/>
      <c r="K6" s="405" t="s">
        <v>396</v>
      </c>
      <c r="L6" s="405" t="s">
        <v>397</v>
      </c>
      <c r="M6" s="406" t="str">
        <f>K6</f>
        <v>Adjusted Estimated</v>
      </c>
    </row>
    <row r="7" spans="1:22" ht="31">
      <c r="A7" s="169" t="s">
        <v>332</v>
      </c>
      <c r="B7" s="170" t="s">
        <v>333</v>
      </c>
      <c r="C7" s="171" t="str">
        <f>"FY" &amp; VALUE(RIGHT(Input!A2,4))-1 &amp; " Final Blended GBR Revenue"</f>
        <v>FY2021 Final Blended GBR Revenue</v>
      </c>
      <c r="D7" s="171" t="str">
        <f>Input!A2&amp;" GBR Revenue"</f>
        <v>FY2022 GBR Revenue</v>
      </c>
      <c r="E7" s="196" t="str">
        <f>"FY" &amp; VALUE(RIGHT(Input!A2,4))-1&amp;" Markup"</f>
        <v>FY2021 Markup</v>
      </c>
      <c r="F7" s="196" t="str">
        <f>Input!A2&amp;" Markup"</f>
        <v>FY2022 Markup</v>
      </c>
      <c r="G7" s="185" t="s">
        <v>379</v>
      </c>
      <c r="H7" s="219" t="s">
        <v>380</v>
      </c>
      <c r="I7" s="185" t="s">
        <v>386</v>
      </c>
      <c r="J7" s="237" t="s">
        <v>395</v>
      </c>
      <c r="K7" s="242" t="str">
        <f>D7</f>
        <v>FY2022 GBR Revenue</v>
      </c>
      <c r="L7" s="141">
        <v>0</v>
      </c>
      <c r="M7" t="str">
        <f t="shared" ref="M7" si="0">K7</f>
        <v>FY2022 GBR Revenue</v>
      </c>
    </row>
    <row r="8" spans="1:22">
      <c r="A8" s="336">
        <v>219999</v>
      </c>
      <c r="B8" s="337" t="s">
        <v>393</v>
      </c>
      <c r="C8" s="338">
        <f>SUMIFS(Input!D:D,Input!$A:$A,$A8)</f>
        <v>19024163159.549831</v>
      </c>
      <c r="D8" s="338">
        <f>SUMIFS(Input!E:E,Input!$A:$A,$A8)</f>
        <v>19352009540.648331</v>
      </c>
      <c r="E8" s="339">
        <f>SUMIFS(Input!F:F,Input!$A:$A,$A8)</f>
        <v>1.1100607628333776</v>
      </c>
      <c r="F8" s="339">
        <f>SUMIFS(Input!H:H,Input!$A:$A,$A8)</f>
        <v>1.1129445734023902</v>
      </c>
      <c r="G8" s="340">
        <f>SUMIFS(Input!I:I,Input!$A:$A,$A8)</f>
        <v>4.6314150925130408E-2</v>
      </c>
      <c r="H8" s="341">
        <f>SUMIFS([1]Input!J:J,[1]Input!$A:$A,$A8)</f>
        <v>4.661757491967744E-2</v>
      </c>
      <c r="I8" s="342">
        <f>+D8/C8-1</f>
        <v>1.723315650464885E-2</v>
      </c>
      <c r="J8" s="343">
        <f>-SUMIFS(Input!K:K,Input!$A:$A,$A8)</f>
        <v>-2726240.913104929</v>
      </c>
      <c r="K8" s="344">
        <f>SUM(K9:K56)</f>
        <v>19349313229.622513</v>
      </c>
      <c r="L8" s="345">
        <f>$L$7</f>
        <v>0</v>
      </c>
      <c r="M8" s="344">
        <f>SUM(M9:M56)</f>
        <v>19349313229.622513</v>
      </c>
    </row>
    <row r="9" spans="1:22">
      <c r="A9" s="150">
        <v>210001</v>
      </c>
      <c r="B9" s="151" t="s">
        <v>151</v>
      </c>
      <c r="C9" s="193">
        <f>SUMIFS(Input!D:D,Input!$A:$A,$A9)</f>
        <v>437448588.34371638</v>
      </c>
      <c r="D9" s="193">
        <f>SUMIFS(Input!E:E,Input!$A:$A,$A9)</f>
        <v>424834729.18886143</v>
      </c>
      <c r="E9" s="195">
        <f>SUMIFS(Input!F:F,Input!$A:$A,$A9)</f>
        <v>1.1141497861488601</v>
      </c>
      <c r="F9" s="195">
        <f>SUMIFS(Input!H:H,Input!$A:$A,$A9)</f>
        <v>1.1172418806451605</v>
      </c>
      <c r="G9" s="179">
        <f>SUMIFS(Input!I:I,Input!$A:$A,$A9)</f>
        <v>5.6887901145672465E-2</v>
      </c>
      <c r="H9" s="220">
        <f>SUMIFS(Input!J:J,Input!$A:$A,$A9)</f>
        <v>5.1873903113023784E-2</v>
      </c>
      <c r="I9" s="197">
        <f t="shared" ref="I9:I40" si="1">+D9/C9-1</f>
        <v>-2.8835066544880217E-2</v>
      </c>
      <c r="J9" s="238">
        <f>-SUMIFS(Input!K:K,Input!$A:$A,$A9)</f>
        <v>2089201.9725473523</v>
      </c>
      <c r="K9" s="240">
        <f>D9+F9*J9</f>
        <v>427168873.12971783</v>
      </c>
      <c r="L9" s="141">
        <f t="shared" ref="L9:L56" si="2">$L$7</f>
        <v>0</v>
      </c>
      <c r="M9" s="240">
        <f>K9*(1+L9)</f>
        <v>427168873.12971783</v>
      </c>
      <c r="N9">
        <f>Input!B12</f>
        <v>1</v>
      </c>
      <c r="T9" s="141"/>
      <c r="U9" s="141"/>
      <c r="V9" s="141"/>
    </row>
    <row r="10" spans="1:22">
      <c r="A10" s="150">
        <v>210002</v>
      </c>
      <c r="B10" s="151" t="s">
        <v>297</v>
      </c>
      <c r="C10" s="193">
        <f>SUMIFS(Input!D:D,Input!$A:$A,$A10)</f>
        <v>1732118380.1943429</v>
      </c>
      <c r="D10" s="193">
        <f>SUMIFS(Input!E:E,Input!$A:$A,$A10)</f>
        <v>1748201246.4896855</v>
      </c>
      <c r="E10" s="195">
        <f>SUMIFS(Input!F:F,Input!$A:$A,$A10)</f>
        <v>1.1105551626804377</v>
      </c>
      <c r="F10" s="195">
        <f>SUMIFS(Input!H:H,Input!$A:$A,$A10)</f>
        <v>1.1133698292506018</v>
      </c>
      <c r="G10" s="179">
        <f>SUMIFS(Input!I:I,Input!$A:$A,$A10)</f>
        <v>3.4672992881322966E-2</v>
      </c>
      <c r="H10" s="220">
        <f>SUMIFS(Input!J:J,Input!$A:$A,$A10)</f>
        <v>3.9144222091518299E-2</v>
      </c>
      <c r="I10" s="197">
        <f t="shared" si="1"/>
        <v>9.285084945255484E-3</v>
      </c>
      <c r="J10" s="236">
        <f>-SUMIFS(Input!K:K,Input!$A:$A,$A10)</f>
        <v>-15902652.782982349</v>
      </c>
      <c r="K10" s="240">
        <f t="shared" ref="K10:K56" si="3">D10+F10*J10</f>
        <v>1730495712.676065</v>
      </c>
      <c r="L10" s="141">
        <f t="shared" si="2"/>
        <v>0</v>
      </c>
      <c r="M10" s="240">
        <f t="shared" ref="M10:M56" si="4">K10*(1+L10)</f>
        <v>1730495712.676065</v>
      </c>
      <c r="N10">
        <f>Input!B13</f>
        <v>2</v>
      </c>
      <c r="T10" s="141"/>
      <c r="U10" s="141"/>
      <c r="V10" s="141"/>
    </row>
    <row r="11" spans="1:22">
      <c r="A11" s="150">
        <v>210003</v>
      </c>
      <c r="B11" s="151" t="s">
        <v>298</v>
      </c>
      <c r="C11" s="193">
        <f>SUMIFS(Input!D:D,Input!$A:$A,$A11)</f>
        <v>361209599.28364938</v>
      </c>
      <c r="D11" s="193">
        <f>SUMIFS(Input!E:E,Input!$A:$A,$A11)</f>
        <v>370728002.65548795</v>
      </c>
      <c r="E11" s="195">
        <f>SUMIFS(Input!F:F,Input!$A:$A,$A11)</f>
        <v>1.113920844193528</v>
      </c>
      <c r="F11" s="195">
        <f>SUMIFS(Input!H:H,Input!$A:$A,$A11)</f>
        <v>1.1121568693689245</v>
      </c>
      <c r="G11" s="179">
        <f>SUMIFS(Input!I:I,Input!$A:$A,$A11)</f>
        <v>8.764255246794983E-2</v>
      </c>
      <c r="H11" s="220">
        <f>SUMIFS(Input!J:J,Input!$A:$A,$A11)</f>
        <v>8.7852052706898442E-2</v>
      </c>
      <c r="I11" s="197">
        <f t="shared" si="1"/>
        <v>2.6351468484546059E-2</v>
      </c>
      <c r="J11" s="236">
        <f>-SUMIFS(Input!K:K,Input!$A:$A,$A11)</f>
        <v>13919859.832882881</v>
      </c>
      <c r="K11" s="240">
        <f t="shared" si="3"/>
        <v>386209070.38928121</v>
      </c>
      <c r="L11" s="141">
        <f t="shared" si="2"/>
        <v>0</v>
      </c>
      <c r="M11" s="240">
        <f t="shared" si="4"/>
        <v>386209070.38928121</v>
      </c>
      <c r="N11">
        <f>Input!B14</f>
        <v>3</v>
      </c>
      <c r="T11" s="141"/>
      <c r="U11" s="141"/>
      <c r="V11" s="141"/>
    </row>
    <row r="12" spans="1:22">
      <c r="A12" s="150">
        <v>210004</v>
      </c>
      <c r="B12" s="151" t="s">
        <v>299</v>
      </c>
      <c r="C12" s="193">
        <f>SUMIFS(Input!D:D,Input!$A:$A,$A12)</f>
        <v>557061094.91027451</v>
      </c>
      <c r="D12" s="193">
        <f>SUMIFS(Input!E:E,Input!$A:$A,$A12)</f>
        <v>559285860.58241439</v>
      </c>
      <c r="E12" s="195">
        <f>SUMIFS(Input!F:F,Input!$A:$A,$A12)</f>
        <v>1.1052169218229495</v>
      </c>
      <c r="F12" s="195">
        <f>SUMIFS(Input!H:H,Input!$A:$A,$A12)</f>
        <v>1.1087257491537943</v>
      </c>
      <c r="G12" s="179">
        <f>SUMIFS(Input!I:I,Input!$A:$A,$A12)</f>
        <v>7.5543579392384569E-2</v>
      </c>
      <c r="H12" s="220">
        <f>SUMIFS(Input!J:J,Input!$A:$A,$A12)</f>
        <v>7.9467686067488705E-2</v>
      </c>
      <c r="I12" s="197">
        <f t="shared" si="1"/>
        <v>3.9937552495892259E-3</v>
      </c>
      <c r="J12" s="236">
        <f>-SUMIFS(Input!K:K,Input!$A:$A,$A12)</f>
        <v>19813900.238175511</v>
      </c>
      <c r="K12" s="240">
        <f t="shared" si="3"/>
        <v>581254041.9676441</v>
      </c>
      <c r="L12" s="141">
        <f t="shared" si="2"/>
        <v>0</v>
      </c>
      <c r="M12" s="240">
        <f t="shared" si="4"/>
        <v>581254041.9676441</v>
      </c>
      <c r="N12">
        <f>Input!B15</f>
        <v>4</v>
      </c>
      <c r="T12" s="141"/>
      <c r="U12" s="141"/>
      <c r="V12" s="141"/>
    </row>
    <row r="13" spans="1:22">
      <c r="A13" s="150">
        <v>210005</v>
      </c>
      <c r="B13" s="151" t="s">
        <v>152</v>
      </c>
      <c r="C13" s="193">
        <f>SUMIFS(Input!D:D,Input!$A:$A,$A13)</f>
        <v>390692064.20392698</v>
      </c>
      <c r="D13" s="193">
        <f>SUMIFS(Input!E:E,Input!$A:$A,$A13)</f>
        <v>401882780.25926965</v>
      </c>
      <c r="E13" s="195">
        <f>SUMIFS(Input!F:F,Input!$A:$A,$A13)</f>
        <v>1.1076159869090776</v>
      </c>
      <c r="F13" s="195">
        <f>SUMIFS(Input!H:H,Input!$A:$A,$A13)</f>
        <v>1.1105694937083737</v>
      </c>
      <c r="G13" s="179">
        <f>SUMIFS(Input!I:I,Input!$A:$A,$A13)</f>
        <v>5.0712615590598031E-2</v>
      </c>
      <c r="H13" s="220">
        <f>SUMIFS(Input!J:J,Input!$A:$A,$A13)</f>
        <v>4.5181894121378928E-2</v>
      </c>
      <c r="I13" s="197">
        <f t="shared" si="1"/>
        <v>2.8643315492329791E-2</v>
      </c>
      <c r="J13" s="236">
        <f>-SUMIFS(Input!K:K,Input!$A:$A,$A13)</f>
        <v>2551943.5764678121</v>
      </c>
      <c r="K13" s="240">
        <f t="shared" si="3"/>
        <v>404716890.94495988</v>
      </c>
      <c r="L13" s="141">
        <f t="shared" si="2"/>
        <v>0</v>
      </c>
      <c r="M13" s="240">
        <f t="shared" si="4"/>
        <v>404716890.94495988</v>
      </c>
      <c r="N13">
        <f>Input!B16</f>
        <v>5</v>
      </c>
      <c r="T13" s="141"/>
      <c r="U13" s="141"/>
      <c r="V13" s="141"/>
    </row>
    <row r="14" spans="1:22">
      <c r="A14" s="150">
        <v>210006</v>
      </c>
      <c r="B14" s="151" t="s">
        <v>300</v>
      </c>
      <c r="C14" s="193">
        <f>SUMIFS(Input!D:D,Input!$A:$A,$A14)</f>
        <v>114594077.2872986</v>
      </c>
      <c r="D14" s="193">
        <f>SUMIFS(Input!E:E,Input!$A:$A,$A14)</f>
        <v>128220806.99519695</v>
      </c>
      <c r="E14" s="195">
        <f>SUMIFS(Input!F:F,Input!$A:$A,$A14)</f>
        <v>1.1107552581455078</v>
      </c>
      <c r="F14" s="195">
        <f>SUMIFS(Input!H:H,Input!$A:$A,$A14)</f>
        <v>1.114974808529291</v>
      </c>
      <c r="G14" s="179">
        <f>SUMIFS(Input!I:I,Input!$A:$A,$A14)</f>
        <v>5.6844801519584494E-2</v>
      </c>
      <c r="H14" s="220">
        <f>SUMIFS(Input!J:J,Input!$A:$A,$A14)</f>
        <v>6.5525984532632892E-2</v>
      </c>
      <c r="I14" s="197">
        <f t="shared" si="1"/>
        <v>0.11891303661126229</v>
      </c>
      <c r="J14" s="236">
        <f>-SUMIFS(Input!K:K,Input!$A:$A,$A14)</f>
        <v>1294999.7027656585</v>
      </c>
      <c r="K14" s="240">
        <f t="shared" si="3"/>
        <v>129664699.04083358</v>
      </c>
      <c r="L14" s="141">
        <f t="shared" si="2"/>
        <v>0</v>
      </c>
      <c r="M14" s="240">
        <f t="shared" si="4"/>
        <v>129664699.04083358</v>
      </c>
      <c r="N14">
        <f>Input!B17</f>
        <v>6</v>
      </c>
      <c r="T14" s="141"/>
      <c r="U14" s="141"/>
      <c r="V14" s="141"/>
    </row>
    <row r="15" spans="1:22">
      <c r="A15" s="150">
        <v>210008</v>
      </c>
      <c r="B15" s="151" t="s">
        <v>301</v>
      </c>
      <c r="C15" s="193">
        <f>SUMIFS(Input!D:D,Input!$A:$A,$A15)</f>
        <v>627587310.6481334</v>
      </c>
      <c r="D15" s="193">
        <f>SUMIFS(Input!E:E,Input!$A:$A,$A15)</f>
        <v>622578370.3843441</v>
      </c>
      <c r="E15" s="195">
        <f>SUMIFS(Input!F:F,Input!$A:$A,$A15)</f>
        <v>1.1063637198023515</v>
      </c>
      <c r="F15" s="195">
        <f>SUMIFS(Input!H:H,Input!$A:$A,$A15)</f>
        <v>1.1091037583526702</v>
      </c>
      <c r="G15" s="179">
        <f>SUMIFS(Input!I:I,Input!$A:$A,$A15)</f>
        <v>4.8536714070880629E-2</v>
      </c>
      <c r="H15" s="220">
        <f>SUMIFS(Input!J:J,Input!$A:$A,$A15)</f>
        <v>5.1367220853608155E-2</v>
      </c>
      <c r="I15" s="197">
        <f t="shared" si="1"/>
        <v>-7.9812644054519932E-3</v>
      </c>
      <c r="J15" s="236">
        <f>-SUMIFS(Input!K:K,Input!$A:$A,$A15)</f>
        <v>1141708.2020213008</v>
      </c>
      <c r="K15" s="240">
        <f t="shared" si="3"/>
        <v>623844643.24214804</v>
      </c>
      <c r="L15" s="141">
        <f t="shared" si="2"/>
        <v>0</v>
      </c>
      <c r="M15" s="240">
        <f t="shared" si="4"/>
        <v>623844643.24214804</v>
      </c>
      <c r="N15">
        <f>Input!B18</f>
        <v>8</v>
      </c>
      <c r="T15" s="141"/>
      <c r="U15" s="141"/>
      <c r="V15" s="141"/>
    </row>
    <row r="16" spans="1:22">
      <c r="A16" s="150">
        <v>210009</v>
      </c>
      <c r="B16" s="151" t="s">
        <v>153</v>
      </c>
      <c r="C16" s="193">
        <f>SUMIFS(Input!D:D,Input!$A:$A,$A16)</f>
        <v>2748743007.9153743</v>
      </c>
      <c r="D16" s="193">
        <f>SUMIFS(Input!E:E,Input!$A:$A,$A16)</f>
        <v>2806477823.0477567</v>
      </c>
      <c r="E16" s="195">
        <f>SUMIFS(Input!F:F,Input!$A:$A,$A16)</f>
        <v>1.1031384816116303</v>
      </c>
      <c r="F16" s="195">
        <f>SUMIFS(Input!H:H,Input!$A:$A,$A16)</f>
        <v>1.1053220699950408</v>
      </c>
      <c r="G16" s="179">
        <f>SUMIFS(Input!I:I,Input!$A:$A,$A16)</f>
        <v>3.3240313167309826E-2</v>
      </c>
      <c r="H16" s="220">
        <f>SUMIFS(Input!J:J,Input!$A:$A,$A16)</f>
        <v>3.0397940796939749E-2</v>
      </c>
      <c r="I16" s="197">
        <f t="shared" si="1"/>
        <v>2.1004078943039461E-2</v>
      </c>
      <c r="J16" s="236">
        <f>-SUMIFS(Input!K:K,Input!$A:$A,$A16)</f>
        <v>-39919425.448578358</v>
      </c>
      <c r="K16" s="240">
        <f t="shared" si="3"/>
        <v>2762354001.0779214</v>
      </c>
      <c r="L16" s="141">
        <f t="shared" si="2"/>
        <v>0</v>
      </c>
      <c r="M16" s="240">
        <f t="shared" si="4"/>
        <v>2762354001.0779214</v>
      </c>
      <c r="N16">
        <f>Input!B19</f>
        <v>9</v>
      </c>
      <c r="T16" s="141"/>
      <c r="U16" s="141"/>
      <c r="V16" s="141"/>
    </row>
    <row r="17" spans="1:22">
      <c r="A17" s="150">
        <v>210010</v>
      </c>
      <c r="B17" s="151" t="s">
        <v>302</v>
      </c>
      <c r="C17" s="193">
        <f>SUMIFS(Input!D:D,Input!$A:$A,$A17)</f>
        <v>48679972.506414898</v>
      </c>
      <c r="D17" s="193">
        <f>SUMIFS(Input!E:E,Input!$A:$A,$A17)</f>
        <v>49500572.207894906</v>
      </c>
      <c r="E17" s="195">
        <f>SUMIFS(Input!F:F,Input!$A:$A,$A17)</f>
        <v>1.1210070236873082</v>
      </c>
      <c r="F17" s="195">
        <f>SUMIFS(Input!H:H,Input!$A:$A,$A17)</f>
        <v>1.1245754707501601</v>
      </c>
      <c r="G17" s="179">
        <f>SUMIFS(Input!I:I,Input!$A:$A,$A17)</f>
        <v>5.9014411063542042E-2</v>
      </c>
      <c r="H17" s="220">
        <f>SUMIFS(Input!J:J,Input!$A:$A,$A17)</f>
        <v>6.1185517305934044E-2</v>
      </c>
      <c r="I17" s="197">
        <f t="shared" si="1"/>
        <v>1.6857028860726597E-2</v>
      </c>
      <c r="J17" s="236">
        <f>-SUMIFS(Input!K:K,Input!$A:$A,$A17)</f>
        <v>501100.1351711154</v>
      </c>
      <c r="K17" s="240">
        <f t="shared" si="3"/>
        <v>50064097.128297932</v>
      </c>
      <c r="L17" s="141">
        <f t="shared" si="2"/>
        <v>0</v>
      </c>
      <c r="M17" s="240">
        <f t="shared" si="4"/>
        <v>50064097.128297932</v>
      </c>
      <c r="N17">
        <f>Input!B20</f>
        <v>10</v>
      </c>
      <c r="T17" s="141"/>
      <c r="U17" s="141"/>
      <c r="V17" s="141"/>
    </row>
    <row r="18" spans="1:22">
      <c r="A18" s="150">
        <v>210011</v>
      </c>
      <c r="B18" s="151" t="s">
        <v>303</v>
      </c>
      <c r="C18" s="193">
        <f>SUMIFS(Input!D:D,Input!$A:$A,$A18)</f>
        <v>465020034.7659502</v>
      </c>
      <c r="D18" s="193">
        <f>SUMIFS(Input!E:E,Input!$A:$A,$A18)</f>
        <v>466906889.52038884</v>
      </c>
      <c r="E18" s="195">
        <f>SUMIFS(Input!F:F,Input!$A:$A,$A18)</f>
        <v>1.1145007346313778</v>
      </c>
      <c r="F18" s="195">
        <f>SUMIFS(Input!H:H,Input!$A:$A,$A18)</f>
        <v>1.1191950162261288</v>
      </c>
      <c r="G18" s="179">
        <f>SUMIFS(Input!I:I,Input!$A:$A,$A18)</f>
        <v>5.8447083163181167E-2</v>
      </c>
      <c r="H18" s="220">
        <f>SUMIFS(Input!J:J,Input!$A:$A,$A18)</f>
        <v>5.3924903140674628E-2</v>
      </c>
      <c r="I18" s="197">
        <f t="shared" si="1"/>
        <v>4.0575773372610868E-3</v>
      </c>
      <c r="J18" s="236">
        <f>-SUMIFS(Input!K:K,Input!$A:$A,$A18)</f>
        <v>2690575.7870564461</v>
      </c>
      <c r="K18" s="240">
        <f t="shared" si="3"/>
        <v>469918168.53204113</v>
      </c>
      <c r="L18" s="141">
        <f t="shared" si="2"/>
        <v>0</v>
      </c>
      <c r="M18" s="240">
        <f t="shared" si="4"/>
        <v>469918168.53204113</v>
      </c>
      <c r="N18">
        <f>Input!B21</f>
        <v>11</v>
      </c>
      <c r="T18" s="141"/>
      <c r="U18" s="141"/>
      <c r="V18" s="141"/>
    </row>
    <row r="19" spans="1:22">
      <c r="A19" s="150">
        <v>210012</v>
      </c>
      <c r="B19" s="151" t="s">
        <v>304</v>
      </c>
      <c r="C19" s="193">
        <f>SUMIFS(Input!D:D,Input!$A:$A,$A19)</f>
        <v>901845132.97185671</v>
      </c>
      <c r="D19" s="193">
        <f>SUMIFS(Input!E:E,Input!$A:$A,$A19)</f>
        <v>934353314.06213677</v>
      </c>
      <c r="E19" s="195">
        <f>SUMIFS(Input!F:F,Input!$A:$A,$A19)</f>
        <v>1.1140681619503976</v>
      </c>
      <c r="F19" s="195">
        <f>SUMIFS(Input!H:H,Input!$A:$A,$A19)</f>
        <v>1.1177770097580206</v>
      </c>
      <c r="G19" s="179">
        <f>SUMIFS(Input!I:I,Input!$A:$A,$A19)</f>
        <v>4.158218142816611E-2</v>
      </c>
      <c r="H19" s="220">
        <f>SUMIFS(Input!J:J,Input!$A:$A,$A19)</f>
        <v>4.1166010851368715E-2</v>
      </c>
      <c r="I19" s="197">
        <f t="shared" si="1"/>
        <v>3.6046300968721301E-2</v>
      </c>
      <c r="J19" s="236">
        <f>-SUMIFS(Input!K:K,Input!$A:$A,$A19)</f>
        <v>-9871810.205899477</v>
      </c>
      <c r="K19" s="240">
        <f t="shared" si="3"/>
        <v>923318831.56928778</v>
      </c>
      <c r="L19" s="141">
        <f t="shared" si="2"/>
        <v>0</v>
      </c>
      <c r="M19" s="240">
        <f t="shared" si="4"/>
        <v>923318831.56928778</v>
      </c>
      <c r="N19">
        <f>Input!B22</f>
        <v>12</v>
      </c>
      <c r="T19" s="141"/>
      <c r="U19" s="141"/>
      <c r="V19" s="141"/>
    </row>
    <row r="20" spans="1:22">
      <c r="A20" s="150">
        <v>210013</v>
      </c>
      <c r="B20" s="151" t="s">
        <v>154</v>
      </c>
      <c r="C20" s="193">
        <f>SUMIFS(Input!D:D,Input!$A:$A,$A20)</f>
        <v>43744475.191202715</v>
      </c>
      <c r="D20" s="193">
        <f>SUMIFS(Input!E:E,Input!$A:$A,$A20)</f>
        <v>41995819.097166784</v>
      </c>
      <c r="E20" s="195">
        <f>SUMIFS(Input!F:F,Input!$A:$A,$A20)</f>
        <v>1.1233657734728308</v>
      </c>
      <c r="F20" s="195">
        <f>SUMIFS(Input!H:H,Input!$A:$A,$A20)</f>
        <v>1.1242494568824895</v>
      </c>
      <c r="G20" s="179">
        <f>SUMIFS(Input!I:I,Input!$A:$A,$A20)</f>
        <v>5.0671677719280467E-2</v>
      </c>
      <c r="H20" s="220">
        <f>SUMIFS(Input!J:J,Input!$A:$A,$A20)</f>
        <v>4.3223295400022843E-2</v>
      </c>
      <c r="I20" s="197">
        <f t="shared" si="1"/>
        <v>-3.9974330161528515E-2</v>
      </c>
      <c r="J20" s="236">
        <f>-SUMIFS(Input!K:K,Input!$A:$A,$A20)</f>
        <v>57249.861395299435</v>
      </c>
      <c r="K20" s="240">
        <f t="shared" si="3"/>
        <v>42060182.22274705</v>
      </c>
      <c r="L20" s="141">
        <f t="shared" si="2"/>
        <v>0</v>
      </c>
      <c r="M20" s="240">
        <f t="shared" si="4"/>
        <v>42060182.22274705</v>
      </c>
      <c r="N20">
        <f>Input!B23</f>
        <v>13</v>
      </c>
      <c r="T20" s="141"/>
      <c r="U20" s="141"/>
      <c r="V20" s="141"/>
    </row>
    <row r="21" spans="1:22">
      <c r="A21" s="150">
        <v>210015</v>
      </c>
      <c r="B21" s="151" t="s">
        <v>305</v>
      </c>
      <c r="C21" s="193">
        <f>SUMIFS(Input!D:D,Input!$A:$A,$A21)</f>
        <v>604105739.9549036</v>
      </c>
      <c r="D21" s="193">
        <f>SUMIFS(Input!E:E,Input!$A:$A,$A21)</f>
        <v>608631681.16135263</v>
      </c>
      <c r="E21" s="195">
        <f>SUMIFS(Input!F:F,Input!$A:$A,$A21)</f>
        <v>1.1151209479901063</v>
      </c>
      <c r="F21" s="195">
        <f>SUMIFS(Input!H:H,Input!$A:$A,$A21)</f>
        <v>1.1186860738362463</v>
      </c>
      <c r="G21" s="179">
        <f>SUMIFS(Input!I:I,Input!$A:$A,$A21)</f>
        <v>3.9452529853663473E-2</v>
      </c>
      <c r="H21" s="220">
        <f>SUMIFS(Input!J:J,Input!$A:$A,$A21)</f>
        <v>3.7246731172020216E-2</v>
      </c>
      <c r="I21" s="197">
        <f t="shared" si="1"/>
        <v>7.4919685530332458E-3</v>
      </c>
      <c r="J21" s="236">
        <f>-SUMIFS(Input!K:K,Input!$A:$A,$A21)</f>
        <v>-4066834.7471336722</v>
      </c>
      <c r="K21" s="240">
        <f t="shared" si="3"/>
        <v>604082169.76514089</v>
      </c>
      <c r="L21" s="141">
        <f t="shared" si="2"/>
        <v>0</v>
      </c>
      <c r="M21" s="240">
        <f t="shared" si="4"/>
        <v>604082169.76514089</v>
      </c>
      <c r="N21">
        <f>Input!B24</f>
        <v>15</v>
      </c>
      <c r="T21" s="141"/>
      <c r="U21" s="141"/>
      <c r="V21" s="141"/>
    </row>
    <row r="22" spans="1:22">
      <c r="A22" s="150">
        <v>210016</v>
      </c>
      <c r="B22" s="151" t="s">
        <v>306</v>
      </c>
      <c r="C22" s="193">
        <f>SUMIFS(Input!D:D,Input!$A:$A,$A22)</f>
        <v>324197185.65672374</v>
      </c>
      <c r="D22" s="193">
        <f>SUMIFS(Input!E:E,Input!$A:$A,$A22)</f>
        <v>339007688.52531183</v>
      </c>
      <c r="E22" s="195">
        <f>SUMIFS(Input!F:F,Input!$A:$A,$A22)</f>
        <v>1.1162574393031277</v>
      </c>
      <c r="F22" s="195">
        <f>SUMIFS(Input!H:H,Input!$A:$A,$A22)</f>
        <v>1.1201749179290283</v>
      </c>
      <c r="G22" s="179">
        <f>SUMIFS(Input!I:I,Input!$A:$A,$A22)</f>
        <v>6.2904064725735787E-2</v>
      </c>
      <c r="H22" s="220">
        <f>SUMIFS(Input!J:J,Input!$A:$A,$A22)</f>
        <v>6.711546597640336E-2</v>
      </c>
      <c r="I22" s="197">
        <f t="shared" si="1"/>
        <v>4.5683625656979698E-2</v>
      </c>
      <c r="J22" s="236">
        <f>-SUMIFS(Input!K:K,Input!$A:$A,$A22)</f>
        <v>10454828.428000271</v>
      </c>
      <c r="K22" s="240">
        <f t="shared" si="3"/>
        <v>350718925.10160911</v>
      </c>
      <c r="L22" s="141">
        <f t="shared" si="2"/>
        <v>0</v>
      </c>
      <c r="M22" s="240">
        <f t="shared" si="4"/>
        <v>350718925.10160911</v>
      </c>
      <c r="N22">
        <f>Input!B25</f>
        <v>16</v>
      </c>
      <c r="T22" s="141"/>
      <c r="U22" s="141"/>
      <c r="V22" s="141"/>
    </row>
    <row r="23" spans="1:22">
      <c r="A23" s="150">
        <v>210017</v>
      </c>
      <c r="B23" s="151" t="s">
        <v>155</v>
      </c>
      <c r="C23" s="193">
        <f>SUMIFS(Input!D:D,Input!$A:$A,$A23)</f>
        <v>70315929.191119865</v>
      </c>
      <c r="D23" s="193">
        <f>SUMIFS(Input!E:E,Input!$A:$A,$A23)</f>
        <v>70165467.631100833</v>
      </c>
      <c r="E23" s="195">
        <f>SUMIFS(Input!F:F,Input!$A:$A,$A23)</f>
        <v>1.1158577958774549</v>
      </c>
      <c r="F23" s="195">
        <f>SUMIFS(Input!H:H,Input!$A:$A,$A23)</f>
        <v>1.1176598490622838</v>
      </c>
      <c r="G23" s="179">
        <f>SUMIFS(Input!I:I,Input!$A:$A,$A23)</f>
        <v>6.4756774352754162E-2</v>
      </c>
      <c r="H23" s="220">
        <f>SUMIFS(Input!J:J,Input!$A:$A,$A23)</f>
        <v>6.5493561699449462E-2</v>
      </c>
      <c r="I23" s="197">
        <f t="shared" si="1"/>
        <v>-2.1397933832328908E-3</v>
      </c>
      <c r="J23" s="236">
        <f>-SUMIFS(Input!K:K,Input!$A:$A,$A23)</f>
        <v>1223224.971110791</v>
      </c>
      <c r="K23" s="240">
        <f t="shared" si="3"/>
        <v>71532617.06768173</v>
      </c>
      <c r="L23" s="141">
        <f t="shared" si="2"/>
        <v>0</v>
      </c>
      <c r="M23" s="240">
        <f t="shared" si="4"/>
        <v>71532617.06768173</v>
      </c>
      <c r="N23">
        <f>Input!B26</f>
        <v>17</v>
      </c>
      <c r="T23" s="141"/>
      <c r="U23" s="141"/>
      <c r="V23" s="141"/>
    </row>
    <row r="24" spans="1:22">
      <c r="A24" s="150">
        <v>210018</v>
      </c>
      <c r="B24" s="151" t="s">
        <v>307</v>
      </c>
      <c r="C24" s="193">
        <f>SUMIFS(Input!D:D,Input!$A:$A,$A24)</f>
        <v>189258200.94152528</v>
      </c>
      <c r="D24" s="193">
        <f>SUMIFS(Input!E:E,Input!$A:$A,$A24)</f>
        <v>190360067.49712747</v>
      </c>
      <c r="E24" s="195">
        <f>SUMIFS(Input!F:F,Input!$A:$A,$A24)</f>
        <v>1.1099167519492501</v>
      </c>
      <c r="F24" s="195">
        <f>SUMIFS(Input!H:H,Input!$A:$A,$A24)</f>
        <v>1.1130496586209497</v>
      </c>
      <c r="G24" s="179">
        <f>SUMIFS(Input!I:I,Input!$A:$A,$A24)</f>
        <v>3.8570754052689879E-2</v>
      </c>
      <c r="H24" s="220">
        <f>SUMIFS(Input!J:J,Input!$A:$A,$A24)</f>
        <v>3.6925373988471129E-2</v>
      </c>
      <c r="I24" s="197">
        <f t="shared" si="1"/>
        <v>5.8220280554321935E-3</v>
      </c>
      <c r="J24" s="236">
        <f>-SUMIFS(Input!K:K,Input!$A:$A,$A24)</f>
        <v>-1110751.6724930406</v>
      </c>
      <c r="K24" s="240">
        <f t="shared" si="3"/>
        <v>189123745.72724643</v>
      </c>
      <c r="L24" s="141">
        <f t="shared" si="2"/>
        <v>0</v>
      </c>
      <c r="M24" s="240">
        <f t="shared" si="4"/>
        <v>189123745.72724643</v>
      </c>
      <c r="N24">
        <f>Input!B27</f>
        <v>18</v>
      </c>
      <c r="T24" s="141"/>
      <c r="U24" s="141"/>
      <c r="V24" s="141"/>
    </row>
    <row r="25" spans="1:22">
      <c r="A25" s="150">
        <v>210019</v>
      </c>
      <c r="B25" s="151" t="s">
        <v>156</v>
      </c>
      <c r="C25" s="193">
        <f>SUMIFS(Input!D:D,Input!$A:$A,$A25)</f>
        <v>514487376.20632589</v>
      </c>
      <c r="D25" s="193">
        <f>SUMIFS(Input!E:E,Input!$A:$A,$A25)</f>
        <v>523674648.76062405</v>
      </c>
      <c r="E25" s="195">
        <f>SUMIFS(Input!F:F,Input!$A:$A,$A25)</f>
        <v>1.1171441388205088</v>
      </c>
      <c r="F25" s="195">
        <f>SUMIFS(Input!H:H,Input!$A:$A,$A25)</f>
        <v>1.1207766158159804</v>
      </c>
      <c r="G25" s="179">
        <f>SUMIFS(Input!I:I,Input!$A:$A,$A25)</f>
        <v>4.5821836193594041E-2</v>
      </c>
      <c r="H25" s="220">
        <f>SUMIFS(Input!J:J,Input!$A:$A,$A25)</f>
        <v>4.1288079206749949E-2</v>
      </c>
      <c r="I25" s="197">
        <f t="shared" si="1"/>
        <v>1.7857138929320948E-2</v>
      </c>
      <c r="J25" s="236">
        <f>-SUMIFS(Input!K:K,Input!$A:$A,$A25)</f>
        <v>-1517447.9607422871</v>
      </c>
      <c r="K25" s="240">
        <f t="shared" si="3"/>
        <v>521973928.57050645</v>
      </c>
      <c r="L25" s="141">
        <f t="shared" si="2"/>
        <v>0</v>
      </c>
      <c r="M25" s="240">
        <f t="shared" si="4"/>
        <v>521973928.57050645</v>
      </c>
      <c r="N25">
        <f>Input!B28</f>
        <v>19</v>
      </c>
      <c r="T25" s="141"/>
      <c r="U25" s="141"/>
      <c r="V25" s="141"/>
    </row>
    <row r="26" spans="1:22">
      <c r="A26" s="150">
        <v>210022</v>
      </c>
      <c r="B26" s="151" t="s">
        <v>308</v>
      </c>
      <c r="C26" s="193">
        <f>SUMIFS(Input!D:D,Input!$A:$A,$A26)</f>
        <v>374516437.765531</v>
      </c>
      <c r="D26" s="193">
        <f>SUMIFS(Input!E:E,Input!$A:$A,$A26)</f>
        <v>380501979.54323256</v>
      </c>
      <c r="E26" s="195">
        <f>SUMIFS(Input!F:F,Input!$A:$A,$A26)</f>
        <v>1.105478076072322</v>
      </c>
      <c r="F26" s="195">
        <f>SUMIFS(Input!H:H,Input!$A:$A,$A26)</f>
        <v>1.1064754279807623</v>
      </c>
      <c r="G26" s="179">
        <f>SUMIFS(Input!I:I,Input!$A:$A,$A26)</f>
        <v>4.0538608259856529E-2</v>
      </c>
      <c r="H26" s="220">
        <f>SUMIFS(Input!J:J,Input!$A:$A,$A26)</f>
        <v>3.9497336513756622E-2</v>
      </c>
      <c r="I26" s="197">
        <f t="shared" si="1"/>
        <v>1.5982053587321632E-2</v>
      </c>
      <c r="J26" s="236">
        <f>-SUMIFS(Input!K:K,Input!$A:$A,$A26)</f>
        <v>-2069506.2597253323</v>
      </c>
      <c r="K26" s="240">
        <f t="shared" si="3"/>
        <v>378212121.71879411</v>
      </c>
      <c r="L26" s="141">
        <f t="shared" si="2"/>
        <v>0</v>
      </c>
      <c r="M26" s="240">
        <f t="shared" si="4"/>
        <v>378212121.71879411</v>
      </c>
      <c r="N26">
        <f>Input!B29</f>
        <v>22</v>
      </c>
      <c r="T26" s="141"/>
      <c r="U26" s="141"/>
      <c r="V26" s="141"/>
    </row>
    <row r="27" spans="1:22">
      <c r="A27" s="150">
        <v>210023</v>
      </c>
      <c r="B27" s="151" t="s">
        <v>309</v>
      </c>
      <c r="C27" s="193">
        <f>SUMIFS(Input!D:D,Input!$A:$A,$A27)</f>
        <v>728093863.6307807</v>
      </c>
      <c r="D27" s="193">
        <f>SUMIFS(Input!E:E,Input!$A:$A,$A27)</f>
        <v>731074360.00576246</v>
      </c>
      <c r="E27" s="195">
        <f>SUMIFS(Input!F:F,Input!$A:$A,$A27)</f>
        <v>1.1022217221622292</v>
      </c>
      <c r="F27" s="195">
        <f>SUMIFS(Input!H:H,Input!$A:$A,$A27)</f>
        <v>1.1060298907992556</v>
      </c>
      <c r="G27" s="179">
        <f>SUMIFS(Input!I:I,Input!$A:$A,$A27)</f>
        <v>3.6883177009109674E-2</v>
      </c>
      <c r="H27" s="220">
        <f>SUMIFS(Input!J:J,Input!$A:$A,$A27)</f>
        <v>3.2753900781538288E-2</v>
      </c>
      <c r="I27" s="197">
        <f t="shared" si="1"/>
        <v>4.0935606298326821E-3</v>
      </c>
      <c r="J27" s="236">
        <f>-SUMIFS(Input!K:K,Input!$A:$A,$A27)</f>
        <v>-8504936.974711895</v>
      </c>
      <c r="K27" s="240">
        <f t="shared" si="3"/>
        <v>721667645.49236727</v>
      </c>
      <c r="L27" s="141">
        <f t="shared" si="2"/>
        <v>0</v>
      </c>
      <c r="M27" s="240">
        <f t="shared" si="4"/>
        <v>721667645.49236727</v>
      </c>
      <c r="N27">
        <f>Input!B30</f>
        <v>23</v>
      </c>
      <c r="T27" s="141"/>
      <c r="U27" s="141"/>
      <c r="V27" s="141"/>
    </row>
    <row r="28" spans="1:22">
      <c r="A28" s="150">
        <v>210024</v>
      </c>
      <c r="B28" s="151" t="s">
        <v>310</v>
      </c>
      <c r="C28" s="193">
        <f>SUMIFS(Input!D:D,Input!$A:$A,$A28)</f>
        <v>453287365.31288695</v>
      </c>
      <c r="D28" s="193">
        <f>SUMIFS(Input!E:E,Input!$A:$A,$A28)</f>
        <v>442687683.08699644</v>
      </c>
      <c r="E28" s="195">
        <f>SUMIFS(Input!F:F,Input!$A:$A,$A28)</f>
        <v>1.1153364418804246</v>
      </c>
      <c r="F28" s="195">
        <f>SUMIFS(Input!H:H,Input!$A:$A,$A28)</f>
        <v>1.1184018579579578</v>
      </c>
      <c r="G28" s="179">
        <f>SUMIFS(Input!I:I,Input!$A:$A,$A28)</f>
        <v>3.4252399190141475E-2</v>
      </c>
      <c r="H28" s="220">
        <f>SUMIFS(Input!J:J,Input!$A:$A,$A28)</f>
        <v>3.013829519513982E-2</v>
      </c>
      <c r="I28" s="197">
        <f t="shared" si="1"/>
        <v>-2.3384023109874197E-2</v>
      </c>
      <c r="J28" s="236">
        <f>-SUMIFS(Input!K:K,Input!$A:$A,$A28)</f>
        <v>-4172127.1221662164</v>
      </c>
      <c r="K28" s="240">
        <f t="shared" si="3"/>
        <v>438021568.36192894</v>
      </c>
      <c r="L28" s="141">
        <f t="shared" si="2"/>
        <v>0</v>
      </c>
      <c r="M28" s="240">
        <f t="shared" si="4"/>
        <v>438021568.36192894</v>
      </c>
      <c r="N28">
        <f>Input!B31</f>
        <v>24</v>
      </c>
      <c r="T28" s="141"/>
      <c r="U28" s="141"/>
      <c r="V28" s="141"/>
    </row>
    <row r="29" spans="1:22">
      <c r="A29" s="150">
        <v>210027</v>
      </c>
      <c r="B29" s="151" t="s">
        <v>311</v>
      </c>
      <c r="C29" s="193">
        <f>SUMIFS(Input!D:D,Input!$A:$A,$A29)</f>
        <v>358782400.32511616</v>
      </c>
      <c r="D29" s="193">
        <f>SUMIFS(Input!E:E,Input!$A:$A,$A29)</f>
        <v>366182178.60786182</v>
      </c>
      <c r="E29" s="195">
        <f>SUMIFS(Input!F:F,Input!$A:$A,$A29)</f>
        <v>1.1182380807567878</v>
      </c>
      <c r="F29" s="195">
        <f>SUMIFS(Input!H:H,Input!$A:$A,$A29)</f>
        <v>1.1222352407431402</v>
      </c>
      <c r="G29" s="179">
        <f>SUMIFS(Input!I:I,Input!$A:$A,$A29)</f>
        <v>4.9998069362815582E-2</v>
      </c>
      <c r="H29" s="220">
        <f>SUMIFS(Input!J:J,Input!$A:$A,$A29)</f>
        <v>4.7923754654631466E-2</v>
      </c>
      <c r="I29" s="197">
        <f t="shared" si="1"/>
        <v>2.062469696406577E-2</v>
      </c>
      <c r="J29" s="236">
        <f>-SUMIFS(Input!K:K,Input!$A:$A,$A29)</f>
        <v>2251777.2079078555</v>
      </c>
      <c r="K29" s="240">
        <f t="shared" si="3"/>
        <v>368709202.3448782</v>
      </c>
      <c r="L29" s="141">
        <f t="shared" si="2"/>
        <v>0</v>
      </c>
      <c r="M29" s="240">
        <f t="shared" si="4"/>
        <v>368709202.3448782</v>
      </c>
      <c r="N29">
        <f>Input!B32</f>
        <v>27</v>
      </c>
      <c r="T29" s="141"/>
      <c r="U29" s="141"/>
      <c r="V29" s="141"/>
    </row>
    <row r="30" spans="1:22">
      <c r="A30" s="150">
        <v>210028</v>
      </c>
      <c r="B30" s="151" t="s">
        <v>312</v>
      </c>
      <c r="C30" s="193">
        <f>SUMIFS(Input!D:D,Input!$A:$A,$A30)</f>
        <v>206016792.21388263</v>
      </c>
      <c r="D30" s="193">
        <f>SUMIFS(Input!E:E,Input!$A:$A,$A30)</f>
        <v>204293768.6906538</v>
      </c>
      <c r="E30" s="195">
        <f>SUMIFS(Input!F:F,Input!$A:$A,$A30)</f>
        <v>1.108155612752997</v>
      </c>
      <c r="F30" s="195">
        <f>SUMIFS(Input!H:H,Input!$A:$A,$A30)</f>
        <v>1.1112170050999408</v>
      </c>
      <c r="G30" s="179">
        <f>SUMIFS(Input!I:I,Input!$A:$A,$A30)</f>
        <v>3.9048248664500185E-2</v>
      </c>
      <c r="H30" s="220">
        <f>SUMIFS(Input!J:J,Input!$A:$A,$A30)</f>
        <v>3.5136915781648875E-2</v>
      </c>
      <c r="I30" s="197">
        <f t="shared" si="1"/>
        <v>-8.3635101037784487E-3</v>
      </c>
      <c r="J30" s="236">
        <f>-SUMIFS(Input!K:K,Input!$A:$A,$A30)</f>
        <v>-241247.53390461206</v>
      </c>
      <c r="K30" s="240">
        <f t="shared" si="3"/>
        <v>204025690.32854056</v>
      </c>
      <c r="L30" s="141">
        <f t="shared" si="2"/>
        <v>0</v>
      </c>
      <c r="M30" s="240">
        <f t="shared" si="4"/>
        <v>204025690.32854056</v>
      </c>
      <c r="N30">
        <f>Input!B33</f>
        <v>28</v>
      </c>
      <c r="T30" s="141"/>
      <c r="U30" s="141"/>
      <c r="V30" s="141"/>
    </row>
    <row r="31" spans="1:22">
      <c r="A31" s="150">
        <v>210029</v>
      </c>
      <c r="B31" s="151" t="s">
        <v>313</v>
      </c>
      <c r="C31" s="193">
        <f>SUMIFS(Input!D:D,Input!$A:$A,$A31)</f>
        <v>752759369.06979322</v>
      </c>
      <c r="D31" s="193">
        <f>SUMIFS(Input!E:E,Input!$A:$A,$A31)</f>
        <v>777023130.46288252</v>
      </c>
      <c r="E31" s="195">
        <f>SUMIFS(Input!F:F,Input!$A:$A,$A31)</f>
        <v>1.1141231178647666</v>
      </c>
      <c r="F31" s="195">
        <f>SUMIFS(Input!H:H,Input!$A:$A,$A31)</f>
        <v>1.1155183788573015</v>
      </c>
      <c r="G31" s="179">
        <f>SUMIFS(Input!I:I,Input!$A:$A,$A31)</f>
        <v>5.3897931383830866E-2</v>
      </c>
      <c r="H31" s="220">
        <f>SUMIFS(Input!J:J,Input!$A:$A,$A31)</f>
        <v>5.2129882910006697E-2</v>
      </c>
      <c r="I31" s="197">
        <f t="shared" si="1"/>
        <v>3.2233091197619634E-2</v>
      </c>
      <c r="J31" s="236">
        <f>-SUMIFS(Input!K:K,Input!$A:$A,$A31)</f>
        <v>6034163.4573231936</v>
      </c>
      <c r="K31" s="240">
        <f t="shared" si="3"/>
        <v>783754350.70055568</v>
      </c>
      <c r="L31" s="141">
        <f t="shared" si="2"/>
        <v>0</v>
      </c>
      <c r="M31" s="240">
        <f t="shared" si="4"/>
        <v>783754350.70055568</v>
      </c>
      <c r="N31">
        <f>Input!B34</f>
        <v>29</v>
      </c>
      <c r="T31" s="141"/>
      <c r="U31" s="141"/>
      <c r="V31" s="141"/>
    </row>
    <row r="32" spans="1:22">
      <c r="A32" s="150">
        <v>210030</v>
      </c>
      <c r="B32" s="151" t="s">
        <v>314</v>
      </c>
      <c r="C32" s="193">
        <f>SUMIFS(Input!D:D,Input!$A:$A,$A32)</f>
        <v>55759080.101995476</v>
      </c>
      <c r="D32" s="193">
        <f>SUMIFS(Input!E:E,Input!$A:$A,$A32)</f>
        <v>64865575.655168727</v>
      </c>
      <c r="E32" s="195">
        <f>SUMIFS(Input!F:F,Input!$A:$A,$A32)</f>
        <v>1.1178325773056215</v>
      </c>
      <c r="F32" s="195">
        <f>SUMIFS(Input!H:H,Input!$A:$A,$A32)</f>
        <v>1.1208022962975113</v>
      </c>
      <c r="G32" s="179">
        <f>SUMIFS(Input!I:I,Input!$A:$A,$A32)</f>
        <v>5.6036414237638651E-2</v>
      </c>
      <c r="H32" s="220">
        <f>SUMIFS(Input!J:J,Input!$A:$A,$A32)</f>
        <v>6.1461772479119048E-2</v>
      </c>
      <c r="I32" s="197">
        <f t="shared" si="1"/>
        <v>0.16331861172235063</v>
      </c>
      <c r="J32" s="236">
        <f>-SUMIFS(Input!K:K,Input!$A:$A,$A32)</f>
        <v>279752.29964242876</v>
      </c>
      <c r="K32" s="240">
        <f t="shared" si="3"/>
        <v>65179122.675002471</v>
      </c>
      <c r="L32" s="141">
        <f t="shared" si="2"/>
        <v>0</v>
      </c>
      <c r="M32" s="240">
        <f t="shared" si="4"/>
        <v>65179122.675002471</v>
      </c>
      <c r="N32">
        <f>Input!B35</f>
        <v>30</v>
      </c>
      <c r="T32" s="141"/>
      <c r="U32" s="141"/>
      <c r="V32" s="141"/>
    </row>
    <row r="33" spans="1:22">
      <c r="A33" s="150">
        <v>210032</v>
      </c>
      <c r="B33" s="151" t="s">
        <v>157</v>
      </c>
      <c r="C33" s="193">
        <f>SUMIFS(Input!D:D,Input!$A:$A,$A33)</f>
        <v>180654968.41476712</v>
      </c>
      <c r="D33" s="193">
        <f>SUMIFS(Input!E:E,Input!$A:$A,$A33)</f>
        <v>182776140.26165667</v>
      </c>
      <c r="E33" s="195">
        <f>SUMIFS(Input!F:F,Input!$A:$A,$A33)</f>
        <v>1.1140685856836097</v>
      </c>
      <c r="F33" s="195">
        <f>SUMIFS(Input!H:H,Input!$A:$A,$A33)</f>
        <v>1.1169835788176439</v>
      </c>
      <c r="G33" s="179">
        <f>SUMIFS(Input!I:I,Input!$A:$A,$A33)</f>
        <v>6.0071092521197675E-2</v>
      </c>
      <c r="H33" s="220">
        <f>SUMIFS(Input!J:J,Input!$A:$A,$A33)</f>
        <v>6.0212296388974441E-2</v>
      </c>
      <c r="I33" s="197">
        <f t="shared" si="1"/>
        <v>1.1741563852368131E-2</v>
      </c>
      <c r="J33" s="236">
        <f>-SUMIFS(Input!K:K,Input!$A:$A,$A33)</f>
        <v>1165388.7370479107</v>
      </c>
      <c r="K33" s="240">
        <f t="shared" si="3"/>
        <v>184077860.34387821</v>
      </c>
      <c r="L33" s="141">
        <f t="shared" si="2"/>
        <v>0</v>
      </c>
      <c r="M33" s="240">
        <f t="shared" si="4"/>
        <v>184077860.34387821</v>
      </c>
      <c r="N33">
        <f>Input!B36</f>
        <v>32</v>
      </c>
      <c r="T33" s="141"/>
      <c r="U33" s="141"/>
      <c r="V33" s="141"/>
    </row>
    <row r="34" spans="1:22">
      <c r="A34" s="150">
        <v>210033</v>
      </c>
      <c r="B34" s="151" t="s">
        <v>255</v>
      </c>
      <c r="C34" s="193">
        <f>SUMIFS(Input!D:D,Input!$A:$A,$A34)</f>
        <v>251914342.4235788</v>
      </c>
      <c r="D34" s="193">
        <f>SUMIFS(Input!E:E,Input!$A:$A,$A34)</f>
        <v>258228918.90743086</v>
      </c>
      <c r="E34" s="195">
        <f>SUMIFS(Input!F:F,Input!$A:$A,$A34)</f>
        <v>1.1115247749725947</v>
      </c>
      <c r="F34" s="195">
        <f>SUMIFS(Input!H:H,Input!$A:$A,$A34)</f>
        <v>1.1133359174215276</v>
      </c>
      <c r="G34" s="179">
        <f>SUMIFS(Input!I:I,Input!$A:$A,$A34)</f>
        <v>3.8311987948659892E-2</v>
      </c>
      <c r="H34" s="220">
        <f>SUMIFS(Input!J:J,Input!$A:$A,$A34)</f>
        <v>3.4825608681847593E-2</v>
      </c>
      <c r="I34" s="197">
        <f t="shared" si="1"/>
        <v>2.5066363523020385E-2</v>
      </c>
      <c r="J34" s="236">
        <f>-SUMIFS(Input!K:K,Input!$A:$A,$A34)</f>
        <v>-3326403.4427024424</v>
      </c>
      <c r="K34" s="240">
        <f t="shared" si="3"/>
        <v>254525514.47883561</v>
      </c>
      <c r="L34" s="141">
        <f t="shared" si="2"/>
        <v>0</v>
      </c>
      <c r="M34" s="240">
        <f t="shared" si="4"/>
        <v>254525514.47883561</v>
      </c>
      <c r="N34">
        <f>Input!B37</f>
        <v>33</v>
      </c>
      <c r="T34" s="141"/>
      <c r="U34" s="141"/>
      <c r="V34" s="141"/>
    </row>
    <row r="35" spans="1:22">
      <c r="A35" s="150">
        <v>210034</v>
      </c>
      <c r="B35" s="151" t="s">
        <v>315</v>
      </c>
      <c r="C35" s="193">
        <f>SUMIFS(Input!D:D,Input!$A:$A,$A35)</f>
        <v>199352399.6475822</v>
      </c>
      <c r="D35" s="193">
        <f>SUMIFS(Input!E:E,Input!$A:$A,$A35)</f>
        <v>200300542.35340351</v>
      </c>
      <c r="E35" s="195">
        <f>SUMIFS(Input!F:F,Input!$A:$A,$A35)</f>
        <v>1.1180960294119102</v>
      </c>
      <c r="F35" s="195">
        <f>SUMIFS(Input!H:H,Input!$A:$A,$A35)</f>
        <v>1.1210674318087861</v>
      </c>
      <c r="G35" s="179">
        <f>SUMIFS(Input!I:I,Input!$A:$A,$A35)</f>
        <v>5.0266760407214894E-2</v>
      </c>
      <c r="H35" s="220">
        <f>SUMIFS(Input!J:J,Input!$A:$A,$A35)</f>
        <v>4.9720253639384558E-2</v>
      </c>
      <c r="I35" s="197">
        <f t="shared" si="1"/>
        <v>4.7561138340819209E-3</v>
      </c>
      <c r="J35" s="236">
        <f>-SUMIFS(Input!K:K,Input!$A:$A,$A35)</f>
        <v>628291.60636559129</v>
      </c>
      <c r="K35" s="240">
        <f t="shared" si="3"/>
        <v>201004899.61097881</v>
      </c>
      <c r="L35" s="141">
        <f t="shared" si="2"/>
        <v>0</v>
      </c>
      <c r="M35" s="240">
        <f t="shared" si="4"/>
        <v>201004899.61097881</v>
      </c>
      <c r="N35">
        <f>Input!B38</f>
        <v>34</v>
      </c>
      <c r="T35" s="141"/>
      <c r="U35" s="141"/>
      <c r="V35" s="141"/>
    </row>
    <row r="36" spans="1:22">
      <c r="A36" s="150">
        <v>210035</v>
      </c>
      <c r="B36" s="151" t="s">
        <v>316</v>
      </c>
      <c r="C36" s="193">
        <f>SUMIFS(Input!D:D,Input!$A:$A,$A36)</f>
        <v>168803990.68821624</v>
      </c>
      <c r="D36" s="193">
        <f>SUMIFS(Input!E:E,Input!$A:$A,$A36)</f>
        <v>174694625.01043001</v>
      </c>
      <c r="E36" s="195">
        <f>SUMIFS(Input!F:F,Input!$A:$A,$A36)</f>
        <v>1.1094499227741297</v>
      </c>
      <c r="F36" s="195">
        <f>SUMIFS(Input!H:H,Input!$A:$A,$A36)</f>
        <v>1.1137609362132463</v>
      </c>
      <c r="G36" s="179">
        <f>SUMIFS(Input!I:I,Input!$A:$A,$A36)</f>
        <v>6.0519946327489485E-2</v>
      </c>
      <c r="H36" s="220">
        <f>SUMIFS(Input!J:J,Input!$A:$A,$A36)</f>
        <v>6.2201361448269508E-2</v>
      </c>
      <c r="I36" s="197">
        <f t="shared" si="1"/>
        <v>3.4896297760482753E-2</v>
      </c>
      <c r="J36" s="236">
        <f>-SUMIFS(Input!K:K,Input!$A:$A,$A36)</f>
        <v>1298358.8767252564</v>
      </c>
      <c r="K36" s="240">
        <f t="shared" si="3"/>
        <v>176140686.40851229</v>
      </c>
      <c r="L36" s="141">
        <f t="shared" si="2"/>
        <v>0</v>
      </c>
      <c r="M36" s="240">
        <f t="shared" si="4"/>
        <v>176140686.40851229</v>
      </c>
      <c r="N36">
        <f>Input!B39</f>
        <v>35</v>
      </c>
      <c r="T36" s="141"/>
      <c r="U36" s="141"/>
      <c r="V36" s="141"/>
    </row>
    <row r="37" spans="1:22">
      <c r="A37" s="150">
        <v>210037</v>
      </c>
      <c r="B37" s="151" t="s">
        <v>317</v>
      </c>
      <c r="C37" s="193">
        <f>SUMIFS(Input!D:D,Input!$A:$A,$A37)</f>
        <v>245479831.10427675</v>
      </c>
      <c r="D37" s="193">
        <f>SUMIFS(Input!E:E,Input!$A:$A,$A37)</f>
        <v>253273608.65294856</v>
      </c>
      <c r="E37" s="195">
        <f>SUMIFS(Input!F:F,Input!$A:$A,$A37)</f>
        <v>1.1187748164974232</v>
      </c>
      <c r="F37" s="195">
        <f>SUMIFS(Input!H:H,Input!$A:$A,$A37)</f>
        <v>1.1217528361287803</v>
      </c>
      <c r="G37" s="179">
        <f>SUMIFS(Input!I:I,Input!$A:$A,$A37)</f>
        <v>3.4217714507275919E-2</v>
      </c>
      <c r="H37" s="220">
        <f>SUMIFS(Input!J:J,Input!$A:$A,$A37)</f>
        <v>3.4991094743399204E-2</v>
      </c>
      <c r="I37" s="197">
        <f t="shared" si="1"/>
        <v>3.1749156391431166E-2</v>
      </c>
      <c r="J37" s="236">
        <f>-SUMIFS(Input!K:K,Input!$A:$A,$A37)</f>
        <v>-2299440.4757065177</v>
      </c>
      <c r="K37" s="240">
        <f t="shared" si="3"/>
        <v>250694204.77781546</v>
      </c>
      <c r="L37" s="141">
        <f t="shared" si="2"/>
        <v>0</v>
      </c>
      <c r="M37" s="240">
        <f t="shared" si="4"/>
        <v>250694204.77781546</v>
      </c>
      <c r="N37">
        <f>Input!B40</f>
        <v>37</v>
      </c>
      <c r="T37" s="141"/>
      <c r="U37" s="141"/>
      <c r="V37" s="141"/>
    </row>
    <row r="38" spans="1:22">
      <c r="A38" s="150">
        <v>210038</v>
      </c>
      <c r="B38" s="151" t="s">
        <v>318</v>
      </c>
      <c r="C38" s="193">
        <f>SUMIFS(Input!D:D,Input!$A:$A,$A38)</f>
        <v>238042538.01941082</v>
      </c>
      <c r="D38" s="193">
        <f>SUMIFS(Input!E:E,Input!$A:$A,$A38)</f>
        <v>245009008.04779527</v>
      </c>
      <c r="E38" s="195">
        <f>SUMIFS(Input!F:F,Input!$A:$A,$A38)</f>
        <v>1.1211743847596074</v>
      </c>
      <c r="F38" s="195">
        <f>SUMIFS(Input!H:H,Input!$A:$A,$A38)</f>
        <v>1.1257422507673123</v>
      </c>
      <c r="G38" s="179">
        <f>SUMIFS(Input!I:I,Input!$A:$A,$A38)</f>
        <v>4.1539768321463534E-2</v>
      </c>
      <c r="H38" s="220">
        <f>SUMIFS(Input!J:J,Input!$A:$A,$A38)</f>
        <v>4.4486317556573743E-2</v>
      </c>
      <c r="I38" s="197">
        <f t="shared" si="1"/>
        <v>2.9265651787901747E-2</v>
      </c>
      <c r="J38" s="236">
        <f>-SUMIFS(Input!K:K,Input!$A:$A,$A38)</f>
        <v>262603.59732699394</v>
      </c>
      <c r="K38" s="240">
        <f t="shared" si="3"/>
        <v>245304632.01250976</v>
      </c>
      <c r="L38" s="141">
        <f t="shared" si="2"/>
        <v>0</v>
      </c>
      <c r="M38" s="240">
        <f t="shared" si="4"/>
        <v>245304632.01250976</v>
      </c>
      <c r="N38">
        <f>Input!B41</f>
        <v>38</v>
      </c>
      <c r="T38" s="141"/>
      <c r="U38" s="141"/>
      <c r="V38" s="141"/>
    </row>
    <row r="39" spans="1:22">
      <c r="A39" s="150">
        <v>210039</v>
      </c>
      <c r="B39" s="151" t="s">
        <v>158</v>
      </c>
      <c r="C39" s="193">
        <f>SUMIFS(Input!D:D,Input!$A:$A,$A39)</f>
        <v>165657219.70225224</v>
      </c>
      <c r="D39" s="193">
        <f>SUMIFS(Input!E:E,Input!$A:$A,$A39)</f>
        <v>170013771.9047721</v>
      </c>
      <c r="E39" s="195">
        <f>SUMIFS(Input!F:F,Input!$A:$A,$A39)</f>
        <v>1.1132138111988261</v>
      </c>
      <c r="F39" s="195">
        <f>SUMIFS(Input!H:H,Input!$A:$A,$A39)</f>
        <v>1.1174827031278292</v>
      </c>
      <c r="G39" s="179">
        <f>SUMIFS(Input!I:I,Input!$A:$A,$A39)</f>
        <v>3.6470944107112345E-2</v>
      </c>
      <c r="H39" s="220">
        <f>SUMIFS(Input!J:J,Input!$A:$A,$A39)</f>
        <v>3.1721502639181144E-2</v>
      </c>
      <c r="I39" s="197">
        <f t="shared" si="1"/>
        <v>2.6298595439125494E-2</v>
      </c>
      <c r="J39" s="236">
        <f>-SUMIFS(Input!K:K,Input!$A:$A,$A39)</f>
        <v>-311679.12675532699</v>
      </c>
      <c r="K39" s="240">
        <f t="shared" si="3"/>
        <v>169665475.87169704</v>
      </c>
      <c r="L39" s="141">
        <f t="shared" si="2"/>
        <v>0</v>
      </c>
      <c r="M39" s="240">
        <f t="shared" si="4"/>
        <v>169665475.87169704</v>
      </c>
      <c r="N39">
        <f>Input!B42</f>
        <v>39</v>
      </c>
      <c r="T39" s="141"/>
      <c r="U39" s="141"/>
      <c r="V39" s="141"/>
    </row>
    <row r="40" spans="1:22">
      <c r="A40" s="150">
        <v>210040</v>
      </c>
      <c r="B40" s="151" t="s">
        <v>319</v>
      </c>
      <c r="C40" s="193">
        <f>SUMIFS(Input!D:D,Input!$A:$A,$A40)</f>
        <v>289247707.31526887</v>
      </c>
      <c r="D40" s="193">
        <f>SUMIFS(Input!E:E,Input!$A:$A,$A40)</f>
        <v>293852379.90991277</v>
      </c>
      <c r="E40" s="195">
        <f>SUMIFS(Input!F:F,Input!$A:$A,$A40)</f>
        <v>1.1141571278152393</v>
      </c>
      <c r="F40" s="195">
        <f>SUMIFS(Input!H:H,Input!$A:$A,$A40)</f>
        <v>1.1180823599470688</v>
      </c>
      <c r="G40" s="179">
        <f>SUMIFS(Input!I:I,Input!$A:$A,$A40)</f>
        <v>6.008122517985362E-2</v>
      </c>
      <c r="H40" s="220">
        <f>SUMIFS(Input!J:J,Input!$A:$A,$A40)</f>
        <v>6.5212005261182829E-2</v>
      </c>
      <c r="I40" s="197">
        <f t="shared" si="1"/>
        <v>1.591947828172402E-2</v>
      </c>
      <c r="J40" s="236">
        <f>-SUMIFS(Input!K:K,Input!$A:$A,$A40)</f>
        <v>2592509.0312939584</v>
      </c>
      <c r="K40" s="240">
        <f t="shared" si="3"/>
        <v>296751018.52580601</v>
      </c>
      <c r="L40" s="141">
        <f t="shared" si="2"/>
        <v>0</v>
      </c>
      <c r="M40" s="240">
        <f t="shared" si="4"/>
        <v>296751018.52580601</v>
      </c>
      <c r="N40">
        <f>Input!B43</f>
        <v>40</v>
      </c>
      <c r="T40" s="141"/>
      <c r="U40" s="141"/>
      <c r="V40" s="141"/>
    </row>
    <row r="41" spans="1:22">
      <c r="A41" s="150">
        <v>210043</v>
      </c>
      <c r="B41" s="151" t="s">
        <v>320</v>
      </c>
      <c r="C41" s="193">
        <f>SUMIFS(Input!D:D,Input!$A:$A,$A41)</f>
        <v>487491167.33270442</v>
      </c>
      <c r="D41" s="193">
        <f>SUMIFS(Input!E:E,Input!$A:$A,$A41)</f>
        <v>504660086.73225993</v>
      </c>
      <c r="E41" s="195">
        <f>SUMIFS(Input!F:F,Input!$A:$A,$A41)</f>
        <v>1.1114837273564122</v>
      </c>
      <c r="F41" s="195">
        <f>SUMIFS(Input!H:H,Input!$A:$A,$A41)</f>
        <v>1.1144747022269594</v>
      </c>
      <c r="G41" s="179">
        <f>SUMIFS(Input!I:I,Input!$A:$A,$A41)</f>
        <v>5.0258913430729024E-2</v>
      </c>
      <c r="H41" s="220">
        <f>SUMIFS(Input!J:J,Input!$A:$A,$A41)</f>
        <v>5.7183015544945037E-2</v>
      </c>
      <c r="I41" s="197">
        <f t="shared" ref="I41:I56" si="5">+D41/C41-1</f>
        <v>3.5218934311148198E-2</v>
      </c>
      <c r="J41" s="236">
        <f>-SUMIFS(Input!K:K,Input!$A:$A,$A41)</f>
        <v>2743778.777012229</v>
      </c>
      <c r="K41" s="240">
        <f t="shared" si="3"/>
        <v>507717958.76774728</v>
      </c>
      <c r="L41" s="141">
        <f t="shared" si="2"/>
        <v>0</v>
      </c>
      <c r="M41" s="240">
        <f t="shared" si="4"/>
        <v>507717958.76774728</v>
      </c>
      <c r="N41">
        <f>Input!B44</f>
        <v>43</v>
      </c>
      <c r="T41" s="141"/>
      <c r="U41" s="141"/>
      <c r="V41" s="141"/>
    </row>
    <row r="42" spans="1:22">
      <c r="A42" s="150">
        <v>210044</v>
      </c>
      <c r="B42" s="151" t="s">
        <v>159</v>
      </c>
      <c r="C42" s="193">
        <f>SUMIFS(Input!D:D,Input!$A:$A,$A42)</f>
        <v>530943613.57410896</v>
      </c>
      <c r="D42" s="193">
        <f>SUMIFS(Input!E:E,Input!$A:$A,$A42)</f>
        <v>530829424.75627238</v>
      </c>
      <c r="E42" s="195">
        <f>SUMIFS(Input!F:F,Input!$A:$A,$A42)</f>
        <v>1.1035926333106025</v>
      </c>
      <c r="F42" s="195">
        <f>SUMIFS(Input!H:H,Input!$A:$A,$A42)</f>
        <v>1.1062181730077554</v>
      </c>
      <c r="G42" s="179">
        <f>SUMIFS(Input!I:I,Input!$A:$A,$A42)</f>
        <v>3.4389990133356321E-2</v>
      </c>
      <c r="H42" s="220">
        <f>SUMIFS(Input!J:J,Input!$A:$A,$A42)</f>
        <v>2.9305182809996111E-2</v>
      </c>
      <c r="I42" s="197">
        <f t="shared" si="5"/>
        <v>-2.1506769253309965E-4</v>
      </c>
      <c r="J42" s="236">
        <f>-SUMIFS(Input!K:K,Input!$A:$A,$A42)</f>
        <v>-6404331.1581213474</v>
      </c>
      <c r="K42" s="240">
        <f t="shared" si="3"/>
        <v>523744837.24319875</v>
      </c>
      <c r="L42" s="141">
        <f t="shared" si="2"/>
        <v>0</v>
      </c>
      <c r="M42" s="240">
        <f t="shared" si="4"/>
        <v>523744837.24319875</v>
      </c>
      <c r="N42">
        <f>Input!B45</f>
        <v>44</v>
      </c>
      <c r="T42" s="141"/>
      <c r="U42" s="141"/>
      <c r="V42" s="141"/>
    </row>
    <row r="43" spans="1:22">
      <c r="A43" s="150">
        <v>210045</v>
      </c>
      <c r="B43" s="151" t="s">
        <v>321</v>
      </c>
      <c r="C43" s="193">
        <f>SUMIFS(Input!D:D,Input!$A:$A,$A43)</f>
        <v>0</v>
      </c>
      <c r="D43" s="193">
        <f>SUMIFS(Input!E:E,Input!$A:$A,$A43)</f>
        <v>0</v>
      </c>
      <c r="E43" s="195">
        <f>SUMIFS(Input!F:F,Input!$A:$A,$A43)</f>
        <v>0</v>
      </c>
      <c r="F43" s="195">
        <f>SUMIFS(Input!H:H,Input!$A:$A,$A43)</f>
        <v>0</v>
      </c>
      <c r="G43" s="179">
        <f>SUMIFS(Input!I:I,Input!$A:$A,$A43)</f>
        <v>0</v>
      </c>
      <c r="H43" s="220">
        <f>SUMIFS(Input!J:J,Input!$A:$A,$A43)</f>
        <v>0</v>
      </c>
      <c r="I43" s="197" t="e">
        <f t="shared" si="5"/>
        <v>#DIV/0!</v>
      </c>
      <c r="J43" s="236">
        <f>-SUMIFS(Input!K:K,Input!$A:$A,$A43)</f>
        <v>0</v>
      </c>
      <c r="K43" s="240">
        <f t="shared" si="3"/>
        <v>0</v>
      </c>
      <c r="L43" s="141">
        <f t="shared" si="2"/>
        <v>0</v>
      </c>
      <c r="M43" s="240">
        <f t="shared" si="4"/>
        <v>0</v>
      </c>
      <c r="N43">
        <f>Input!B46</f>
        <v>45</v>
      </c>
      <c r="T43" s="141"/>
      <c r="U43" s="141"/>
      <c r="V43" s="141"/>
    </row>
    <row r="44" spans="1:22">
      <c r="A44" s="150">
        <v>210048</v>
      </c>
      <c r="B44" s="151" t="s">
        <v>160</v>
      </c>
      <c r="C44" s="193">
        <f>SUMIFS(Input!D:D,Input!$A:$A,$A44)</f>
        <v>328466173.48733026</v>
      </c>
      <c r="D44" s="193">
        <f>SUMIFS(Input!E:E,Input!$A:$A,$A44)</f>
        <v>331118628.60434508</v>
      </c>
      <c r="E44" s="195">
        <f>SUMIFS(Input!F:F,Input!$A:$A,$A44)</f>
        <v>1.1025498858374603</v>
      </c>
      <c r="F44" s="195">
        <f>SUMIFS(Input!H:H,Input!$A:$A,$A44)</f>
        <v>1.1034462779264029</v>
      </c>
      <c r="G44" s="179">
        <f>SUMIFS(Input!I:I,Input!$A:$A,$A44)</f>
        <v>4.8240373987029669E-2</v>
      </c>
      <c r="H44" s="220">
        <f>SUMIFS(Input!J:J,Input!$A:$A,$A44)</f>
        <v>5.2396040994114476E-2</v>
      </c>
      <c r="I44" s="197">
        <f t="shared" si="5"/>
        <v>8.0752763331872757E-3</v>
      </c>
      <c r="J44" s="236">
        <f>-SUMIFS(Input!K:K,Input!$A:$A,$A44)</f>
        <v>-86736.735241889954</v>
      </c>
      <c r="K44" s="240">
        <f t="shared" si="3"/>
        <v>331022919.27668291</v>
      </c>
      <c r="L44" s="141">
        <f t="shared" si="2"/>
        <v>0</v>
      </c>
      <c r="M44" s="240">
        <f t="shared" si="4"/>
        <v>331022919.27668291</v>
      </c>
      <c r="N44">
        <f>Input!B47</f>
        <v>48</v>
      </c>
      <c r="T44" s="141"/>
      <c r="U44" s="141"/>
      <c r="V44" s="141"/>
    </row>
    <row r="45" spans="1:22">
      <c r="A45" s="150">
        <v>210049</v>
      </c>
      <c r="B45" s="151" t="s">
        <v>322</v>
      </c>
      <c r="C45" s="193">
        <f>SUMIFS(Input!D:D,Input!$A:$A,$A45)</f>
        <v>347985588.84561682</v>
      </c>
      <c r="D45" s="193">
        <f>SUMIFS(Input!E:E,Input!$A:$A,$A45)</f>
        <v>359513136.77366573</v>
      </c>
      <c r="E45" s="195">
        <f>SUMIFS(Input!F:F,Input!$A:$A,$A45)</f>
        <v>1.1072617895731318</v>
      </c>
      <c r="F45" s="195">
        <f>SUMIFS(Input!H:H,Input!$A:$A,$A45)</f>
        <v>1.1112301301678418</v>
      </c>
      <c r="G45" s="179">
        <f>SUMIFS(Input!I:I,Input!$A:$A,$A45)</f>
        <v>5.0306292850217059E-2</v>
      </c>
      <c r="H45" s="220">
        <f>SUMIFS(Input!J:J,Input!$A:$A,$A45)</f>
        <v>6.0201206538816436E-2</v>
      </c>
      <c r="I45" s="197">
        <f t="shared" si="5"/>
        <v>3.3126509538195625E-2</v>
      </c>
      <c r="J45" s="236">
        <f>-SUMIFS(Input!K:K,Input!$A:$A,$A45)</f>
        <v>-1611752.3029282093</v>
      </c>
      <c r="K45" s="240">
        <f t="shared" si="3"/>
        <v>357722109.05228448</v>
      </c>
      <c r="L45" s="141">
        <f t="shared" si="2"/>
        <v>0</v>
      </c>
      <c r="M45" s="240">
        <f t="shared" si="4"/>
        <v>357722109.05228448</v>
      </c>
      <c r="N45">
        <f>Input!B48</f>
        <v>49</v>
      </c>
      <c r="T45" s="141"/>
      <c r="U45" s="141"/>
      <c r="V45" s="141"/>
    </row>
    <row r="46" spans="1:22">
      <c r="A46" s="150">
        <v>210051</v>
      </c>
      <c r="B46" s="151" t="s">
        <v>323</v>
      </c>
      <c r="C46" s="193">
        <f>SUMIFS(Input!D:D,Input!$A:$A,$A46)</f>
        <v>284601928.80241692</v>
      </c>
      <c r="D46" s="193">
        <f>SUMIFS(Input!E:E,Input!$A:$A,$A46)</f>
        <v>282837440.93790418</v>
      </c>
      <c r="E46" s="195">
        <f>SUMIFS(Input!F:F,Input!$A:$A,$A46)</f>
        <v>1.1096984548833317</v>
      </c>
      <c r="F46" s="195">
        <f>SUMIFS(Input!H:H,Input!$A:$A,$A46)</f>
        <v>1.1137911972492751</v>
      </c>
      <c r="G46" s="179">
        <f>SUMIFS(Input!I:I,Input!$A:$A,$A46)</f>
        <v>6.594593523482517E-2</v>
      </c>
      <c r="H46" s="220">
        <f>SUMIFS(Input!J:J,Input!$A:$A,$A46)</f>
        <v>6.8588073979869033E-2</v>
      </c>
      <c r="I46" s="197">
        <f t="shared" si="5"/>
        <v>-6.1998450675916361E-3</v>
      </c>
      <c r="J46" s="236">
        <f>-SUMIFS(Input!K:K,Input!$A:$A,$A46)</f>
        <v>6396855.5755394399</v>
      </c>
      <c r="K46" s="240">
        <f t="shared" si="3"/>
        <v>289962202.36801493</v>
      </c>
      <c r="L46" s="141">
        <f t="shared" si="2"/>
        <v>0</v>
      </c>
      <c r="M46" s="240">
        <f t="shared" si="4"/>
        <v>289962202.36801493</v>
      </c>
      <c r="N46">
        <f>Input!B49</f>
        <v>51</v>
      </c>
      <c r="T46" s="141"/>
      <c r="U46" s="141"/>
      <c r="V46" s="141"/>
    </row>
    <row r="47" spans="1:22">
      <c r="A47" s="150">
        <v>210056</v>
      </c>
      <c r="B47" s="151" t="s">
        <v>325</v>
      </c>
      <c r="C47" s="193">
        <f>SUMIFS(Input!D:D,Input!$A:$A,$A47)</f>
        <v>286853150.48222011</v>
      </c>
      <c r="D47" s="193">
        <f>SUMIFS(Input!E:E,Input!$A:$A,$A47)</f>
        <v>282462236.80368292</v>
      </c>
      <c r="E47" s="195">
        <f>SUMIFS(Input!F:F,Input!$A:$A,$A47)</f>
        <v>1.1217650008286368</v>
      </c>
      <c r="F47" s="195">
        <f>SUMIFS(Input!H:H,Input!$A:$A,$A47)</f>
        <v>1.1245232460373376</v>
      </c>
      <c r="G47" s="179">
        <f>SUMIFS(Input!I:I,Input!$A:$A,$A47)</f>
        <v>4.518746855864423E-2</v>
      </c>
      <c r="H47" s="220">
        <f>SUMIFS(Input!J:J,Input!$A:$A,$A47)</f>
        <v>4.5220696412711966E-2</v>
      </c>
      <c r="I47" s="197">
        <f t="shared" si="5"/>
        <v>-1.5307183034788951E-2</v>
      </c>
      <c r="J47" s="236">
        <f>-SUMIFS(Input!K:K,Input!$A:$A,$A47)</f>
        <v>142041.23190721869</v>
      </c>
      <c r="K47" s="240">
        <f t="shared" si="3"/>
        <v>282621965.4708584</v>
      </c>
      <c r="L47" s="141">
        <f t="shared" si="2"/>
        <v>0</v>
      </c>
      <c r="M47" s="240">
        <f t="shared" si="4"/>
        <v>282621965.4708584</v>
      </c>
      <c r="N47">
        <f>Input!B50</f>
        <v>2004</v>
      </c>
      <c r="T47" s="141"/>
      <c r="U47" s="141"/>
      <c r="V47" s="141"/>
    </row>
    <row r="48" spans="1:22">
      <c r="A48" s="150">
        <v>210057</v>
      </c>
      <c r="B48" s="151" t="s">
        <v>326</v>
      </c>
      <c r="C48" s="193">
        <f>SUMIFS(Input!D:D,Input!$A:$A,$A48)</f>
        <v>493108962.82564831</v>
      </c>
      <c r="D48" s="193">
        <f>SUMIFS(Input!E:E,Input!$A:$A,$A48)</f>
        <v>496562142.44087422</v>
      </c>
      <c r="E48" s="195">
        <f>SUMIFS(Input!F:F,Input!$A:$A,$A48)</f>
        <v>1.1050573495968667</v>
      </c>
      <c r="F48" s="195">
        <f>SUMIFS(Input!H:H,Input!$A:$A,$A48)</f>
        <v>1.1086487720971909</v>
      </c>
      <c r="G48" s="179">
        <f>SUMIFS(Input!I:I,Input!$A:$A,$A48)</f>
        <v>6.152099075081429E-2</v>
      </c>
      <c r="H48" s="220">
        <f>SUMIFS(Input!J:J,Input!$A:$A,$A48)</f>
        <v>6.4665647669671325E-2</v>
      </c>
      <c r="I48" s="197">
        <f t="shared" si="5"/>
        <v>7.0028733516387387E-3</v>
      </c>
      <c r="J48" s="236">
        <f>-SUMIFS(Input!K:K,Input!$A:$A,$A48)</f>
        <v>5194670.8291405439</v>
      </c>
      <c r="K48" s="240">
        <f t="shared" si="3"/>
        <v>502321207.87704998</v>
      </c>
      <c r="L48" s="141">
        <f t="shared" si="2"/>
        <v>0</v>
      </c>
      <c r="M48" s="240">
        <f t="shared" si="4"/>
        <v>502321207.87704998</v>
      </c>
      <c r="N48">
        <f>Input!B51</f>
        <v>5050</v>
      </c>
      <c r="T48" s="141"/>
      <c r="U48" s="141"/>
      <c r="V48" s="141"/>
    </row>
    <row r="49" spans="1:22">
      <c r="A49" s="150">
        <v>210058</v>
      </c>
      <c r="B49" s="151" t="s">
        <v>347</v>
      </c>
      <c r="C49" s="193">
        <f>SUMIFS(Input!D:D,Input!$A:$A,$A49)</f>
        <v>133400345.5128704</v>
      </c>
      <c r="D49" s="193">
        <f>SUMIFS(Input!E:E,Input!$A:$A,$A49)</f>
        <v>149098890.52905595</v>
      </c>
      <c r="E49" s="195">
        <f>SUMIFS(Input!F:F,Input!$A:$A,$A49)</f>
        <v>1.1074274776874236</v>
      </c>
      <c r="F49" s="195">
        <f>SUMIFS(Input!H:H,Input!$A:$A,$A49)</f>
        <v>1.1108720872609235</v>
      </c>
      <c r="G49" s="179">
        <f>SUMIFS(Input!I:I,Input!$A:$A,$A49)</f>
        <v>3.953183482305582E-2</v>
      </c>
      <c r="H49" s="220">
        <f>SUMIFS(Input!J:J,Input!$A:$A,$A49)</f>
        <v>3.953183482305582E-2</v>
      </c>
      <c r="I49" s="197">
        <f t="shared" si="5"/>
        <v>0.11767994270053039</v>
      </c>
      <c r="J49" s="236">
        <f>-SUMIFS(Input!K:K,Input!$A:$A,$A49)</f>
        <v>104765.57989241183</v>
      </c>
      <c r="K49" s="240">
        <f t="shared" si="3"/>
        <v>149215271.68746415</v>
      </c>
      <c r="L49" s="141">
        <f t="shared" si="2"/>
        <v>0</v>
      </c>
      <c r="M49" s="240">
        <f t="shared" si="4"/>
        <v>149215271.68746415</v>
      </c>
      <c r="N49">
        <f>Input!B52</f>
        <v>2001</v>
      </c>
      <c r="T49" s="141"/>
      <c r="U49" s="141"/>
      <c r="V49" s="141"/>
    </row>
    <row r="50" spans="1:22">
      <c r="A50" s="150">
        <v>210060</v>
      </c>
      <c r="B50" s="151" t="s">
        <v>327</v>
      </c>
      <c r="C50" s="193">
        <f>SUMIFS(Input!D:D,Input!$A:$A,$A50)</f>
        <v>55419827.774535179</v>
      </c>
      <c r="D50" s="193">
        <f>SUMIFS(Input!E:E,Input!$A:$A,$A50)</f>
        <v>58044051.786442839</v>
      </c>
      <c r="E50" s="195">
        <f>SUMIFS(Input!F:F,Input!$A:$A,$A50)</f>
        <v>1.1175211412810639</v>
      </c>
      <c r="F50" s="195">
        <f>SUMIFS(Input!H:H,Input!$A:$A,$A50)</f>
        <v>1.1133653190562818</v>
      </c>
      <c r="G50" s="179">
        <f>SUMIFS(Input!I:I,Input!$A:$A,$A50)</f>
        <v>7.9492391683414848E-2</v>
      </c>
      <c r="H50" s="220">
        <f>SUMIFS(Input!J:J,Input!$A:$A,$A50)</f>
        <v>7.3030460686414361E-2</v>
      </c>
      <c r="I50" s="197">
        <f t="shared" si="5"/>
        <v>4.7351717197386511E-2</v>
      </c>
      <c r="J50" s="236">
        <f>-SUMIFS(Input!K:K,Input!$A:$A,$A50)</f>
        <v>2550070.9901454151</v>
      </c>
      <c r="K50" s="240">
        <f t="shared" si="3"/>
        <v>60883212.388002254</v>
      </c>
      <c r="L50" s="141">
        <f t="shared" si="2"/>
        <v>0</v>
      </c>
      <c r="M50" s="240">
        <f t="shared" si="4"/>
        <v>60883212.388002254</v>
      </c>
      <c r="N50">
        <f>Input!B53</f>
        <v>60</v>
      </c>
      <c r="T50" s="141"/>
      <c r="U50" s="141"/>
      <c r="V50" s="141"/>
    </row>
    <row r="51" spans="1:22">
      <c r="A51" s="150">
        <v>210061</v>
      </c>
      <c r="B51" s="152" t="s">
        <v>161</v>
      </c>
      <c r="C51" s="193">
        <f>SUMIFS(Input!D:D,Input!$A:$A,$A51)</f>
        <v>122209113.02147916</v>
      </c>
      <c r="D51" s="193">
        <f>SUMIFS(Input!E:E,Input!$A:$A,$A51)</f>
        <v>125141681.64642097</v>
      </c>
      <c r="E51" s="195">
        <f>SUMIFS(Input!F:F,Input!$A:$A,$A51)</f>
        <v>1.1101746119123399</v>
      </c>
      <c r="F51" s="195">
        <f>SUMIFS(Input!H:H,Input!$A:$A,$A51)</f>
        <v>1.1129872923943072</v>
      </c>
      <c r="G51" s="179">
        <f>SUMIFS(Input!I:I,Input!$A:$A,$A51)</f>
        <v>5.7991371955233129E-2</v>
      </c>
      <c r="H51" s="220">
        <f>SUMIFS(Input!J:J,Input!$A:$A,$A51)</f>
        <v>5.6418390406644425E-2</v>
      </c>
      <c r="I51" s="197">
        <f t="shared" si="5"/>
        <v>2.3996317070285933E-2</v>
      </c>
      <c r="J51" s="236">
        <f>-SUMIFS(Input!K:K,Input!$A:$A,$A51)</f>
        <v>843601.41873916984</v>
      </c>
      <c r="K51" s="240">
        <f t="shared" si="3"/>
        <v>126080599.30532348</v>
      </c>
      <c r="L51" s="141">
        <f t="shared" si="2"/>
        <v>0</v>
      </c>
      <c r="M51" s="240">
        <f t="shared" si="4"/>
        <v>126080599.30532348</v>
      </c>
      <c r="N51">
        <f>Input!B54</f>
        <v>61</v>
      </c>
      <c r="T51" s="141"/>
      <c r="U51" s="141"/>
      <c r="V51" s="141"/>
    </row>
    <row r="52" spans="1:22">
      <c r="A52" s="150">
        <v>210062</v>
      </c>
      <c r="B52" s="151" t="s">
        <v>328</v>
      </c>
      <c r="C52" s="193">
        <f>SUMIFS(Input!D:D,Input!$A:$A,$A52)</f>
        <v>298809356.0557099</v>
      </c>
      <c r="D52" s="193">
        <f>SUMIFS(Input!E:E,Input!$A:$A,$A52)</f>
        <v>298103133.5581311</v>
      </c>
      <c r="E52" s="195">
        <f>SUMIFS(Input!F:F,Input!$A:$A,$A52)</f>
        <v>1.1119327545391331</v>
      </c>
      <c r="F52" s="195">
        <f>SUMIFS(Input!H:H,Input!$A:$A,$A52)</f>
        <v>1.1133789020389273</v>
      </c>
      <c r="G52" s="179">
        <f>SUMIFS(Input!I:I,Input!$A:$A,$A52)</f>
        <v>4.8910441153642986E-2</v>
      </c>
      <c r="H52" s="220">
        <f>SUMIFS(Input!J:J,Input!$A:$A,$A52)</f>
        <v>4.9267669995252214E-2</v>
      </c>
      <c r="I52" s="197">
        <f t="shared" si="5"/>
        <v>-2.3634551036184615E-3</v>
      </c>
      <c r="J52" s="236">
        <f>-SUMIFS(Input!K:K,Input!$A:$A,$A52)</f>
        <v>1037681.2815828621</v>
      </c>
      <c r="K52" s="240">
        <f t="shared" si="3"/>
        <v>299258466.0040862</v>
      </c>
      <c r="L52" s="141">
        <f t="shared" si="2"/>
        <v>0</v>
      </c>
      <c r="M52" s="240">
        <f t="shared" si="4"/>
        <v>299258466.0040862</v>
      </c>
      <c r="N52">
        <f>Input!B55</f>
        <v>62</v>
      </c>
      <c r="T52" s="141"/>
      <c r="U52" s="141"/>
      <c r="V52" s="141"/>
    </row>
    <row r="53" spans="1:22">
      <c r="A53" s="150">
        <v>210063</v>
      </c>
      <c r="B53" s="151" t="s">
        <v>329</v>
      </c>
      <c r="C53" s="193">
        <f>SUMIFS(Input!D:D,Input!$A:$A,$A53)</f>
        <v>417505537.08959901</v>
      </c>
      <c r="D53" s="193">
        <f>SUMIFS(Input!E:E,Input!$A:$A,$A53)</f>
        <v>445529795.29359597</v>
      </c>
      <c r="E53" s="195">
        <f>SUMIFS(Input!F:F,Input!$A:$A,$A53)</f>
        <v>1.1069411425391098</v>
      </c>
      <c r="F53" s="195">
        <f>SUMIFS(Input!H:H,Input!$A:$A,$A53)</f>
        <v>1.1111639532075388</v>
      </c>
      <c r="G53" s="179">
        <f>SUMIFS(Input!I:I,Input!$A:$A,$A53)</f>
        <v>3.8138447126446519E-2</v>
      </c>
      <c r="H53" s="220">
        <f>SUMIFS(Input!J:J,Input!$A:$A,$A53)</f>
        <v>3.6973969623610763E-2</v>
      </c>
      <c r="I53" s="197">
        <f t="shared" si="5"/>
        <v>6.7123081526899053E-2</v>
      </c>
      <c r="J53" s="236">
        <f>-SUMIFS(Input!K:K,Input!$A:$A,$A53)</f>
        <v>-1273870.7959637642</v>
      </c>
      <c r="K53" s="240">
        <f t="shared" si="3"/>
        <v>444114315.98407722</v>
      </c>
      <c r="L53" s="141">
        <f t="shared" si="2"/>
        <v>0</v>
      </c>
      <c r="M53" s="240">
        <f t="shared" si="4"/>
        <v>444114315.98407722</v>
      </c>
      <c r="N53">
        <f>Input!B56</f>
        <v>63</v>
      </c>
      <c r="T53" s="141"/>
      <c r="U53" s="141"/>
      <c r="V53" s="141"/>
    </row>
    <row r="54" spans="1:22">
      <c r="A54" s="150">
        <v>210064</v>
      </c>
      <c r="B54" s="151" t="s">
        <v>349</v>
      </c>
      <c r="C54" s="193">
        <f>SUMIFS(Input!D:D,Input!$A:$A,$A54)</f>
        <v>66682311.177528672</v>
      </c>
      <c r="D54" s="193">
        <f>SUMIFS(Input!E:E,Input!$A:$A,$A54)</f>
        <v>68608773.637440667</v>
      </c>
      <c r="E54" s="195">
        <f>SUMIFS(Input!F:F,Input!$A:$A,$A54)</f>
        <v>1.1307207032453601</v>
      </c>
      <c r="F54" s="195">
        <f>SUMIFS(Input!H:H,Input!$A:$A,$A54)</f>
        <v>1.1329169062368893</v>
      </c>
      <c r="G54" s="179">
        <f>SUMIFS(Input!I:I,Input!$A:$A,$A54)</f>
        <v>4.7972050119130777E-2</v>
      </c>
      <c r="H54" s="220">
        <f>SUMIFS(Input!J:J,Input!$A:$A,$A54)</f>
        <v>4.7972050119130777E-2</v>
      </c>
      <c r="I54" s="197">
        <f t="shared" si="5"/>
        <v>2.8890157312981612E-2</v>
      </c>
      <c r="J54" s="236">
        <f>-SUMIFS(Input!K:K,Input!$A:$A,$A54)</f>
        <v>158287.86264330149</v>
      </c>
      <c r="K54" s="240">
        <f t="shared" si="3"/>
        <v>68788100.633081362</v>
      </c>
      <c r="L54" s="141">
        <f t="shared" si="2"/>
        <v>0</v>
      </c>
      <c r="M54" s="240">
        <f t="shared" si="4"/>
        <v>68788100.633081362</v>
      </c>
      <c r="N54">
        <f>Input!B57</f>
        <v>5033</v>
      </c>
      <c r="T54" s="141"/>
      <c r="U54" s="141"/>
      <c r="V54" s="141"/>
    </row>
    <row r="55" spans="1:22">
      <c r="A55" s="150">
        <v>210065</v>
      </c>
      <c r="B55" s="152" t="s">
        <v>330</v>
      </c>
      <c r="C55" s="193">
        <f>SUMIFS(Input!D:D,Input!$A:$A,$A55)</f>
        <v>127565627.29582357</v>
      </c>
      <c r="D55" s="193">
        <f>SUMIFS(Input!E:E,Input!$A:$A,$A55)</f>
        <v>137056561.86278468</v>
      </c>
      <c r="E55" s="195">
        <f>SUMIFS(Input!F:F,Input!$A:$A,$A55)</f>
        <v>1.1064628607607305</v>
      </c>
      <c r="F55" s="195">
        <f>SUMIFS(Input!H:H,Input!$A:$A,$A55)</f>
        <v>1.1079222222454834</v>
      </c>
      <c r="G55" s="179">
        <f>SUMIFS(Input!I:I,Input!$A:$A,$A55)</f>
        <v>8.7366237547161524E-2</v>
      </c>
      <c r="H55" s="220">
        <f>SUMIFS(Input!J:J,Input!$A:$A,$A55)</f>
        <v>8.6772444370771681E-2</v>
      </c>
      <c r="I55" s="197">
        <f t="shared" si="5"/>
        <v>7.4400406819242315E-2</v>
      </c>
      <c r="J55" s="236">
        <f>-SUMIFS(Input!K:K,Input!$A:$A,$A55)</f>
        <v>6087975.0155417323</v>
      </c>
      <c r="K55" s="240">
        <f t="shared" si="3"/>
        <v>143801564.67097867</v>
      </c>
      <c r="L55" s="141">
        <f t="shared" si="2"/>
        <v>0</v>
      </c>
      <c r="M55" s="240">
        <f t="shared" si="4"/>
        <v>143801564.67097867</v>
      </c>
      <c r="N55">
        <f>Input!B58</f>
        <v>65</v>
      </c>
      <c r="T55" s="141"/>
      <c r="U55" s="141"/>
      <c r="V55" s="141"/>
    </row>
    <row r="56" spans="1:22">
      <c r="A56" s="150">
        <v>218992</v>
      </c>
      <c r="B56" s="152" t="s">
        <v>348</v>
      </c>
      <c r="C56" s="193">
        <f>SUMIFS(Input!D:D,Input!$A:$A,$A56)</f>
        <v>243643980.36415836</v>
      </c>
      <c r="D56" s="193">
        <f>SUMIFS(Input!E:E,Input!$A:$A,$A56)</f>
        <v>250860116.11842898</v>
      </c>
      <c r="E56" s="195">
        <f>SUMIFS(Input!F:F,Input!$A:$A,$A56)</f>
        <v>1.1102961842696528</v>
      </c>
      <c r="F56" s="195">
        <f>SUMIFS(Input!H:H,Input!$A:$A,$A56)</f>
        <v>1.1145700572779971</v>
      </c>
      <c r="G56" s="179">
        <f>SUMIFS(Input!I:I,Input!$A:$A,$A56)</f>
        <v>6.282427808490583E-2</v>
      </c>
      <c r="H56" s="220">
        <f>SUMIFS(Input!J:J,Input!$A:$A,$A56)</f>
        <v>6.282427808490583E-2</v>
      </c>
      <c r="I56" s="197">
        <f t="shared" si="5"/>
        <v>2.9617541724138441E-2</v>
      </c>
      <c r="J56" s="236">
        <f>-SUMIFS(Input!K:K,Input!$A:$A,$A56)</f>
        <v>4453547.7492798567</v>
      </c>
      <c r="K56" s="240">
        <f t="shared" si="3"/>
        <v>255823907.08843413</v>
      </c>
      <c r="L56" s="141">
        <f t="shared" si="2"/>
        <v>0</v>
      </c>
      <c r="M56" s="240">
        <f t="shared" si="4"/>
        <v>255823907.08843413</v>
      </c>
      <c r="N56">
        <f>Input!B59</f>
        <v>8992</v>
      </c>
      <c r="T56" s="141"/>
      <c r="U56" s="141"/>
      <c r="V56" s="141"/>
    </row>
    <row r="57" spans="1:22">
      <c r="A57" s="154"/>
      <c r="B57" s="152"/>
      <c r="E57" s="195"/>
      <c r="F57" s="195"/>
      <c r="G57" s="179"/>
      <c r="H57" s="220"/>
      <c r="I57" s="197"/>
      <c r="J57" s="236"/>
      <c r="T57" s="141"/>
      <c r="V57" s="141"/>
    </row>
    <row r="58" spans="1:22">
      <c r="A58" s="172"/>
      <c r="B58" s="172"/>
      <c r="G58" s="141"/>
      <c r="H58" s="220"/>
      <c r="I58" s="197"/>
      <c r="J58" s="236"/>
      <c r="T58" s="141"/>
      <c r="U58" s="141"/>
      <c r="V58" s="141"/>
    </row>
    <row r="59" spans="1:22">
      <c r="A59" s="166"/>
      <c r="B59" s="153"/>
      <c r="G59" s="141"/>
      <c r="H59" s="153"/>
      <c r="I59" s="153"/>
      <c r="J59" s="236"/>
    </row>
    <row r="60" spans="1:22">
      <c r="A60" s="173"/>
      <c r="B60" s="153"/>
      <c r="C60" s="153"/>
      <c r="D60" s="173"/>
      <c r="E60" s="179"/>
      <c r="F60" s="179"/>
      <c r="H60" s="153"/>
      <c r="I60" s="153"/>
      <c r="J60" s="236"/>
    </row>
    <row r="61" spans="1:22">
      <c r="A61" s="180"/>
      <c r="D61" s="194"/>
      <c r="E61" s="195"/>
      <c r="F61" s="195"/>
      <c r="G61" s="179"/>
      <c r="H61" s="153"/>
      <c r="I61" s="153"/>
      <c r="J61" s="236"/>
    </row>
    <row r="62" spans="1:22">
      <c r="A62" s="180"/>
      <c r="D62" s="194"/>
      <c r="E62" s="195"/>
      <c r="F62" s="195"/>
      <c r="G62" s="179"/>
      <c r="H62" s="153"/>
      <c r="I62" s="153"/>
      <c r="J62" s="236"/>
    </row>
    <row r="63" spans="1:22">
      <c r="D63" s="194"/>
      <c r="E63" s="195"/>
      <c r="F63" s="195"/>
      <c r="G63" s="179"/>
      <c r="H63" s="153"/>
      <c r="I63" s="153"/>
      <c r="J63" s="236"/>
    </row>
    <row r="64" spans="1:22">
      <c r="A64" s="180"/>
      <c r="G64" s="151"/>
      <c r="H64" s="153"/>
      <c r="I64" s="153"/>
      <c r="J64" s="236"/>
    </row>
    <row r="65" spans="1:10">
      <c r="A65" s="150"/>
      <c r="B65" s="151"/>
      <c r="G65" s="151"/>
      <c r="H65" s="153"/>
      <c r="I65" s="153"/>
      <c r="J65" s="236"/>
    </row>
    <row r="66" spans="1:10">
      <c r="A66" s="150"/>
      <c r="B66" s="151"/>
      <c r="G66" s="151"/>
      <c r="H66" s="153"/>
      <c r="I66" s="153"/>
      <c r="J66" s="236"/>
    </row>
    <row r="67" spans="1:10">
      <c r="A67" s="150">
        <f>+A12</f>
        <v>210004</v>
      </c>
      <c r="B67" s="207" t="str">
        <f>+B12</f>
        <v>Holy Cross Hospital</v>
      </c>
      <c r="C67" s="193">
        <f>+C12</f>
        <v>557061094.91027451</v>
      </c>
      <c r="D67" s="193">
        <f>+D12</f>
        <v>559285860.58241439</v>
      </c>
      <c r="G67" s="151"/>
      <c r="H67" s="153"/>
      <c r="I67" s="197">
        <f>+D67/C67-1</f>
        <v>3.9937552495892259E-3</v>
      </c>
      <c r="J67" s="236"/>
    </row>
    <row r="68" spans="1:10" ht="18.5">
      <c r="A68" s="150">
        <f>+A55</f>
        <v>210065</v>
      </c>
      <c r="B68" s="207" t="str">
        <f>+B55</f>
        <v>Holy Cross Germantown Hospital</v>
      </c>
      <c r="C68" s="208">
        <f>+C55</f>
        <v>127565627.29582357</v>
      </c>
      <c r="D68" s="208">
        <f>+D55</f>
        <v>137056561.86278468</v>
      </c>
      <c r="E68" s="198"/>
      <c r="F68" s="198"/>
      <c r="G68" s="199"/>
      <c r="H68" s="199"/>
      <c r="I68" s="200">
        <f>+D68/C68-1</f>
        <v>7.4400406819242315E-2</v>
      </c>
      <c r="J68" s="239"/>
    </row>
    <row r="69" spans="1:10">
      <c r="A69" s="150"/>
      <c r="B69" s="207" t="s">
        <v>382</v>
      </c>
      <c r="C69" s="193">
        <f>+C67+C68</f>
        <v>684626722.20609808</v>
      </c>
      <c r="D69" s="193">
        <f>+D67+D68</f>
        <v>696342422.44519901</v>
      </c>
      <c r="I69" s="197">
        <f>+D69/C69-1</f>
        <v>1.7112537181354748E-2</v>
      </c>
    </row>
  </sheetData>
  <pageMargins left="0" right="0" top="0" bottom="0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F116"/>
  <sheetViews>
    <sheetView showGridLines="0" topLeftCell="B1" zoomScale="90" zoomScaleNormal="90" workbookViewId="0">
      <pane xSplit="3" ySplit="7" topLeftCell="U8" activePane="bottomRight" state="frozen"/>
      <selection activeCell="B1" sqref="B1"/>
      <selection pane="topRight" activeCell="E1" sqref="E1"/>
      <selection pane="bottomLeft" activeCell="B8" sqref="B8"/>
      <selection pane="bottomRight" activeCell="AA3" sqref="AA3"/>
    </sheetView>
  </sheetViews>
  <sheetFormatPr defaultColWidth="9.84375" defaultRowHeight="15.5"/>
  <cols>
    <col min="1" max="1" width="9.84375" style="1" hidden="1" customWidth="1"/>
    <col min="2" max="2" width="1.84375" style="1" customWidth="1"/>
    <col min="3" max="3" width="7.07421875" style="1" customWidth="1"/>
    <col min="4" max="4" width="27.4609375" style="1" customWidth="1"/>
    <col min="5" max="5" width="17.69140625" style="1" bestFit="1" customWidth="1"/>
    <col min="6" max="8" width="11.84375" style="1" customWidth="1"/>
    <col min="9" max="10" width="12.84375" style="1" customWidth="1"/>
    <col min="11" max="11" width="11.84375" style="255" customWidth="1"/>
    <col min="12" max="12" width="10.84375" style="1" customWidth="1"/>
    <col min="13" max="13" width="10.84375" style="255" customWidth="1"/>
    <col min="14" max="14" width="10.84375" style="1" customWidth="1"/>
    <col min="15" max="15" width="9.84375" style="1" customWidth="1"/>
    <col min="16" max="16" width="18.69140625" style="1" bestFit="1" customWidth="1"/>
    <col min="17" max="17" width="14.3046875" style="1" bestFit="1" customWidth="1"/>
    <col min="18" max="18" width="1.69140625" style="1" customWidth="1"/>
    <col min="19" max="19" width="15.4609375" style="1" customWidth="1"/>
    <col min="20" max="20" width="10.84375" style="1" customWidth="1"/>
    <col min="21" max="21" width="15.23046875" style="1" customWidth="1"/>
    <col min="22" max="22" width="9.84375" style="1" customWidth="1"/>
    <col min="23" max="23" width="12.84375" style="1" customWidth="1"/>
    <col min="24" max="24" width="9.84375" style="1" customWidth="1"/>
    <col min="25" max="25" width="11.84375" style="1" customWidth="1"/>
    <col min="26" max="26" width="10.84375" style="255" customWidth="1"/>
    <col min="27" max="27" width="15.07421875" style="1" customWidth="1"/>
    <col min="28" max="28" width="16.07421875" style="1" customWidth="1"/>
    <col min="29" max="29" width="11.84375" style="1" customWidth="1"/>
    <col min="30" max="30" width="14.84375" style="1" customWidth="1"/>
    <col min="31" max="31" width="14.53515625" style="1" customWidth="1"/>
    <col min="32" max="32" width="13.84375" style="1" customWidth="1"/>
    <col min="33" max="33" width="6.84375" style="1" customWidth="1"/>
    <col min="34" max="39" width="13.84375" style="1" customWidth="1"/>
    <col min="40" max="41" width="14.3046875" style="1" bestFit="1" customWidth="1"/>
    <col min="42" max="44" width="13.84375" style="1" customWidth="1"/>
    <col min="45" max="48" width="9.84375" style="1" customWidth="1"/>
    <col min="49" max="49" width="12.07421875" style="1" customWidth="1"/>
    <col min="50" max="50" width="9.84375" style="1" customWidth="1"/>
    <col min="51" max="51" width="12.84375" style="1" customWidth="1"/>
    <col min="52" max="52" width="9.84375" style="1" customWidth="1"/>
    <col min="53" max="53" width="12.84375" style="1" customWidth="1"/>
    <col min="54" max="54" width="13.84375" style="1" customWidth="1"/>
    <col min="55" max="55" width="11.3046875" style="1" customWidth="1"/>
    <col min="56" max="63" width="9.84375" style="1" customWidth="1"/>
    <col min="64" max="67" width="11.84375" style="1" customWidth="1"/>
    <col min="68" max="69" width="9.84375" style="1" customWidth="1"/>
    <col min="70" max="73" width="13.84375" style="1" customWidth="1"/>
    <col min="74" max="75" width="11.84375" style="1" customWidth="1"/>
    <col min="76" max="16384" width="9.84375" style="1"/>
  </cols>
  <sheetData>
    <row r="1" spans="1:214" ht="29.5">
      <c r="A1" s="2"/>
      <c r="B1" s="2"/>
      <c r="C1" s="226"/>
      <c r="D1" s="33"/>
      <c r="E1" s="34" t="str">
        <f>S1</f>
        <v>CALCULATION OF STATE-WIDE AVERAGE UCC</v>
      </c>
      <c r="F1" s="2"/>
      <c r="G1" s="2"/>
      <c r="H1" s="2"/>
      <c r="I1" s="2"/>
      <c r="J1" s="2"/>
      <c r="K1" s="246"/>
      <c r="L1" s="2"/>
      <c r="N1" s="2"/>
      <c r="O1" s="2"/>
      <c r="P1" s="2"/>
      <c r="Q1" s="16" t="s">
        <v>96</v>
      </c>
      <c r="R1" s="2"/>
      <c r="S1" s="34" t="s">
        <v>104</v>
      </c>
      <c r="T1" s="34"/>
      <c r="U1" s="34"/>
      <c r="V1" s="2"/>
      <c r="W1" s="2"/>
      <c r="X1" s="2"/>
      <c r="Y1" s="2"/>
      <c r="Z1" s="246"/>
      <c r="AA1" s="2"/>
      <c r="AB1" s="2"/>
      <c r="AC1" s="3"/>
      <c r="AD1" s="2" t="s">
        <v>132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35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6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</row>
    <row r="2" spans="1:214" ht="29.5">
      <c r="A2" s="2"/>
      <c r="B2" s="2"/>
      <c r="C2" s="2"/>
      <c r="D2" s="2"/>
      <c r="E2" s="34" t="s">
        <v>463</v>
      </c>
      <c r="F2" s="2"/>
      <c r="G2" s="2"/>
      <c r="H2" s="2"/>
      <c r="I2" s="2"/>
      <c r="J2" s="2"/>
      <c r="K2" s="246"/>
      <c r="L2" s="2"/>
      <c r="M2" s="246"/>
      <c r="N2" s="2"/>
      <c r="O2" s="2"/>
      <c r="P2" s="2"/>
      <c r="Q2" s="2"/>
      <c r="R2" s="2"/>
      <c r="S2" s="34" t="s">
        <v>331</v>
      </c>
      <c r="T2" s="34"/>
      <c r="U2" s="34"/>
      <c r="V2" s="2"/>
      <c r="W2" s="2"/>
      <c r="X2" s="2"/>
      <c r="Y2" s="2"/>
      <c r="AA2" s="2"/>
      <c r="AB2" s="2"/>
      <c r="AC2" s="34"/>
      <c r="AD2" s="36" t="str">
        <f>"FY June 30, " &amp; RIGHT(Input!A2,4)</f>
        <v>FY June 30, 2022</v>
      </c>
      <c r="AE2" s="2"/>
      <c r="AF2" s="2"/>
      <c r="AG2" s="2"/>
      <c r="AH2" s="35" t="s">
        <v>135</v>
      </c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35"/>
      <c r="AY2" s="2"/>
      <c r="AZ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</row>
    <row r="3" spans="1:214" ht="18">
      <c r="A3" s="2"/>
      <c r="B3" s="2"/>
      <c r="C3" s="2"/>
      <c r="D3" s="2"/>
      <c r="E3" s="37" t="s">
        <v>52</v>
      </c>
      <c r="F3" s="38"/>
      <c r="G3" s="2"/>
      <c r="H3" s="2"/>
      <c r="I3" s="2"/>
      <c r="J3" s="2"/>
      <c r="K3" s="246"/>
      <c r="L3" s="2"/>
      <c r="M3" s="246"/>
      <c r="N3" s="2"/>
      <c r="O3" s="2"/>
      <c r="P3" s="2"/>
      <c r="Q3" s="2"/>
      <c r="R3" s="2"/>
      <c r="S3" s="269" t="str">
        <f>TEXT(N4, "mmmm d, yyyy") &amp; " To " &amp; TEXT(EDATE(N4,12)-1, "mmmm d, yyyy")</f>
        <v>July 1, 2021 To June 30, 2022</v>
      </c>
      <c r="T3" s="4"/>
      <c r="U3" s="4"/>
      <c r="V3" s="2"/>
      <c r="W3" s="1" t="s">
        <v>262</v>
      </c>
      <c r="X3" s="39"/>
      <c r="Y3" s="40">
        <f>'PayOut  PayIn FY2022'!K82</f>
        <v>1.1191123783856007</v>
      </c>
      <c r="Z3" s="270">
        <f>'PayOut  PayIn FY2022'!K80</f>
        <v>-7541460.0810680836</v>
      </c>
      <c r="AA3" s="107" t="s">
        <v>263</v>
      </c>
      <c r="AB3" s="2"/>
      <c r="AC3" s="2"/>
      <c r="AD3" s="2"/>
      <c r="AE3" s="2"/>
      <c r="AF3" s="2"/>
      <c r="AG3" s="2"/>
      <c r="AH3" s="6" t="s">
        <v>136</v>
      </c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BA3" s="2"/>
      <c r="BB3" s="2"/>
      <c r="BM3" s="2"/>
      <c r="BN3" s="2"/>
      <c r="BO3" s="2"/>
      <c r="BP3" s="2"/>
      <c r="BQ3" s="2"/>
      <c r="BR3" s="2"/>
      <c r="BS3" s="2"/>
      <c r="BT3" s="2"/>
      <c r="BU3" s="2"/>
      <c r="BV3" s="42"/>
      <c r="BW3" s="4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</row>
    <row r="4" spans="1:214">
      <c r="A4" s="2"/>
      <c r="B4" s="2"/>
      <c r="C4" s="2"/>
      <c r="D4" s="2"/>
      <c r="E4" s="43" t="s">
        <v>77</v>
      </c>
      <c r="F4" s="44" t="s">
        <v>462</v>
      </c>
      <c r="G4" s="45"/>
      <c r="H4" s="45"/>
      <c r="I4" s="45"/>
      <c r="J4" s="45"/>
      <c r="K4" s="247"/>
      <c r="L4" s="45"/>
      <c r="M4" s="257" t="s">
        <v>91</v>
      </c>
      <c r="N4" s="99" t="str">
        <f>"7/1/"&amp;VALUE(RIGHT(Input!A2,2)-1)</f>
        <v>7/1/21</v>
      </c>
      <c r="O4" s="7" t="s">
        <v>95</v>
      </c>
      <c r="P4" s="7" t="s">
        <v>95</v>
      </c>
      <c r="Q4" s="419" t="str">
        <f>N4</f>
        <v>7/1/21</v>
      </c>
      <c r="R4" s="2"/>
      <c r="S4" s="124" t="str">
        <f>Q4</f>
        <v>7/1/21</v>
      </c>
      <c r="T4" s="7" t="str">
        <f>P4</f>
        <v>NEW</v>
      </c>
      <c r="U4" s="37" t="s">
        <v>102</v>
      </c>
      <c r="V4" s="7" t="s">
        <v>106</v>
      </c>
      <c r="W4" s="7" t="s">
        <v>95</v>
      </c>
      <c r="X4" s="46" t="s">
        <v>110</v>
      </c>
      <c r="Y4" s="13"/>
      <c r="Z4" s="271" t="s">
        <v>116</v>
      </c>
      <c r="AA4" s="7" t="s">
        <v>118</v>
      </c>
      <c r="AB4" s="37" t="s">
        <v>123</v>
      </c>
      <c r="AC4" s="7" t="s">
        <v>126</v>
      </c>
      <c r="AD4" s="7" t="s">
        <v>133</v>
      </c>
      <c r="AE4" s="7" t="s">
        <v>134</v>
      </c>
      <c r="AF4" s="47"/>
      <c r="AG4" s="2"/>
      <c r="AH4" s="6"/>
      <c r="AI4" s="2"/>
      <c r="AJ4" s="9" t="s">
        <v>101</v>
      </c>
      <c r="AK4" s="2"/>
      <c r="AL4" s="2"/>
      <c r="AM4" s="2"/>
      <c r="AN4" s="2"/>
      <c r="AO4" s="2"/>
      <c r="AP4" s="2"/>
      <c r="AQ4" s="225" t="s">
        <v>405</v>
      </c>
      <c r="AR4" s="224"/>
      <c r="AS4" s="2"/>
      <c r="BM4" s="42"/>
      <c r="BN4" s="42"/>
      <c r="BO4" s="42"/>
      <c r="BP4" s="2"/>
      <c r="BQ4" s="2"/>
      <c r="BR4" s="9"/>
      <c r="BS4" s="9"/>
      <c r="BT4" s="9"/>
      <c r="BU4" s="9"/>
      <c r="BV4" s="9"/>
      <c r="BW4" s="9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</row>
    <row r="5" spans="1:214">
      <c r="A5" s="5"/>
      <c r="B5" s="2"/>
      <c r="C5" s="2"/>
      <c r="D5" s="2"/>
      <c r="E5" s="43" t="s">
        <v>378</v>
      </c>
      <c r="F5" s="7" t="s">
        <v>78</v>
      </c>
      <c r="G5" s="7" t="s">
        <v>78</v>
      </c>
      <c r="H5" s="7" t="s">
        <v>78</v>
      </c>
      <c r="I5" s="7" t="s">
        <v>78</v>
      </c>
      <c r="J5" s="7" t="s">
        <v>78</v>
      </c>
      <c r="K5" s="248" t="str">
        <f>"FY" &amp;VALUE(RIGHT(Input!A2,4))-1</f>
        <v>FY2021</v>
      </c>
      <c r="L5" s="7" t="s">
        <v>78</v>
      </c>
      <c r="M5" s="249" t="s">
        <v>49</v>
      </c>
      <c r="N5" s="10" t="s">
        <v>93</v>
      </c>
      <c r="O5" s="10" t="s">
        <v>78</v>
      </c>
      <c r="P5" s="10" t="s">
        <v>77</v>
      </c>
      <c r="Q5" s="420" t="s">
        <v>97</v>
      </c>
      <c r="R5" s="2"/>
      <c r="S5" s="10" t="str">
        <f>Q5</f>
        <v>REVENUE</v>
      </c>
      <c r="T5" s="10" t="str">
        <f>P5</f>
        <v>APPROVED</v>
      </c>
      <c r="U5" s="43" t="s">
        <v>77</v>
      </c>
      <c r="V5" s="12" t="s">
        <v>101</v>
      </c>
      <c r="W5" s="10" t="s">
        <v>108</v>
      </c>
      <c r="X5" s="10" t="s">
        <v>111</v>
      </c>
      <c r="Y5" s="10" t="s">
        <v>114</v>
      </c>
      <c r="Z5" s="272" t="s">
        <v>91</v>
      </c>
      <c r="AA5" s="10" t="s">
        <v>97</v>
      </c>
      <c r="AB5" s="43" t="s">
        <v>124</v>
      </c>
      <c r="AC5" s="10" t="s">
        <v>127</v>
      </c>
      <c r="AD5" s="10" t="s">
        <v>126</v>
      </c>
      <c r="AE5" s="10" t="s">
        <v>126</v>
      </c>
      <c r="AF5" s="47"/>
      <c r="AG5" s="2"/>
      <c r="AH5" s="9" t="s">
        <v>137</v>
      </c>
      <c r="AI5" s="2"/>
      <c r="AJ5" s="9" t="s">
        <v>138</v>
      </c>
      <c r="AK5" s="9" t="s">
        <v>142</v>
      </c>
      <c r="AL5" s="48" t="s">
        <v>137</v>
      </c>
      <c r="AM5" s="6"/>
      <c r="AN5" s="9" t="s">
        <v>144</v>
      </c>
      <c r="AO5" s="9" t="s">
        <v>144</v>
      </c>
      <c r="AP5" s="9" t="s">
        <v>148</v>
      </c>
      <c r="AQ5" s="9" t="s">
        <v>94</v>
      </c>
      <c r="AR5" s="9" t="s">
        <v>94</v>
      </c>
      <c r="AS5" s="2"/>
      <c r="BM5" s="42"/>
      <c r="BN5" s="42"/>
      <c r="BO5" s="42"/>
      <c r="BP5" s="2"/>
      <c r="BQ5" s="2"/>
      <c r="BR5" s="9"/>
      <c r="BS5" s="9"/>
      <c r="BT5" s="9"/>
      <c r="BU5" s="9"/>
      <c r="BV5" s="9"/>
      <c r="BW5" s="9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</row>
    <row r="6" spans="1:214">
      <c r="A6" s="2"/>
      <c r="B6" s="2"/>
      <c r="C6" s="2"/>
      <c r="D6" s="2"/>
      <c r="E6" s="94" t="str">
        <f>"7/1/"&amp;VALUE(RIGHT(Input!A2,2)-1)</f>
        <v>7/1/21</v>
      </c>
      <c r="F6" s="10" t="s">
        <v>79</v>
      </c>
      <c r="G6" s="10" t="s">
        <v>81</v>
      </c>
      <c r="H6" s="10" t="s">
        <v>81</v>
      </c>
      <c r="I6" s="10" t="s">
        <v>84</v>
      </c>
      <c r="J6" s="10" t="s">
        <v>85</v>
      </c>
      <c r="K6" s="249" t="s">
        <v>87</v>
      </c>
      <c r="L6" s="10" t="s">
        <v>89</v>
      </c>
      <c r="M6" s="249" t="s">
        <v>92</v>
      </c>
      <c r="N6" s="43" t="s">
        <v>442</v>
      </c>
      <c r="O6" s="10" t="s">
        <v>89</v>
      </c>
      <c r="P6" s="10" t="s">
        <v>91</v>
      </c>
      <c r="Q6" s="420" t="s">
        <v>98</v>
      </c>
      <c r="R6" s="2"/>
      <c r="S6" s="10" t="str">
        <f>Q6</f>
        <v>ADJ. FOR</v>
      </c>
      <c r="T6" s="10" t="str">
        <f>P6</f>
        <v>MARK UP</v>
      </c>
      <c r="U6" s="43" t="s">
        <v>105</v>
      </c>
      <c r="V6" s="12" t="s">
        <v>107</v>
      </c>
      <c r="W6" s="10" t="s">
        <v>109</v>
      </c>
      <c r="X6" s="10" t="s">
        <v>112</v>
      </c>
      <c r="Y6" s="10" t="s">
        <v>115</v>
      </c>
      <c r="Z6" s="272" t="s">
        <v>88</v>
      </c>
      <c r="AA6" s="47" t="s">
        <v>119</v>
      </c>
      <c r="AB6" s="43" t="s">
        <v>119</v>
      </c>
      <c r="AC6" s="47" t="s">
        <v>128</v>
      </c>
      <c r="AD6" s="10" t="s">
        <v>127</v>
      </c>
      <c r="AE6" s="10" t="s">
        <v>128</v>
      </c>
      <c r="AF6" s="47"/>
      <c r="AG6" s="2"/>
      <c r="AH6" s="114" t="str">
        <f>E6</f>
        <v>7/1/21</v>
      </c>
      <c r="AI6" s="2"/>
      <c r="AJ6" s="9" t="s">
        <v>139</v>
      </c>
      <c r="AK6" s="9" t="s">
        <v>143</v>
      </c>
      <c r="AL6" s="135" t="str">
        <f>AH6</f>
        <v>7/1/21</v>
      </c>
      <c r="AM6" s="6"/>
      <c r="AN6" s="9" t="s">
        <v>53</v>
      </c>
      <c r="AO6" s="9" t="s">
        <v>53</v>
      </c>
      <c r="AP6" s="9" t="s">
        <v>149</v>
      </c>
      <c r="AQ6" s="9" t="s">
        <v>53</v>
      </c>
      <c r="AR6" s="9" t="s">
        <v>53</v>
      </c>
      <c r="AS6" s="2"/>
      <c r="BE6" s="153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</row>
    <row r="7" spans="1:214">
      <c r="A7" s="2"/>
      <c r="B7" s="2"/>
      <c r="C7" s="2"/>
      <c r="D7" s="2"/>
      <c r="E7" s="10" t="str">
        <f xml:space="preserve"> "for "&amp;Input!A2</f>
        <v>for FY2022</v>
      </c>
      <c r="F7" s="10" t="s">
        <v>80</v>
      </c>
      <c r="G7" s="10" t="s">
        <v>82</v>
      </c>
      <c r="H7" s="10" t="s">
        <v>83</v>
      </c>
      <c r="I7" s="11"/>
      <c r="J7" s="10" t="s">
        <v>86</v>
      </c>
      <c r="K7" s="249" t="s">
        <v>88</v>
      </c>
      <c r="L7" s="10" t="s">
        <v>90</v>
      </c>
      <c r="M7" s="258" t="str">
        <f>TEXT(N4-1,"m/d/yy")</f>
        <v>6/30/21</v>
      </c>
      <c r="N7" s="43" t="s">
        <v>443</v>
      </c>
      <c r="O7" s="10" t="s">
        <v>90</v>
      </c>
      <c r="P7" s="10" t="s">
        <v>468</v>
      </c>
      <c r="Q7" s="421" t="s">
        <v>99</v>
      </c>
      <c r="R7" s="2"/>
      <c r="S7" s="10" t="str">
        <f>Q7</f>
        <v>NEW MU</v>
      </c>
      <c r="T7" s="10"/>
      <c r="U7" s="43" t="s">
        <v>97</v>
      </c>
      <c r="V7" s="10" t="str">
        <f>Input!A2</f>
        <v>FY2022</v>
      </c>
      <c r="W7" s="11"/>
      <c r="X7" s="245">
        <f>Input!F5</f>
        <v>4.65E-2</v>
      </c>
      <c r="Y7" s="106"/>
      <c r="Z7" s="272" t="s">
        <v>117</v>
      </c>
      <c r="AA7" s="49"/>
      <c r="AB7" s="43" t="s">
        <v>125</v>
      </c>
      <c r="AC7" s="10" t="s">
        <v>129</v>
      </c>
      <c r="AD7" s="10" t="s">
        <v>129</v>
      </c>
      <c r="AE7" s="10" t="s">
        <v>129</v>
      </c>
      <c r="AF7" s="47"/>
      <c r="AG7" s="2"/>
      <c r="AH7" s="9" t="s">
        <v>100</v>
      </c>
      <c r="AI7" s="9" t="s">
        <v>50</v>
      </c>
      <c r="AJ7" s="9" t="s">
        <v>140</v>
      </c>
      <c r="AK7" s="9"/>
      <c r="AL7" s="48" t="s">
        <v>51</v>
      </c>
      <c r="AM7" s="48" t="s">
        <v>50</v>
      </c>
      <c r="AN7" s="96" t="str">
        <f>"FYE 6/" &amp;RIGHT(Input!A2,2)</f>
        <v>FYE 6/22</v>
      </c>
      <c r="AO7" s="9" t="str">
        <f>AN7</f>
        <v>FYE 6/22</v>
      </c>
      <c r="AP7" s="9"/>
      <c r="AQ7" s="9" t="s">
        <v>145</v>
      </c>
      <c r="AR7" s="9" t="s">
        <v>147</v>
      </c>
      <c r="AS7" s="2"/>
      <c r="AT7" s="2"/>
      <c r="BE7" s="153"/>
      <c r="BF7" s="153"/>
      <c r="BG7" s="153"/>
      <c r="BH7" s="153"/>
      <c r="BI7" s="153"/>
      <c r="BJ7" s="153"/>
      <c r="BT7" s="42"/>
      <c r="BU7" s="42"/>
      <c r="BV7" s="42"/>
      <c r="BW7" s="4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</row>
    <row r="8" spans="1:214">
      <c r="A8" s="2"/>
      <c r="B8" s="2"/>
      <c r="C8" s="2"/>
      <c r="D8" s="2"/>
      <c r="E8" s="50"/>
      <c r="F8" s="103"/>
      <c r="G8" s="51">
        <f>SUM(F9:L9)</f>
        <v>1</v>
      </c>
      <c r="H8" s="50"/>
      <c r="I8" s="50"/>
      <c r="J8" s="50"/>
      <c r="K8" s="250"/>
      <c r="L8" s="50"/>
      <c r="M8" s="259"/>
      <c r="N8" s="147" t="s">
        <v>294</v>
      </c>
      <c r="O8" s="50"/>
      <c r="P8" s="348">
        <v>7.6999999999999999E-2</v>
      </c>
      <c r="Q8" s="50"/>
      <c r="R8" s="2"/>
      <c r="S8" s="265">
        <v>0</v>
      </c>
      <c r="T8" s="51">
        <v>7.6999999999999999E-2</v>
      </c>
      <c r="U8" s="50"/>
      <c r="V8" s="50"/>
      <c r="W8" s="50"/>
      <c r="X8" s="123"/>
      <c r="Y8" s="50"/>
      <c r="Z8" s="273">
        <f>T8</f>
        <v>7.6999999999999999E-2</v>
      </c>
      <c r="AA8" s="50"/>
      <c r="AB8" s="50"/>
      <c r="AC8" s="50"/>
      <c r="AD8" s="50"/>
      <c r="AE8" s="50"/>
      <c r="AF8" s="9"/>
      <c r="AG8" s="2"/>
      <c r="AH8" s="53"/>
      <c r="AI8" s="21"/>
      <c r="AJ8" s="54" t="s">
        <v>141</v>
      </c>
      <c r="AK8" s="22">
        <v>0</v>
      </c>
      <c r="AL8" s="48"/>
      <c r="AM8" s="6"/>
      <c r="AN8" s="9" t="s">
        <v>145</v>
      </c>
      <c r="AO8" s="9" t="s">
        <v>147</v>
      </c>
      <c r="AP8" s="9"/>
      <c r="AQ8" s="9" t="s">
        <v>100</v>
      </c>
      <c r="AR8" s="9" t="s">
        <v>100</v>
      </c>
      <c r="AS8" s="2"/>
      <c r="BE8" s="155"/>
      <c r="BF8" s="153"/>
      <c r="BG8" s="153"/>
      <c r="BH8" s="153"/>
      <c r="BI8" s="153"/>
      <c r="BJ8" s="153"/>
      <c r="BT8" s="42"/>
      <c r="BU8" s="42"/>
      <c r="BV8" s="42"/>
      <c r="BW8" s="4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</row>
    <row r="9" spans="1:214">
      <c r="A9" s="2"/>
      <c r="B9" s="2"/>
      <c r="C9" s="13">
        <v>210001</v>
      </c>
      <c r="D9" s="13" t="s">
        <v>151</v>
      </c>
      <c r="E9" s="14">
        <f>SUMIFS('Final UCC Appr''d FY2022'!M:M,'Final UCC Appr''d FY2022'!A:A,C9)</f>
        <v>427168873.12971783</v>
      </c>
      <c r="F9" s="243">
        <f>(('PDA Schedules FY 2020'!H9+'PDA Schedules FY 2020'!K9)/'PDA Schedules FY 2020'!$E9)</f>
        <v>0.44585008224069389</v>
      </c>
      <c r="G9" s="243">
        <f>'PDA Schedules FY 2020'!L9/'PDA Schedules FY 2020'!$E9</f>
        <v>5.4502850184180579E-2</v>
      </c>
      <c r="H9" s="243">
        <f>'PDA Schedules FY 2020'!M9/'PDA Schedules FY 2020'!$E9</f>
        <v>6.0543201849244679E-2</v>
      </c>
      <c r="I9" s="243">
        <f>'PDA Schedules FY 2020'!Q9/'PDA Schedules FY 2020'!$E9</f>
        <v>0.24367242581117979</v>
      </c>
      <c r="J9" s="243">
        <f>'PDA Schedules FY 2020'!R9/'PDA Schedules FY 2020'!$E9</f>
        <v>0</v>
      </c>
      <c r="K9" s="251">
        <f>SUMIFS(Input!G:G,Input!$A:$A,$C9)</f>
        <v>4.9197984886721731E-2</v>
      </c>
      <c r="L9" s="243">
        <f t="shared" ref="L9:L40" si="0">1-(F9+G9+H9+I9+K9)</f>
        <v>0.14623345502797935</v>
      </c>
      <c r="M9" s="260">
        <f>SUMIFS(Input!F:F,Input!A:A,C9)</f>
        <v>1.1141497861488601</v>
      </c>
      <c r="N9" s="15">
        <f>SUMIFS(Input!I:I,Input!$A:$A,$C9)</f>
        <v>5.6887901145672465E-2</v>
      </c>
      <c r="O9" s="243">
        <f t="shared" ref="O9:O40" si="1">1-(F9+G9+H9+I9+N9)</f>
        <v>0.1385435387690287</v>
      </c>
      <c r="P9" s="56">
        <f>1/(1-N9-((F9+I9)*$P$8)-(G9*0.0225)-(H9*0.02)-((J9+O9)*0.02))</f>
        <v>1.1301850983521007</v>
      </c>
      <c r="Q9" s="422">
        <f>E9/M9*P9</f>
        <v>433316867.16902769</v>
      </c>
      <c r="R9" s="2"/>
      <c r="S9" s="57">
        <f t="shared" ref="S9:S40" si="2">Q9*(1-$S$8)</f>
        <v>433316867.16902769</v>
      </c>
      <c r="T9" s="346">
        <f>1/(1-N9-((F9+I9)*$T$8)-(G9*0.0225)-(H9*0.02)-((J9+O9)*0.02))</f>
        <v>1.1301850983521007</v>
      </c>
      <c r="U9" s="58">
        <f t="shared" ref="U9:U55" si="3">S9/T9</f>
        <v>383403451.16993487</v>
      </c>
      <c r="V9" s="15">
        <f>N9</f>
        <v>5.6887901145672465E-2</v>
      </c>
      <c r="W9" s="14">
        <f t="shared" ref="W9:W55" si="4">V9*U9</f>
        <v>21811017.629064914</v>
      </c>
      <c r="X9" s="27">
        <f>X$7</f>
        <v>4.65E-2</v>
      </c>
      <c r="Y9" s="15">
        <f t="shared" ref="Y9:Y55" si="5">X9-V9</f>
        <v>-1.0387901145672465E-2</v>
      </c>
      <c r="Z9" s="274">
        <f t="shared" ref="Z9:Z40" si="6">S9/(S9*(1-X9-((+F9+I9)*+$Z$8)-(G9*0.0225)-(+H9*0.02)-((J9+(1-(F9+G9+H9+I9+X9)))*0.02)))</f>
        <v>1.1173297215139713</v>
      </c>
      <c r="AA9" s="14">
        <f t="shared" ref="AA9:AA55" si="7">S9/T9*Z9</f>
        <v>428388071.3231988</v>
      </c>
      <c r="AB9" s="58">
        <f t="shared" ref="AB9:AB55" si="8">AA9/T9</f>
        <v>379042399.29178196</v>
      </c>
      <c r="AC9" s="318">
        <f t="shared" ref="AC9:AC55" si="9">(AB9-U9)</f>
        <v>-4361051.8781529069</v>
      </c>
      <c r="AD9" s="14">
        <f t="shared" ref="AD9:AD55" si="10">IF(AC9&gt;0,AC9,0)</f>
        <v>0</v>
      </c>
      <c r="AE9" s="318">
        <f t="shared" ref="AE9:AE56" si="11">AC9-AD9</f>
        <v>-4361051.8781529069</v>
      </c>
      <c r="AF9" s="8"/>
      <c r="AG9" s="2"/>
      <c r="AH9" s="15">
        <f>+V9</f>
        <v>5.6887901145672465E-2</v>
      </c>
      <c r="AI9" s="56">
        <f>+T9</f>
        <v>1.1301850983521007</v>
      </c>
      <c r="AJ9" s="59">
        <f>X9</f>
        <v>4.65E-2</v>
      </c>
      <c r="AK9" s="22">
        <f>+AJ9-$AK$8</f>
        <v>4.65E-2</v>
      </c>
      <c r="AL9" s="60">
        <f t="shared" ref="AL9:AL55" si="12">AH9+AK9</f>
        <v>0.10338790114567246</v>
      </c>
      <c r="AM9" s="61">
        <f t="shared" ref="AM9:AM40" si="13">P9</f>
        <v>1.1301850983521007</v>
      </c>
      <c r="AN9" s="18">
        <f t="shared" ref="AN9:AN55" si="14">S9</f>
        <v>433316867.16902769</v>
      </c>
      <c r="AO9" s="18">
        <f t="shared" ref="AO9:AO55" si="15">AA9</f>
        <v>428388071.3231988</v>
      </c>
      <c r="AP9" s="22">
        <f>('PDA Schedules FY 2020'!K9+'PDA Schedules FY 2020'!Q9)/'PDA Schedules FY 2020'!E9</f>
        <v>0.26593554643912953</v>
      </c>
      <c r="AQ9" s="18">
        <f t="shared" ref="AQ9:AQ55" si="16">AN9*AP9</f>
        <v>115234357.85188709</v>
      </c>
      <c r="AR9" s="18">
        <f t="shared" ref="AR9:AR55" si="17">AO9*AP9</f>
        <v>113923615.83533967</v>
      </c>
      <c r="AS9" s="2"/>
      <c r="AT9" s="150"/>
      <c r="BF9" s="153"/>
      <c r="BG9" s="153"/>
      <c r="BH9" s="153"/>
      <c r="BI9" s="153"/>
      <c r="BJ9" s="153"/>
      <c r="BT9" s="42"/>
      <c r="BU9" s="42"/>
      <c r="BV9" s="42"/>
      <c r="BW9" s="4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</row>
    <row r="10" spans="1:214">
      <c r="A10" s="2"/>
      <c r="B10" s="2"/>
      <c r="C10" s="13">
        <v>210002</v>
      </c>
      <c r="D10" s="13" t="s">
        <v>297</v>
      </c>
      <c r="E10" s="14">
        <f>SUMIFS('Final UCC Appr''d FY2022'!M:M,'Final UCC Appr''d FY2022'!A:A,C10)</f>
        <v>1730495712.676065</v>
      </c>
      <c r="F10" s="243">
        <f>(('PDA Schedules FY 2020'!H10+'PDA Schedules FY 2020'!K10)/'PDA Schedules FY 2020'!$E10)</f>
        <v>0.3683375628035957</v>
      </c>
      <c r="G10" s="243">
        <f>'PDA Schedules FY 2020'!L10/'PDA Schedules FY 2020'!$E10</f>
        <v>7.197721370859235E-2</v>
      </c>
      <c r="H10" s="243">
        <f>'PDA Schedules FY 2020'!M10/'PDA Schedules FY 2020'!$E10</f>
        <v>4.5234448056823182E-2</v>
      </c>
      <c r="I10" s="243">
        <f>'PDA Schedules FY 2020'!Q10/'PDA Schedules FY 2020'!$E10</f>
        <v>0.26426522267094987</v>
      </c>
      <c r="J10" s="243">
        <f>'PDA Schedules FY 2020'!R10/'PDA Schedules FY 2020'!$E10</f>
        <v>4.3957528351901975E-3</v>
      </c>
      <c r="K10" s="251">
        <f>SUMIFS(Input!G:G,Input!$A:$A,$C10)</f>
        <v>3.4835868532763915E-2</v>
      </c>
      <c r="L10" s="243">
        <f t="shared" si="0"/>
        <v>0.21534968422727507</v>
      </c>
      <c r="M10" s="260">
        <f>SUMIFS(Input!F:F,Input!A:A,C10)</f>
        <v>1.1105551626804377</v>
      </c>
      <c r="N10" s="15">
        <f>SUMIFS(Input!I:I,Input!$A:$A,$C10)</f>
        <v>3.4672992881322966E-2</v>
      </c>
      <c r="O10" s="243">
        <f t="shared" si="1"/>
        <v>0.21551255987871598</v>
      </c>
      <c r="P10" s="56">
        <f t="shared" ref="P10:P56" si="18">1/(1-N10-((F10+I10)*$P$8)-(G10*0.0225)-(H10*0.02)-((J10+O10)*0.02))</f>
        <v>1.0992704415527257</v>
      </c>
      <c r="Q10" s="422">
        <f t="shared" ref="Q10:Q40" si="19">+E10/M10*P10</f>
        <v>1712911569.0094707</v>
      </c>
      <c r="R10" s="2"/>
      <c r="S10" s="57">
        <f t="shared" si="2"/>
        <v>1712911569.0094707</v>
      </c>
      <c r="T10" s="346">
        <f t="shared" ref="T10:T56" si="20">1/(1-N10-((F10+I10)*$T$8)-(G10*0.0225)-(H10*0.02)-((J10+O10)*0.02))</f>
        <v>1.0992704415527257</v>
      </c>
      <c r="U10" s="58">
        <f t="shared" si="3"/>
        <v>1558225805.2804308</v>
      </c>
      <c r="V10" s="15">
        <f t="shared" ref="V10:V56" si="21">N10</f>
        <v>3.4672992881322966E-2</v>
      </c>
      <c r="W10" s="14">
        <f t="shared" si="4"/>
        <v>54028352.253982119</v>
      </c>
      <c r="X10" s="27">
        <f t="shared" ref="X10:X56" si="22">X$7</f>
        <v>4.65E-2</v>
      </c>
      <c r="Y10" s="15">
        <f t="shared" si="5"/>
        <v>1.1827007118677034E-2</v>
      </c>
      <c r="Z10" s="274">
        <f t="shared" si="6"/>
        <v>1.1134570622864013</v>
      </c>
      <c r="AA10" s="14">
        <f t="shared" si="7"/>
        <v>1735017527.5264103</v>
      </c>
      <c r="AB10" s="58">
        <f t="shared" si="8"/>
        <v>1578335468.6365335</v>
      </c>
      <c r="AC10" s="318">
        <f t="shared" si="9"/>
        <v>20109663.356102705</v>
      </c>
      <c r="AD10" s="14">
        <f t="shared" si="10"/>
        <v>20109663.356102705</v>
      </c>
      <c r="AE10" s="318">
        <f t="shared" si="11"/>
        <v>0</v>
      </c>
      <c r="AF10" s="8"/>
      <c r="AG10" s="2"/>
      <c r="AH10" s="15">
        <f t="shared" ref="AH10:AH58" si="23">+V10</f>
        <v>3.4672992881322966E-2</v>
      </c>
      <c r="AI10" s="56">
        <f t="shared" ref="AI10:AI58" si="24">+T10</f>
        <v>1.0992704415527257</v>
      </c>
      <c r="AJ10" s="59">
        <f>X10</f>
        <v>4.65E-2</v>
      </c>
      <c r="AK10" s="22">
        <f t="shared" ref="AK10:AK58" si="25">+AJ10-$AK$8</f>
        <v>4.65E-2</v>
      </c>
      <c r="AL10" s="60">
        <f t="shared" si="12"/>
        <v>8.1172992881322958E-2</v>
      </c>
      <c r="AM10" s="61">
        <f t="shared" si="13"/>
        <v>1.0992704415527257</v>
      </c>
      <c r="AN10" s="18">
        <f t="shared" si="14"/>
        <v>1712911569.0094707</v>
      </c>
      <c r="AO10" s="18">
        <f t="shared" si="15"/>
        <v>1735017527.5264103</v>
      </c>
      <c r="AP10" s="22">
        <f>('PDA Schedules FY 2020'!K10+'PDA Schedules FY 2020'!Q10)/'PDA Schedules FY 2020'!E10</f>
        <v>0.30123774054119662</v>
      </c>
      <c r="AQ10" s="18">
        <f t="shared" si="16"/>
        <v>515993610.79528892</v>
      </c>
      <c r="AR10" s="18">
        <f t="shared" si="17"/>
        <v>522652759.79142928</v>
      </c>
      <c r="AS10" s="2"/>
      <c r="AT10" s="150"/>
      <c r="BT10" s="42"/>
      <c r="BU10" s="42"/>
      <c r="BV10" s="42"/>
      <c r="BW10" s="4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</row>
    <row r="11" spans="1:214">
      <c r="A11" s="2"/>
      <c r="B11" s="2"/>
      <c r="C11" s="13">
        <v>210003</v>
      </c>
      <c r="D11" s="13" t="s">
        <v>298</v>
      </c>
      <c r="E11" s="14">
        <f>SUMIFS('Final UCC Appr''d FY2022'!M:M,'Final UCC Appr''d FY2022'!A:A,C11)</f>
        <v>386209070.38928121</v>
      </c>
      <c r="F11" s="243">
        <f>(('PDA Schedules FY 2020'!H11+'PDA Schedules FY 2020'!K11)/'PDA Schedules FY 2020'!$E11)</f>
        <v>0.38400245694923374</v>
      </c>
      <c r="G11" s="243">
        <f>'PDA Schedules FY 2020'!L11/'PDA Schedules FY 2020'!$E11</f>
        <v>5.2276249153549038E-2</v>
      </c>
      <c r="H11" s="243">
        <f>'PDA Schedules FY 2020'!M11/'PDA Schedules FY 2020'!$E11</f>
        <v>2.2647656083805832E-2</v>
      </c>
      <c r="I11" s="243">
        <f>'PDA Schedules FY 2020'!Q11/'PDA Schedules FY 2020'!$E11</f>
        <v>0.23195814584049096</v>
      </c>
      <c r="J11" s="243">
        <f>'PDA Schedules FY 2020'!R11/'PDA Schedules FY 2020'!$E11</f>
        <v>5.309477859198857E-3</v>
      </c>
      <c r="K11" s="251">
        <f>SUMIFS(Input!G:G,Input!$A:$A,$C11)</f>
        <v>8.3260715798596938E-2</v>
      </c>
      <c r="L11" s="243">
        <f t="shared" si="0"/>
        <v>0.22585477617432348</v>
      </c>
      <c r="M11" s="260">
        <f>SUMIFS(Input!F:F,Input!A:A,C11)</f>
        <v>1.113920844193528</v>
      </c>
      <c r="N11" s="15">
        <f>SUMIFS(Input!I:I,Input!$A:$A,$C11)</f>
        <v>8.764255246794983E-2</v>
      </c>
      <c r="O11" s="243">
        <f t="shared" si="1"/>
        <v>0.2214729395049706</v>
      </c>
      <c r="P11" s="56">
        <f t="shared" si="18"/>
        <v>1.1644647321159964</v>
      </c>
      <c r="Q11" s="422">
        <f t="shared" si="19"/>
        <v>403733213.21338761</v>
      </c>
      <c r="R11" s="2"/>
      <c r="S11" s="57">
        <f t="shared" si="2"/>
        <v>403733213.21338761</v>
      </c>
      <c r="T11" s="346">
        <f t="shared" si="20"/>
        <v>1.1644647321159964</v>
      </c>
      <c r="U11" s="58">
        <f t="shared" si="3"/>
        <v>346711413.47471082</v>
      </c>
      <c r="V11" s="15">
        <f t="shared" si="21"/>
        <v>8.764255246794983E-2</v>
      </c>
      <c r="W11" s="14">
        <f t="shared" si="4"/>
        <v>30386673.24669439</v>
      </c>
      <c r="X11" s="27">
        <f t="shared" si="22"/>
        <v>4.65E-2</v>
      </c>
      <c r="Y11" s="15">
        <f t="shared" si="5"/>
        <v>-4.1142552467949831E-2</v>
      </c>
      <c r="Z11" s="274">
        <f t="shared" si="6"/>
        <v>1.1122439124289067</v>
      </c>
      <c r="AA11" s="14">
        <f t="shared" si="7"/>
        <v>385627659.00686872</v>
      </c>
      <c r="AB11" s="58">
        <f t="shared" si="8"/>
        <v>331163021.40480369</v>
      </c>
      <c r="AC11" s="318">
        <f t="shared" si="9"/>
        <v>-15548392.069907129</v>
      </c>
      <c r="AD11" s="14">
        <f t="shared" si="10"/>
        <v>0</v>
      </c>
      <c r="AE11" s="318">
        <f t="shared" si="11"/>
        <v>-15548392.069907129</v>
      </c>
      <c r="AF11" s="8"/>
      <c r="AG11" s="2"/>
      <c r="AH11" s="15">
        <f t="shared" si="23"/>
        <v>8.764255246794983E-2</v>
      </c>
      <c r="AI11" s="56">
        <f t="shared" si="24"/>
        <v>1.1644647321159964</v>
      </c>
      <c r="AJ11" s="59">
        <f t="shared" ref="AJ11:AJ56" si="26">X11</f>
        <v>4.65E-2</v>
      </c>
      <c r="AK11" s="22">
        <f t="shared" si="25"/>
        <v>4.65E-2</v>
      </c>
      <c r="AL11" s="60">
        <f t="shared" si="12"/>
        <v>0.13414255246794982</v>
      </c>
      <c r="AM11" s="61">
        <f t="shared" si="13"/>
        <v>1.1644647321159964</v>
      </c>
      <c r="AN11" s="18">
        <f t="shared" si="14"/>
        <v>403733213.21338761</v>
      </c>
      <c r="AO11" s="18">
        <f t="shared" si="15"/>
        <v>385627659.00686872</v>
      </c>
      <c r="AP11" s="22">
        <f>('PDA Schedules FY 2020'!K11+'PDA Schedules FY 2020'!Q11)/'PDA Schedules FY 2020'!E11</f>
        <v>0.31403700576930943</v>
      </c>
      <c r="AQ11" s="18">
        <f t="shared" si="16"/>
        <v>126787169.40715444</v>
      </c>
      <c r="AR11" s="18">
        <f t="shared" si="17"/>
        <v>121101355.37634532</v>
      </c>
      <c r="AS11" s="2"/>
      <c r="AT11" s="150"/>
      <c r="BT11" s="42"/>
      <c r="BU11" s="42"/>
      <c r="BV11" s="42"/>
      <c r="BW11" s="4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</row>
    <row r="12" spans="1:214">
      <c r="A12" s="2"/>
      <c r="B12" s="2"/>
      <c r="C12" s="13">
        <v>210004</v>
      </c>
      <c r="D12" s="13" t="s">
        <v>299</v>
      </c>
      <c r="E12" s="14">
        <f>SUMIFS('Final UCC Appr''d FY2022'!M:M,'Final UCC Appr''d FY2022'!A:A,C12)</f>
        <v>581254041.9676441</v>
      </c>
      <c r="F12" s="243">
        <f>(('PDA Schedules FY 2020'!H12+'PDA Schedules FY 2020'!K12)/'PDA Schedules FY 2020'!$E12)</f>
        <v>0.27378367264213321</v>
      </c>
      <c r="G12" s="243">
        <f>'PDA Schedules FY 2020'!L12/'PDA Schedules FY 2020'!$E12</f>
        <v>7.6123294833303989E-2</v>
      </c>
      <c r="H12" s="243">
        <f>'PDA Schedules FY 2020'!M12/'PDA Schedules FY 2020'!$E12</f>
        <v>3.5611858518758865E-2</v>
      </c>
      <c r="I12" s="243">
        <f>'PDA Schedules FY 2020'!Q12/'PDA Schedules FY 2020'!$E12</f>
        <v>0.29116327620286059</v>
      </c>
      <c r="J12" s="243">
        <f>'PDA Schedules FY 2020'!R12/'PDA Schedules FY 2020'!$E12</f>
        <v>8.589121848221493E-3</v>
      </c>
      <c r="K12" s="251">
        <f>SUMIFS(Input!G:G,Input!$A:$A,$C12)</f>
        <v>7.9302530504968036E-2</v>
      </c>
      <c r="L12" s="243">
        <f t="shared" si="0"/>
        <v>0.24401536729797535</v>
      </c>
      <c r="M12" s="260">
        <f>SUMIFS(Input!F:F,Input!A:A,C12)</f>
        <v>1.1052169218229495</v>
      </c>
      <c r="N12" s="15">
        <f>SUMIFS(Input!I:I,Input!$A:$A,$C12)</f>
        <v>7.5543579392384569E-2</v>
      </c>
      <c r="O12" s="243">
        <f t="shared" si="1"/>
        <v>0.24777431841055886</v>
      </c>
      <c r="P12" s="56">
        <f t="shared" si="18"/>
        <v>1.1449465388673956</v>
      </c>
      <c r="Q12" s="422">
        <f t="shared" si="19"/>
        <v>602148583.1540215</v>
      </c>
      <c r="R12" s="2"/>
      <c r="S12" s="57">
        <f t="shared" si="2"/>
        <v>602148583.1540215</v>
      </c>
      <c r="T12" s="346">
        <f t="shared" si="20"/>
        <v>1.1449465388673956</v>
      </c>
      <c r="U12" s="58">
        <f t="shared" si="3"/>
        <v>525918514.71919304</v>
      </c>
      <c r="V12" s="15">
        <f t="shared" si="21"/>
        <v>7.5543579392384569E-2</v>
      </c>
      <c r="W12" s="14">
        <f t="shared" si="4"/>
        <v>39729767.07061433</v>
      </c>
      <c r="X12" s="27">
        <f t="shared" si="22"/>
        <v>4.65E-2</v>
      </c>
      <c r="Y12" s="15">
        <f t="shared" si="5"/>
        <v>-2.9043579392384569E-2</v>
      </c>
      <c r="Z12" s="274">
        <f t="shared" si="6"/>
        <v>1.1088122559474733</v>
      </c>
      <c r="AA12" s="14">
        <f t="shared" si="7"/>
        <v>583144894.75033295</v>
      </c>
      <c r="AB12" s="58">
        <f t="shared" si="8"/>
        <v>509320631.97220695</v>
      </c>
      <c r="AC12" s="318">
        <f t="shared" si="9"/>
        <v>-16597882.746986091</v>
      </c>
      <c r="AD12" s="14">
        <f t="shared" si="10"/>
        <v>0</v>
      </c>
      <c r="AE12" s="318">
        <f t="shared" si="11"/>
        <v>-16597882.746986091</v>
      </c>
      <c r="AF12" s="8"/>
      <c r="AG12" s="2"/>
      <c r="AH12" s="15">
        <f t="shared" si="23"/>
        <v>7.5543579392384569E-2</v>
      </c>
      <c r="AI12" s="56">
        <f t="shared" si="24"/>
        <v>1.1449465388673956</v>
      </c>
      <c r="AJ12" s="59">
        <f t="shared" si="26"/>
        <v>4.65E-2</v>
      </c>
      <c r="AK12" s="22">
        <f t="shared" si="25"/>
        <v>4.65E-2</v>
      </c>
      <c r="AL12" s="60">
        <f t="shared" si="12"/>
        <v>0.12204357939238457</v>
      </c>
      <c r="AM12" s="61">
        <f t="shared" si="13"/>
        <v>1.1449465388673956</v>
      </c>
      <c r="AN12" s="18">
        <f t="shared" si="14"/>
        <v>602148583.1540215</v>
      </c>
      <c r="AO12" s="18">
        <f t="shared" si="15"/>
        <v>583144894.75033295</v>
      </c>
      <c r="AP12" s="22">
        <f>('PDA Schedules FY 2020'!K12+'PDA Schedules FY 2020'!Q12)/'PDA Schedules FY 2020'!E12</f>
        <v>0.36520633240349104</v>
      </c>
      <c r="AQ12" s="18">
        <f t="shared" si="16"/>
        <v>219908475.61563873</v>
      </c>
      <c r="AR12" s="18">
        <f t="shared" si="17"/>
        <v>212968208.27158889</v>
      </c>
      <c r="AS12" s="2"/>
      <c r="AT12" s="150"/>
      <c r="BT12" s="42"/>
      <c r="BU12" s="42"/>
      <c r="BV12" s="42"/>
      <c r="BW12" s="4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</row>
    <row r="13" spans="1:214">
      <c r="A13" s="2"/>
      <c r="B13" s="2"/>
      <c r="C13" s="13">
        <v>210005</v>
      </c>
      <c r="D13" s="13" t="s">
        <v>152</v>
      </c>
      <c r="E13" s="14">
        <f>SUMIFS('Final UCC Appr''d FY2022'!M:M,'Final UCC Appr''d FY2022'!A:A,C13)</f>
        <v>404716890.94495988</v>
      </c>
      <c r="F13" s="243">
        <f>(('PDA Schedules FY 2020'!H13+'PDA Schedules FY 2020'!K13)/'PDA Schedules FY 2020'!$E13)</f>
        <v>0.41518800615012624</v>
      </c>
      <c r="G13" s="243">
        <f>'PDA Schedules FY 2020'!L13/'PDA Schedules FY 2020'!$E13</f>
        <v>0.10987963382738596</v>
      </c>
      <c r="H13" s="243">
        <f>'PDA Schedules FY 2020'!M13/'PDA Schedules FY 2020'!$E13</f>
        <v>6.8973597400307007E-2</v>
      </c>
      <c r="I13" s="243">
        <f>'PDA Schedules FY 2020'!Q13/'PDA Schedules FY 2020'!$E13</f>
        <v>0.17567899917769578</v>
      </c>
      <c r="J13" s="243">
        <f>'PDA Schedules FY 2020'!R13/'PDA Schedules FY 2020'!$E13</f>
        <v>5.36622010278904E-3</v>
      </c>
      <c r="K13" s="251">
        <f>SUMIFS(Input!G:G,Input!$A:$A,$C13)</f>
        <v>5.0840099995261949E-2</v>
      </c>
      <c r="L13" s="243">
        <f t="shared" si="0"/>
        <v>0.17943966344922302</v>
      </c>
      <c r="M13" s="260">
        <f>SUMIFS(Input!F:F,Input!A:A,C13)</f>
        <v>1.1076159869090776</v>
      </c>
      <c r="N13" s="15">
        <f>SUMIFS(Input!I:I,Input!$A:$A,$C13)</f>
        <v>5.0712615590598031E-2</v>
      </c>
      <c r="O13" s="243">
        <f t="shared" si="1"/>
        <v>0.17956714785388694</v>
      </c>
      <c r="P13" s="56">
        <f t="shared" si="18"/>
        <v>1.1157723194872642</v>
      </c>
      <c r="Q13" s="422">
        <f t="shared" si="19"/>
        <v>407697170.75454313</v>
      </c>
      <c r="R13" s="2"/>
      <c r="S13" s="57">
        <f t="shared" si="2"/>
        <v>407697170.75454313</v>
      </c>
      <c r="T13" s="346">
        <f t="shared" si="20"/>
        <v>1.1157723194872642</v>
      </c>
      <c r="U13" s="58">
        <f t="shared" si="3"/>
        <v>365394591.38213253</v>
      </c>
      <c r="V13" s="15">
        <f t="shared" si="21"/>
        <v>5.0712615590598031E-2</v>
      </c>
      <c r="W13" s="14">
        <f t="shared" si="4"/>
        <v>18530115.451645732</v>
      </c>
      <c r="X13" s="27">
        <f t="shared" si="22"/>
        <v>4.65E-2</v>
      </c>
      <c r="Y13" s="15">
        <f t="shared" si="5"/>
        <v>-4.2126155905980317E-3</v>
      </c>
      <c r="Z13" s="274">
        <f t="shared" si="6"/>
        <v>1.110656288463777</v>
      </c>
      <c r="AA13" s="14">
        <f t="shared" si="7"/>
        <v>405827800.68921769</v>
      </c>
      <c r="AB13" s="58">
        <f t="shared" si="8"/>
        <v>363719186.79225665</v>
      </c>
      <c r="AC13" s="318">
        <f t="shared" si="9"/>
        <v>-1675404.5898758769</v>
      </c>
      <c r="AD13" s="14">
        <f t="shared" si="10"/>
        <v>0</v>
      </c>
      <c r="AE13" s="318">
        <f t="shared" si="11"/>
        <v>-1675404.5898758769</v>
      </c>
      <c r="AF13" s="8"/>
      <c r="AG13" s="2"/>
      <c r="AH13" s="15">
        <f t="shared" si="23"/>
        <v>5.0712615590598031E-2</v>
      </c>
      <c r="AI13" s="56">
        <f t="shared" si="24"/>
        <v>1.1157723194872642</v>
      </c>
      <c r="AJ13" s="59">
        <f t="shared" si="26"/>
        <v>4.65E-2</v>
      </c>
      <c r="AK13" s="22">
        <f t="shared" si="25"/>
        <v>4.65E-2</v>
      </c>
      <c r="AL13" s="60">
        <f t="shared" si="12"/>
        <v>9.7212615590598031E-2</v>
      </c>
      <c r="AM13" s="61">
        <f t="shared" si="13"/>
        <v>1.1157723194872642</v>
      </c>
      <c r="AN13" s="18">
        <f t="shared" si="14"/>
        <v>407697170.75454313</v>
      </c>
      <c r="AO13" s="18">
        <f t="shared" si="15"/>
        <v>405827800.68921769</v>
      </c>
      <c r="AP13" s="22">
        <f>('PDA Schedules FY 2020'!K13+'PDA Schedules FY 2020'!Q13)/'PDA Schedules FY 2020'!E13</f>
        <v>0.19693138776709929</v>
      </c>
      <c r="AQ13" s="18">
        <f t="shared" si="16"/>
        <v>80288369.625412226</v>
      </c>
      <c r="AR13" s="18">
        <f t="shared" si="17"/>
        <v>79920231.984197408</v>
      </c>
      <c r="AS13" s="2"/>
      <c r="AT13" s="150"/>
      <c r="BT13" s="42"/>
      <c r="BU13" s="42"/>
      <c r="BV13" s="42"/>
      <c r="BW13" s="4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</row>
    <row r="14" spans="1:214">
      <c r="A14" s="2"/>
      <c r="B14" s="2"/>
      <c r="C14" s="13">
        <v>210006</v>
      </c>
      <c r="D14" s="13" t="s">
        <v>300</v>
      </c>
      <c r="E14" s="14">
        <f>SUMIFS('Final UCC Appr''d FY2022'!M:M,'Final UCC Appr''d FY2022'!A:A,C14)</f>
        <v>129664699.04083358</v>
      </c>
      <c r="F14" s="243">
        <f>(('PDA Schedules FY 2020'!H14+'PDA Schedules FY 2020'!K14)/'PDA Schedules FY 2020'!$E14)</f>
        <v>0.4338523743127054</v>
      </c>
      <c r="G14" s="243">
        <f>'PDA Schedules FY 2020'!L14/'PDA Schedules FY 2020'!$E14</f>
        <v>2.3962286889422077E-2</v>
      </c>
      <c r="H14" s="243">
        <f>'PDA Schedules FY 2020'!M14/'PDA Schedules FY 2020'!$E14</f>
        <v>4.6888776363897475E-2</v>
      </c>
      <c r="I14" s="243">
        <f>'PDA Schedules FY 2020'!Q14/'PDA Schedules FY 2020'!$E14</f>
        <v>0.22223425828955787</v>
      </c>
      <c r="J14" s="243">
        <f>'PDA Schedules FY 2020'!R14/'PDA Schedules FY 2020'!$E14</f>
        <v>8.1136530024314042E-3</v>
      </c>
      <c r="K14" s="251">
        <f>SUMIFS(Input!G:G,Input!$A:$A,$C14)</f>
        <v>5.5518545310184318E-2</v>
      </c>
      <c r="L14" s="243">
        <f t="shared" si="0"/>
        <v>0.21754375883423283</v>
      </c>
      <c r="M14" s="260">
        <f>SUMIFS(Input!F:F,Input!A:A,C14)</f>
        <v>1.1107552581455078</v>
      </c>
      <c r="N14" s="15">
        <f>SUMIFS(Input!I:I,Input!$A:$A,$C14)</f>
        <v>5.6844801519584494E-2</v>
      </c>
      <c r="O14" s="243">
        <f t="shared" si="1"/>
        <v>0.21621750262483264</v>
      </c>
      <c r="P14" s="56">
        <f t="shared" si="18"/>
        <v>1.1278115214720195</v>
      </c>
      <c r="Q14" s="422">
        <f t="shared" si="19"/>
        <v>131655772.44316505</v>
      </c>
      <c r="R14" s="2"/>
      <c r="S14" s="57">
        <f t="shared" si="2"/>
        <v>131655772.44316505</v>
      </c>
      <c r="T14" s="346">
        <f t="shared" si="20"/>
        <v>1.1278115214720195</v>
      </c>
      <c r="U14" s="58">
        <f t="shared" si="3"/>
        <v>116735615.78031048</v>
      </c>
      <c r="V14" s="15">
        <f t="shared" si="21"/>
        <v>5.6844801519584494E-2</v>
      </c>
      <c r="W14" s="14">
        <f t="shared" si="4"/>
        <v>6635812.9092982253</v>
      </c>
      <c r="X14" s="27">
        <f t="shared" si="22"/>
        <v>4.65E-2</v>
      </c>
      <c r="Y14" s="15">
        <f t="shared" si="5"/>
        <v>-1.0344801519584494E-2</v>
      </c>
      <c r="Z14" s="274">
        <f t="shared" si="6"/>
        <v>1.1150622932579699</v>
      </c>
      <c r="AA14" s="14">
        <f t="shared" si="7"/>
        <v>130167483.43687427</v>
      </c>
      <c r="AB14" s="58">
        <f t="shared" si="8"/>
        <v>115415990.13546136</v>
      </c>
      <c r="AC14" s="318">
        <f t="shared" si="9"/>
        <v>-1319625.6448491216</v>
      </c>
      <c r="AD14" s="14">
        <f t="shared" si="10"/>
        <v>0</v>
      </c>
      <c r="AE14" s="318">
        <f t="shared" si="11"/>
        <v>-1319625.6448491216</v>
      </c>
      <c r="AF14" s="8"/>
      <c r="AG14" s="2"/>
      <c r="AH14" s="15">
        <f t="shared" si="23"/>
        <v>5.6844801519584494E-2</v>
      </c>
      <c r="AI14" s="56">
        <f t="shared" si="24"/>
        <v>1.1278115214720195</v>
      </c>
      <c r="AJ14" s="59">
        <f t="shared" si="26"/>
        <v>4.65E-2</v>
      </c>
      <c r="AK14" s="22">
        <f t="shared" si="25"/>
        <v>4.65E-2</v>
      </c>
      <c r="AL14" s="60">
        <f t="shared" si="12"/>
        <v>0.1033448015195845</v>
      </c>
      <c r="AM14" s="61">
        <f t="shared" si="13"/>
        <v>1.1278115214720195</v>
      </c>
      <c r="AN14" s="18">
        <f t="shared" si="14"/>
        <v>131655772.44316505</v>
      </c>
      <c r="AO14" s="18">
        <f t="shared" si="15"/>
        <v>130167483.43687427</v>
      </c>
      <c r="AP14" s="22">
        <f>('PDA Schedules FY 2020'!K14+'PDA Schedules FY 2020'!Q14)/'PDA Schedules FY 2020'!E14</f>
        <v>0.24414028623820269</v>
      </c>
      <c r="AQ14" s="18">
        <f t="shared" si="16"/>
        <v>32142477.969185993</v>
      </c>
      <c r="AR14" s="18">
        <f t="shared" si="17"/>
        <v>31779126.665184993</v>
      </c>
      <c r="AS14" s="2"/>
      <c r="AT14" s="150"/>
      <c r="BM14"/>
      <c r="BN14" s="141"/>
      <c r="BO14" s="141"/>
      <c r="BP14" s="141"/>
      <c r="BQ14"/>
      <c r="BR14" s="141"/>
      <c r="BS14" s="141"/>
      <c r="BT14" s="42"/>
      <c r="BU14" s="42"/>
      <c r="BV14" s="42"/>
      <c r="BW14" s="4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</row>
    <row r="15" spans="1:214">
      <c r="A15" s="2"/>
      <c r="B15" s="2"/>
      <c r="C15" s="13">
        <v>210008</v>
      </c>
      <c r="D15" s="13" t="s">
        <v>301</v>
      </c>
      <c r="E15" s="14">
        <f>SUMIFS('Final UCC Appr''d FY2022'!M:M,'Final UCC Appr''d FY2022'!A:A,C15)</f>
        <v>623844643.24214804</v>
      </c>
      <c r="F15" s="243">
        <f>(('PDA Schedules FY 2020'!H15+'PDA Schedules FY 2020'!K15)/'PDA Schedules FY 2020'!$E15)</f>
        <v>0.37643794019407445</v>
      </c>
      <c r="G15" s="243">
        <f>'PDA Schedules FY 2020'!L15/'PDA Schedules FY 2020'!$E15</f>
        <v>8.6822844253426498E-2</v>
      </c>
      <c r="H15" s="243">
        <f>'PDA Schedules FY 2020'!M15/'PDA Schedules FY 2020'!$E15</f>
        <v>0.16298123445358745</v>
      </c>
      <c r="I15" s="243">
        <f>'PDA Schedules FY 2020'!Q15/'PDA Schedules FY 2020'!$E15</f>
        <v>0.18998303516754322</v>
      </c>
      <c r="J15" s="243">
        <f>'PDA Schedules FY 2020'!R15/'PDA Schedules FY 2020'!$E15</f>
        <v>1.8420780269795128E-2</v>
      </c>
      <c r="K15" s="251">
        <f>SUMIFS(Input!G:G,Input!$A:$A,$C15)</f>
        <v>4.6028069240962532E-2</v>
      </c>
      <c r="L15" s="243">
        <f t="shared" si="0"/>
        <v>0.13774687669040575</v>
      </c>
      <c r="M15" s="260">
        <f>SUMIFS(Input!F:F,Input!A:A,C15)</f>
        <v>1.1063637198023515</v>
      </c>
      <c r="N15" s="15">
        <f>SUMIFS(Input!I:I,Input!$A:$A,$C15)</f>
        <v>4.8536714070880629E-2</v>
      </c>
      <c r="O15" s="243">
        <f t="shared" si="1"/>
        <v>0.13523823186048767</v>
      </c>
      <c r="P15" s="56">
        <f t="shared" si="18"/>
        <v>1.1116514331205654</v>
      </c>
      <c r="Q15" s="422">
        <f t="shared" si="19"/>
        <v>626826222.9609381</v>
      </c>
      <c r="R15" s="2"/>
      <c r="S15" s="57">
        <f t="shared" si="2"/>
        <v>626826222.9609381</v>
      </c>
      <c r="T15" s="346">
        <f t="shared" si="20"/>
        <v>1.1116514331205654</v>
      </c>
      <c r="U15" s="58">
        <f t="shared" si="3"/>
        <v>563869396.72388744</v>
      </c>
      <c r="V15" s="15">
        <f t="shared" si="21"/>
        <v>4.8536714070880629E-2</v>
      </c>
      <c r="W15" s="14">
        <f t="shared" si="4"/>
        <v>27368367.682107281</v>
      </c>
      <c r="X15" s="27">
        <f t="shared" si="22"/>
        <v>4.65E-2</v>
      </c>
      <c r="Y15" s="15">
        <f t="shared" si="5"/>
        <v>-2.0367140708806297E-3</v>
      </c>
      <c r="Z15" s="274">
        <f t="shared" si="6"/>
        <v>1.1091903241459979</v>
      </c>
      <c r="AA15" s="14">
        <f t="shared" si="7"/>
        <v>625438478.928177</v>
      </c>
      <c r="AB15" s="58">
        <f t="shared" si="8"/>
        <v>562621034.16039443</v>
      </c>
      <c r="AC15" s="318">
        <f t="shared" si="9"/>
        <v>-1248362.5634930134</v>
      </c>
      <c r="AD15" s="14">
        <f t="shared" si="10"/>
        <v>0</v>
      </c>
      <c r="AE15" s="318">
        <f t="shared" si="11"/>
        <v>-1248362.5634930134</v>
      </c>
      <c r="AF15" s="8"/>
      <c r="AG15" s="2"/>
      <c r="AH15" s="15">
        <f t="shared" si="23"/>
        <v>4.8536714070880629E-2</v>
      </c>
      <c r="AI15" s="56">
        <f t="shared" si="24"/>
        <v>1.1116514331205654</v>
      </c>
      <c r="AJ15" s="59">
        <f t="shared" si="26"/>
        <v>4.65E-2</v>
      </c>
      <c r="AK15" s="22">
        <f t="shared" si="25"/>
        <v>4.65E-2</v>
      </c>
      <c r="AL15" s="60">
        <f t="shared" si="12"/>
        <v>9.5036714070880629E-2</v>
      </c>
      <c r="AM15" s="61">
        <f t="shared" si="13"/>
        <v>1.1116514331205654</v>
      </c>
      <c r="AN15" s="18">
        <f t="shared" si="14"/>
        <v>626826222.9609381</v>
      </c>
      <c r="AO15" s="18">
        <f t="shared" si="15"/>
        <v>625438478.928177</v>
      </c>
      <c r="AP15" s="22">
        <f>('PDA Schedules FY 2020'!K15+'PDA Schedules FY 2020'!Q15)/'PDA Schedules FY 2020'!E15</f>
        <v>0.2081836084615391</v>
      </c>
      <c r="AQ15" s="18">
        <f t="shared" si="16"/>
        <v>130494944.97432534</v>
      </c>
      <c r="AR15" s="18">
        <f t="shared" si="17"/>
        <v>130206039.41396418</v>
      </c>
      <c r="AS15" s="2"/>
      <c r="AT15" s="150"/>
      <c r="BM15"/>
      <c r="BN15" s="141"/>
      <c r="BO15" s="141"/>
      <c r="BP15" s="141"/>
      <c r="BQ15"/>
      <c r="BR15" s="141"/>
      <c r="BS15" s="141"/>
      <c r="BT15" s="42"/>
      <c r="BU15" s="42"/>
      <c r="BV15" s="42"/>
      <c r="BW15" s="4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</row>
    <row r="16" spans="1:214">
      <c r="A16" s="2"/>
      <c r="B16" s="2"/>
      <c r="C16" s="13">
        <v>210009</v>
      </c>
      <c r="D16" s="13" t="s">
        <v>153</v>
      </c>
      <c r="E16" s="14">
        <f>SUMIFS('Final UCC Appr''d FY2022'!M:M,'Final UCC Appr''d FY2022'!A:A,C16)</f>
        <v>2762354001.0779214</v>
      </c>
      <c r="F16" s="243">
        <f>(('PDA Schedules FY 2020'!H16+'PDA Schedules FY 2020'!K16)/'PDA Schedules FY 2020'!$E16)</f>
        <v>0.33694584306160369</v>
      </c>
      <c r="G16" s="243">
        <f>'PDA Schedules FY 2020'!L16/'PDA Schedules FY 2020'!$E16</f>
        <v>0.120024707001369</v>
      </c>
      <c r="H16" s="243">
        <f>'PDA Schedules FY 2020'!M16/'PDA Schedules FY 2020'!$E16</f>
        <v>9.262856883353647E-2</v>
      </c>
      <c r="I16" s="243">
        <f>'PDA Schedules FY 2020'!Q16/'PDA Schedules FY 2020'!$E16</f>
        <v>0.17858667671669765</v>
      </c>
      <c r="J16" s="243">
        <f>'PDA Schedules FY 2020'!R16/'PDA Schedules FY 2020'!$E16</f>
        <v>5.0634606711312492E-3</v>
      </c>
      <c r="K16" s="251">
        <f>SUMIFS(Input!G:G,Input!$A:$A,$C16)</f>
        <v>2.892367766523312E-2</v>
      </c>
      <c r="L16" s="243">
        <f t="shared" si="0"/>
        <v>0.2428905267215602</v>
      </c>
      <c r="M16" s="260">
        <f>SUMIFS(Input!F:F,Input!A:A,C16)</f>
        <v>1.1031384816116303</v>
      </c>
      <c r="N16" s="15">
        <f>SUMIFS(Input!I:I,Input!$A:$A,$C16)</f>
        <v>3.3240313167309826E-2</v>
      </c>
      <c r="O16" s="243">
        <f t="shared" si="1"/>
        <v>0.23857389121948347</v>
      </c>
      <c r="P16" s="56">
        <f t="shared" si="18"/>
        <v>1.0897545750081772</v>
      </c>
      <c r="Q16" s="422">
        <f t="shared" si="19"/>
        <v>2728839543.3988738</v>
      </c>
      <c r="R16" s="2"/>
      <c r="S16" s="57">
        <f t="shared" si="2"/>
        <v>2728839543.3988738</v>
      </c>
      <c r="T16" s="346">
        <f t="shared" si="20"/>
        <v>1.0897545750081772</v>
      </c>
      <c r="U16" s="58">
        <f t="shared" si="3"/>
        <v>2504086338.3192472</v>
      </c>
      <c r="V16" s="15">
        <f t="shared" si="21"/>
        <v>3.3240313167309826E-2</v>
      </c>
      <c r="W16" s="14">
        <f t="shared" si="4"/>
        <v>83236614.083713919</v>
      </c>
      <c r="X16" s="27">
        <f t="shared" si="22"/>
        <v>4.65E-2</v>
      </c>
      <c r="Y16" s="15">
        <f t="shared" si="5"/>
        <v>1.3259686832690173E-2</v>
      </c>
      <c r="Z16" s="274">
        <f t="shared" si="6"/>
        <v>1.1054080464486711</v>
      </c>
      <c r="AA16" s="14">
        <f t="shared" si="7"/>
        <v>2768037187.3802853</v>
      </c>
      <c r="AB16" s="58">
        <f t="shared" si="8"/>
        <v>2540055578.4402328</v>
      </c>
      <c r="AC16" s="318">
        <f t="shared" si="9"/>
        <v>35969240.120985508</v>
      </c>
      <c r="AD16" s="14">
        <f t="shared" si="10"/>
        <v>35969240.120985508</v>
      </c>
      <c r="AE16" s="318">
        <f t="shared" si="11"/>
        <v>0</v>
      </c>
      <c r="AF16" s="8"/>
      <c r="AG16" s="2"/>
      <c r="AH16" s="15">
        <f t="shared" si="23"/>
        <v>3.3240313167309826E-2</v>
      </c>
      <c r="AI16" s="56">
        <f t="shared" si="24"/>
        <v>1.0897545750081772</v>
      </c>
      <c r="AJ16" s="59">
        <f t="shared" si="26"/>
        <v>4.65E-2</v>
      </c>
      <c r="AK16" s="22">
        <f t="shared" si="25"/>
        <v>4.65E-2</v>
      </c>
      <c r="AL16" s="60">
        <f t="shared" si="12"/>
        <v>7.9740313167309826E-2</v>
      </c>
      <c r="AM16" s="61">
        <f t="shared" si="13"/>
        <v>1.0897545750081772</v>
      </c>
      <c r="AN16" s="18">
        <f t="shared" si="14"/>
        <v>2728839543.3988738</v>
      </c>
      <c r="AO16" s="18">
        <f t="shared" si="15"/>
        <v>2768037187.3802853</v>
      </c>
      <c r="AP16" s="22">
        <f>('PDA Schedules FY 2020'!K16+'PDA Schedules FY 2020'!Q16)/'PDA Schedules FY 2020'!E16</f>
        <v>0.23176620017556768</v>
      </c>
      <c r="AQ16" s="18">
        <f t="shared" si="16"/>
        <v>632452771.86238813</v>
      </c>
      <c r="AR16" s="18">
        <f t="shared" si="17"/>
        <v>641537460.86379457</v>
      </c>
      <c r="AS16" s="2"/>
      <c r="AT16" s="150"/>
      <c r="BM16"/>
      <c r="BN16" s="141"/>
      <c r="BO16" s="141"/>
      <c r="BP16" s="141"/>
      <c r="BQ16"/>
      <c r="BR16" s="141"/>
      <c r="BS16" s="141"/>
      <c r="BT16" s="42"/>
      <c r="BU16" s="42"/>
      <c r="BV16" s="42"/>
      <c r="BW16" s="4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</row>
    <row r="17" spans="1:214">
      <c r="A17" s="2"/>
      <c r="B17" s="2"/>
      <c r="C17" s="13">
        <v>210010</v>
      </c>
      <c r="D17" s="13" t="s">
        <v>302</v>
      </c>
      <c r="E17" s="14">
        <f>SUMIFS('Final UCC Appr''d FY2022'!M:M,'Final UCC Appr''d FY2022'!A:A,C17)</f>
        <v>50064097.128297932</v>
      </c>
      <c r="F17" s="243">
        <f>(('PDA Schedules FY 2020'!H17+'PDA Schedules FY 2020'!K17)/'PDA Schedules FY 2020'!$E17)</f>
        <v>0.47649401164062893</v>
      </c>
      <c r="G17" s="243">
        <f>'PDA Schedules FY 2020'!L17/'PDA Schedules FY 2020'!$E17</f>
        <v>1.1829607491461697E-2</v>
      </c>
      <c r="H17" s="243">
        <f>'PDA Schedules FY 2020'!M17/'PDA Schedules FY 2020'!$E17</f>
        <v>3.9866365555738442E-2</v>
      </c>
      <c r="I17" s="243">
        <f>'PDA Schedules FY 2020'!Q17/'PDA Schedules FY 2020'!$E17</f>
        <v>0.31272450789892059</v>
      </c>
      <c r="J17" s="243">
        <f>'PDA Schedules FY 2020'!R17/'PDA Schedules FY 2020'!$E17</f>
        <v>1.3044558857906343E-2</v>
      </c>
      <c r="K17" s="251">
        <f>SUMIFS(Input!G:G,Input!$A:$A,$C17)</f>
        <v>5.4861066108785043E-2</v>
      </c>
      <c r="L17" s="243">
        <f t="shared" si="0"/>
        <v>0.10422444130446529</v>
      </c>
      <c r="M17" s="260">
        <f>SUMIFS(Input!F:F,Input!A:A,C17)</f>
        <v>1.1210070236873082</v>
      </c>
      <c r="N17" s="15">
        <f>SUMIFS(Input!I:I,Input!$A:$A,$C17)</f>
        <v>5.9014411063542042E-2</v>
      </c>
      <c r="O17" s="243">
        <f t="shared" si="1"/>
        <v>0.10007109634970834</v>
      </c>
      <c r="P17" s="56">
        <f t="shared" si="18"/>
        <v>1.1403939488195516</v>
      </c>
      <c r="Q17" s="422">
        <f t="shared" si="19"/>
        <v>50929915.880839854</v>
      </c>
      <c r="R17" s="2"/>
      <c r="S17" s="57">
        <f t="shared" si="2"/>
        <v>50929915.880839854</v>
      </c>
      <c r="T17" s="346">
        <f t="shared" si="20"/>
        <v>1.1403939488195516</v>
      </c>
      <c r="U17" s="58">
        <f t="shared" si="3"/>
        <v>44659931.713561438</v>
      </c>
      <c r="V17" s="15">
        <f t="shared" si="21"/>
        <v>5.9014411063542042E-2</v>
      </c>
      <c r="W17" s="14">
        <f t="shared" si="4"/>
        <v>2635579.5682138321</v>
      </c>
      <c r="X17" s="27">
        <f t="shared" si="22"/>
        <v>4.65E-2</v>
      </c>
      <c r="Y17" s="15">
        <f t="shared" si="5"/>
        <v>-1.2514411063542043E-2</v>
      </c>
      <c r="Z17" s="274">
        <f t="shared" si="6"/>
        <v>1.1246644686268261</v>
      </c>
      <c r="AA17" s="14">
        <f t="shared" si="7"/>
        <v>50227438.369542912</v>
      </c>
      <c r="AB17" s="58">
        <f t="shared" si="8"/>
        <v>44043936.239344753</v>
      </c>
      <c r="AC17" s="318">
        <f t="shared" si="9"/>
        <v>-615995.4742166847</v>
      </c>
      <c r="AD17" s="14">
        <f t="shared" si="10"/>
        <v>0</v>
      </c>
      <c r="AE17" s="318">
        <f t="shared" si="11"/>
        <v>-615995.4742166847</v>
      </c>
      <c r="AF17" s="8"/>
      <c r="AG17" s="2"/>
      <c r="AH17" s="15">
        <f t="shared" si="23"/>
        <v>5.9014411063542042E-2</v>
      </c>
      <c r="AI17" s="56">
        <f t="shared" si="24"/>
        <v>1.1403939488195516</v>
      </c>
      <c r="AJ17" s="59">
        <f t="shared" si="26"/>
        <v>4.65E-2</v>
      </c>
      <c r="AK17" s="22">
        <f t="shared" si="25"/>
        <v>4.65E-2</v>
      </c>
      <c r="AL17" s="60">
        <f t="shared" si="12"/>
        <v>0.10551441106354204</v>
      </c>
      <c r="AM17" s="61">
        <f t="shared" si="13"/>
        <v>1.1403939488195516</v>
      </c>
      <c r="AN17" s="18">
        <f t="shared" si="14"/>
        <v>50929915.880839854</v>
      </c>
      <c r="AO17" s="18">
        <f t="shared" si="15"/>
        <v>50227438.369542912</v>
      </c>
      <c r="AP17" s="22">
        <f>('PDA Schedules FY 2020'!K17+'PDA Schedules FY 2020'!Q17)/'PDA Schedules FY 2020'!E17</f>
        <v>0.35646609668821461</v>
      </c>
      <c r="AQ17" s="18">
        <f t="shared" si="16"/>
        <v>18154788.318702098</v>
      </c>
      <c r="AR17" s="18">
        <f t="shared" si="17"/>
        <v>17904378.902238823</v>
      </c>
      <c r="AS17" s="2"/>
      <c r="AT17" s="150"/>
      <c r="BM17"/>
      <c r="BN17" s="141"/>
      <c r="BO17" s="141"/>
      <c r="BP17" s="141"/>
      <c r="BQ17"/>
      <c r="BR17" s="141"/>
      <c r="BS17" s="141"/>
      <c r="BT17" s="42"/>
      <c r="BU17" s="42"/>
      <c r="BV17" s="42"/>
      <c r="BW17" s="4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</row>
    <row r="18" spans="1:214">
      <c r="A18" s="2"/>
      <c r="B18" s="2"/>
      <c r="C18" s="13">
        <v>210011</v>
      </c>
      <c r="D18" s="13" t="s">
        <v>303</v>
      </c>
      <c r="E18" s="14">
        <f>SUMIFS('Final UCC Appr''d FY2022'!M:M,'Final UCC Appr''d FY2022'!A:A,C18)</f>
        <v>469918168.53204113</v>
      </c>
      <c r="F18" s="243">
        <f>(('PDA Schedules FY 2020'!H18+'PDA Schedules FY 2020'!K18)/'PDA Schedules FY 2020'!$E18)</f>
        <v>0.42813916325157908</v>
      </c>
      <c r="G18" s="243">
        <f>'PDA Schedules FY 2020'!L18/'PDA Schedules FY 2020'!$E18</f>
        <v>4.9830606261546589E-2</v>
      </c>
      <c r="H18" s="243">
        <f>'PDA Schedules FY 2020'!M18/'PDA Schedules FY 2020'!$E18</f>
        <v>6.426941720651945E-2</v>
      </c>
      <c r="I18" s="243">
        <f>'PDA Schedules FY 2020'!Q18/'PDA Schedules FY 2020'!$E18</f>
        <v>0.28174865177626601</v>
      </c>
      <c r="J18" s="243">
        <f>'PDA Schedules FY 2020'!R18/'PDA Schedules FY 2020'!$E18</f>
        <v>2.0642615627827886E-2</v>
      </c>
      <c r="K18" s="251">
        <f>SUMIFS(Input!G:G,Input!$A:$A,$C18)</f>
        <v>4.9895388409234707E-2</v>
      </c>
      <c r="L18" s="243">
        <f t="shared" si="0"/>
        <v>0.12611677309485414</v>
      </c>
      <c r="M18" s="260">
        <f>SUMIFS(Input!F:F,Input!A:A,C18)</f>
        <v>1.1145007346313778</v>
      </c>
      <c r="N18" s="15">
        <f>SUMIFS(Input!I:I,Input!$A:$A,$C18)</f>
        <v>5.8447083163181167E-2</v>
      </c>
      <c r="O18" s="243">
        <f t="shared" si="1"/>
        <v>0.11756507834090768</v>
      </c>
      <c r="P18" s="56">
        <f t="shared" si="18"/>
        <v>1.1341458345275914</v>
      </c>
      <c r="Q18" s="422">
        <f t="shared" si="19"/>
        <v>478201329.8409577</v>
      </c>
      <c r="R18" s="2"/>
      <c r="S18" s="57">
        <f t="shared" si="2"/>
        <v>478201329.8409577</v>
      </c>
      <c r="T18" s="346">
        <f t="shared" si="20"/>
        <v>1.1341458345275914</v>
      </c>
      <c r="U18" s="58">
        <f t="shared" si="3"/>
        <v>421640070.68821454</v>
      </c>
      <c r="V18" s="15">
        <f t="shared" si="21"/>
        <v>5.8447083163181167E-2</v>
      </c>
      <c r="W18" s="14">
        <f t="shared" si="4"/>
        <v>24643632.27644366</v>
      </c>
      <c r="X18" s="27">
        <f t="shared" si="22"/>
        <v>4.65E-2</v>
      </c>
      <c r="Y18" s="15">
        <f t="shared" si="5"/>
        <v>-1.1947083163181167E-2</v>
      </c>
      <c r="Z18" s="274">
        <f t="shared" si="6"/>
        <v>1.1192831644981267</v>
      </c>
      <c r="AA18" s="14">
        <f t="shared" si="7"/>
        <v>471934632.59911859</v>
      </c>
      <c r="AB18" s="58">
        <f t="shared" si="8"/>
        <v>416114593.23103249</v>
      </c>
      <c r="AC18" s="318">
        <f t="shared" si="9"/>
        <v>-5525477.4571820498</v>
      </c>
      <c r="AD18" s="14">
        <f t="shared" si="10"/>
        <v>0</v>
      </c>
      <c r="AE18" s="318">
        <f t="shared" si="11"/>
        <v>-5525477.4571820498</v>
      </c>
      <c r="AF18" s="8"/>
      <c r="AG18" s="2"/>
      <c r="AH18" s="15">
        <f t="shared" si="23"/>
        <v>5.8447083163181167E-2</v>
      </c>
      <c r="AI18" s="56">
        <f t="shared" si="24"/>
        <v>1.1341458345275914</v>
      </c>
      <c r="AJ18" s="59">
        <f t="shared" si="26"/>
        <v>4.65E-2</v>
      </c>
      <c r="AK18" s="22">
        <f t="shared" si="25"/>
        <v>4.65E-2</v>
      </c>
      <c r="AL18" s="60">
        <f t="shared" si="12"/>
        <v>0.10494708316318116</v>
      </c>
      <c r="AM18" s="61">
        <f t="shared" si="13"/>
        <v>1.1341458345275914</v>
      </c>
      <c r="AN18" s="18">
        <f t="shared" si="14"/>
        <v>478201329.8409577</v>
      </c>
      <c r="AO18" s="18">
        <f t="shared" si="15"/>
        <v>471934632.59911859</v>
      </c>
      <c r="AP18" s="22">
        <f>('PDA Schedules FY 2020'!K18+'PDA Schedules FY 2020'!Q18)/'PDA Schedules FY 2020'!E18</f>
        <v>0.33761692975812663</v>
      </c>
      <c r="AQ18" s="18">
        <f t="shared" si="16"/>
        <v>161448864.78715736</v>
      </c>
      <c r="AR18" s="18">
        <f t="shared" si="17"/>
        <v>159333121.70464391</v>
      </c>
      <c r="AS18" s="2"/>
      <c r="AT18" s="150"/>
      <c r="BM18"/>
      <c r="BN18" s="141"/>
      <c r="BO18" s="141"/>
      <c r="BP18" s="141"/>
      <c r="BQ18"/>
      <c r="BR18" s="141"/>
      <c r="BS18" s="141"/>
      <c r="BT18" s="42"/>
      <c r="BU18" s="42"/>
      <c r="BV18" s="42"/>
      <c r="BW18" s="4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</row>
    <row r="19" spans="1:214">
      <c r="A19" s="2"/>
      <c r="B19" s="2"/>
      <c r="C19" s="13">
        <v>210012</v>
      </c>
      <c r="D19" s="13" t="s">
        <v>304</v>
      </c>
      <c r="E19" s="14">
        <f>SUMIFS('Final UCC Appr''d FY2022'!M:M,'Final UCC Appr''d FY2022'!A:A,C19)</f>
        <v>923318831.56928778</v>
      </c>
      <c r="F19" s="243">
        <f>(('PDA Schedules FY 2020'!H19+'PDA Schedules FY 2020'!K19)/'PDA Schedules FY 2020'!$E19)</f>
        <v>0.44392078687646452</v>
      </c>
      <c r="G19" s="243">
        <f>'PDA Schedules FY 2020'!L19/'PDA Schedules FY 2020'!$E19</f>
        <v>5.4032800105095424E-2</v>
      </c>
      <c r="H19" s="243">
        <f>'PDA Schedules FY 2020'!M19/'PDA Schedules FY 2020'!$E19</f>
        <v>6.7367084440359021E-2</v>
      </c>
      <c r="I19" s="243">
        <f>'PDA Schedules FY 2020'!Q19/'PDA Schedules FY 2020'!$E19</f>
        <v>0.25313997426229728</v>
      </c>
      <c r="J19" s="243">
        <f>'PDA Schedules FY 2020'!R19/'PDA Schedules FY 2020'!$E19</f>
        <v>0</v>
      </c>
      <c r="K19" s="251">
        <f>SUMIFS(Input!G:G,Input!$A:$A,$C19)</f>
        <v>3.3103550491995572E-2</v>
      </c>
      <c r="L19" s="243">
        <f t="shared" si="0"/>
        <v>0.14843580382378818</v>
      </c>
      <c r="M19" s="260">
        <f>SUMIFS(Input!F:F,Input!A:A,C19)</f>
        <v>1.1140681619503976</v>
      </c>
      <c r="N19" s="15">
        <f>SUMIFS(Input!I:I,Input!$A:$A,$C19)</f>
        <v>4.158218142816611E-2</v>
      </c>
      <c r="O19" s="243">
        <f t="shared" si="1"/>
        <v>0.13995717288761766</v>
      </c>
      <c r="P19" s="56">
        <f t="shared" si="18"/>
        <v>1.1118747011737469</v>
      </c>
      <c r="Q19" s="422">
        <f t="shared" si="19"/>
        <v>921500932.35040641</v>
      </c>
      <c r="R19" s="2"/>
      <c r="S19" s="57">
        <f t="shared" si="2"/>
        <v>921500932.35040641</v>
      </c>
      <c r="T19" s="346">
        <f t="shared" si="20"/>
        <v>1.1118747011737469</v>
      </c>
      <c r="U19" s="58">
        <f t="shared" si="3"/>
        <v>828781274.8843255</v>
      </c>
      <c r="V19" s="15">
        <f t="shared" si="21"/>
        <v>4.158218142816611E-2</v>
      </c>
      <c r="W19" s="14">
        <f t="shared" si="4"/>
        <v>34462533.336506829</v>
      </c>
      <c r="X19" s="27">
        <f t="shared" si="22"/>
        <v>4.65E-2</v>
      </c>
      <c r="Y19" s="15">
        <f t="shared" si="5"/>
        <v>4.9178185718338902E-3</v>
      </c>
      <c r="Z19" s="274">
        <f t="shared" si="6"/>
        <v>1.1178649347971692</v>
      </c>
      <c r="AA19" s="14">
        <f t="shared" si="7"/>
        <v>926465525.8096813</v>
      </c>
      <c r="AB19" s="58">
        <f t="shared" si="8"/>
        <v>833246340.46593654</v>
      </c>
      <c r="AC19" s="318">
        <f t="shared" si="9"/>
        <v>4465065.5816110373</v>
      </c>
      <c r="AD19" s="14">
        <f t="shared" si="10"/>
        <v>4465065.5816110373</v>
      </c>
      <c r="AE19" s="318">
        <f t="shared" si="11"/>
        <v>0</v>
      </c>
      <c r="AF19" s="8"/>
      <c r="AG19" s="2"/>
      <c r="AH19" s="15">
        <f t="shared" si="23"/>
        <v>4.158218142816611E-2</v>
      </c>
      <c r="AI19" s="56">
        <f t="shared" si="24"/>
        <v>1.1118747011737469</v>
      </c>
      <c r="AJ19" s="59">
        <f t="shared" si="26"/>
        <v>4.65E-2</v>
      </c>
      <c r="AK19" s="22">
        <f t="shared" si="25"/>
        <v>4.65E-2</v>
      </c>
      <c r="AL19" s="60">
        <f t="shared" si="12"/>
        <v>8.8082181428166109E-2</v>
      </c>
      <c r="AM19" s="61">
        <f t="shared" si="13"/>
        <v>1.1118747011737469</v>
      </c>
      <c r="AN19" s="18">
        <f t="shared" si="14"/>
        <v>921500932.35040641</v>
      </c>
      <c r="AO19" s="18">
        <f t="shared" si="15"/>
        <v>926465525.8096813</v>
      </c>
      <c r="AP19" s="22">
        <f>('PDA Schedules FY 2020'!K19+'PDA Schedules FY 2020'!Q19)/'PDA Schedules FY 2020'!E19</f>
        <v>0.29599001059809166</v>
      </c>
      <c r="AQ19" s="18">
        <f t="shared" si="16"/>
        <v>272755070.73254812</v>
      </c>
      <c r="AR19" s="18">
        <f t="shared" si="17"/>
        <v>274224540.80317414</v>
      </c>
      <c r="AS19" s="2"/>
      <c r="AT19" s="150"/>
      <c r="BM19"/>
      <c r="BN19" s="141"/>
      <c r="BO19" s="141"/>
      <c r="BP19" s="141"/>
      <c r="BQ19"/>
      <c r="BR19" s="141"/>
      <c r="BS19" s="141"/>
      <c r="BT19" s="42"/>
      <c r="BU19" s="42"/>
      <c r="BV19" s="42"/>
      <c r="BW19" s="4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</row>
    <row r="20" spans="1:214">
      <c r="A20" s="2"/>
      <c r="B20" s="2"/>
      <c r="C20" s="13">
        <v>210013</v>
      </c>
      <c r="D20" s="13" t="s">
        <v>154</v>
      </c>
      <c r="E20" s="14">
        <f>SUMIFS('Final UCC Appr''d FY2022'!M:M,'Final UCC Appr''d FY2022'!A:A,C20)</f>
        <v>42060182.22274705</v>
      </c>
      <c r="F20" s="243">
        <f>(('PDA Schedules FY 2020'!H20+'PDA Schedules FY 2020'!K20)/'PDA Schedules FY 2020'!$E20)</f>
        <v>0.26474986589442734</v>
      </c>
      <c r="G20" s="243">
        <f>'PDA Schedules FY 2020'!L20/'PDA Schedules FY 2020'!$E20</f>
        <v>8.1549485643214008E-3</v>
      </c>
      <c r="H20" s="243">
        <f>'PDA Schedules FY 2020'!M20/'PDA Schedules FY 2020'!$E20</f>
        <v>1.8018013755787814E-2</v>
      </c>
      <c r="I20" s="243">
        <f>'PDA Schedules FY 2020'!Q20/'PDA Schedules FY 2020'!$E20</f>
        <v>0.52468299307983179</v>
      </c>
      <c r="J20" s="243">
        <f>'PDA Schedules FY 2020'!R20/'PDA Schedules FY 2020'!$E20</f>
        <v>0</v>
      </c>
      <c r="K20" s="251">
        <f>SUMIFS(Input!G:G,Input!$A:$A,$C20)</f>
        <v>3.4722317822425193E-2</v>
      </c>
      <c r="L20" s="243">
        <f t="shared" si="0"/>
        <v>0.14967186088320639</v>
      </c>
      <c r="M20" s="260">
        <f>SUMIFS(Input!F:F,Input!A:A,C20)</f>
        <v>1.1233657734728308</v>
      </c>
      <c r="N20" s="15">
        <f>SUMIFS(Input!I:I,Input!$A:$A,$C20)</f>
        <v>5.0671677719280467E-2</v>
      </c>
      <c r="O20" s="243">
        <f t="shared" si="1"/>
        <v>0.13372250098635108</v>
      </c>
      <c r="P20" s="56">
        <f t="shared" si="18"/>
        <v>1.1295303684747682</v>
      </c>
      <c r="Q20" s="422">
        <f t="shared" si="19"/>
        <v>42290992.164827943</v>
      </c>
      <c r="R20" s="2"/>
      <c r="S20" s="57">
        <f t="shared" si="2"/>
        <v>42290992.164827943</v>
      </c>
      <c r="T20" s="346">
        <f t="shared" si="20"/>
        <v>1.1295303684747682</v>
      </c>
      <c r="U20" s="58">
        <f t="shared" si="3"/>
        <v>37441217.469818436</v>
      </c>
      <c r="V20" s="15">
        <f t="shared" si="21"/>
        <v>5.0671677719280467E-2</v>
      </c>
      <c r="W20" s="14">
        <f t="shared" si="4"/>
        <v>1897209.3050481335</v>
      </c>
      <c r="X20" s="27">
        <f t="shared" si="22"/>
        <v>4.65E-2</v>
      </c>
      <c r="Y20" s="15">
        <f t="shared" si="5"/>
        <v>-4.1716777192804672E-3</v>
      </c>
      <c r="Z20" s="274">
        <f t="shared" si="6"/>
        <v>1.1243384031637145</v>
      </c>
      <c r="AA20" s="14">
        <f t="shared" si="7"/>
        <v>42096598.662521027</v>
      </c>
      <c r="AB20" s="58">
        <f t="shared" si="8"/>
        <v>37269116.295974471</v>
      </c>
      <c r="AC20" s="318">
        <f t="shared" si="9"/>
        <v>-172101.17384396493</v>
      </c>
      <c r="AD20" s="14">
        <f t="shared" si="10"/>
        <v>0</v>
      </c>
      <c r="AE20" s="318">
        <f t="shared" si="11"/>
        <v>-172101.17384396493</v>
      </c>
      <c r="AF20" s="8"/>
      <c r="AG20" s="2"/>
      <c r="AH20" s="15">
        <f t="shared" si="23"/>
        <v>5.0671677719280467E-2</v>
      </c>
      <c r="AI20" s="56">
        <f t="shared" si="24"/>
        <v>1.1295303684747682</v>
      </c>
      <c r="AJ20" s="59">
        <f t="shared" si="26"/>
        <v>4.65E-2</v>
      </c>
      <c r="AK20" s="22">
        <f t="shared" si="25"/>
        <v>4.65E-2</v>
      </c>
      <c r="AL20" s="60">
        <f t="shared" si="12"/>
        <v>9.7171677719280466E-2</v>
      </c>
      <c r="AM20" s="61">
        <f t="shared" si="13"/>
        <v>1.1295303684747682</v>
      </c>
      <c r="AN20" s="18">
        <f t="shared" si="14"/>
        <v>42290992.164827943</v>
      </c>
      <c r="AO20" s="18">
        <f t="shared" si="15"/>
        <v>42096598.662521027</v>
      </c>
      <c r="AP20" s="22">
        <f>('PDA Schedules FY 2020'!K20+'PDA Schedules FY 2020'!Q20)/'PDA Schedules FY 2020'!E20</f>
        <v>0.5857346668147454</v>
      </c>
      <c r="AQ20" s="18">
        <f t="shared" si="16"/>
        <v>24771300.204930503</v>
      </c>
      <c r="AR20" s="18">
        <f t="shared" si="17"/>
        <v>24657437.191625811</v>
      </c>
      <c r="AS20" s="2"/>
      <c r="AT20" s="150"/>
      <c r="BM20"/>
      <c r="BN20" s="141"/>
      <c r="BO20" s="141"/>
      <c r="BP20" s="141"/>
      <c r="BQ20"/>
      <c r="BR20" s="141"/>
      <c r="BS20" s="141"/>
      <c r="BT20" s="42"/>
      <c r="BU20" s="42"/>
      <c r="BV20" s="42"/>
      <c r="BW20" s="4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</row>
    <row r="21" spans="1:214">
      <c r="A21" s="2"/>
      <c r="B21" s="2"/>
      <c r="C21" s="13">
        <v>210015</v>
      </c>
      <c r="D21" s="13" t="s">
        <v>305</v>
      </c>
      <c r="E21" s="14">
        <f>SUMIFS('Final UCC Appr''d FY2022'!M:M,'Final UCC Appr''d FY2022'!A:A,C21)</f>
        <v>604082169.76514089</v>
      </c>
      <c r="F21" s="243">
        <f>(('PDA Schedules FY 2020'!H21+'PDA Schedules FY 2020'!K21)/'PDA Schedules FY 2020'!$E21)</f>
        <v>0.40539278951549496</v>
      </c>
      <c r="G21" s="243">
        <f>'PDA Schedules FY 2020'!L21/'PDA Schedules FY 2020'!$E21</f>
        <v>4.1893834272349113E-2</v>
      </c>
      <c r="H21" s="243">
        <f>'PDA Schedules FY 2020'!M21/'PDA Schedules FY 2020'!$E21</f>
        <v>5.4909020171693954E-2</v>
      </c>
      <c r="I21" s="243">
        <f>'PDA Schedules FY 2020'!Q21/'PDA Schedules FY 2020'!$E21</f>
        <v>0.3019034810848874</v>
      </c>
      <c r="J21" s="243">
        <f>'PDA Schedules FY 2020'!R21/'PDA Schedules FY 2020'!$E21</f>
        <v>8.6958910050299546E-3</v>
      </c>
      <c r="K21" s="251">
        <f>SUMIFS(Input!G:G,Input!$A:$A,$C21)</f>
        <v>3.7251380245001783E-2</v>
      </c>
      <c r="L21" s="243">
        <f t="shared" si="0"/>
        <v>0.15864949471057288</v>
      </c>
      <c r="M21" s="260">
        <f>SUMIFS(Input!F:F,Input!A:A,C21)</f>
        <v>1.1151209479901063</v>
      </c>
      <c r="N21" s="15">
        <f>SUMIFS(Input!I:I,Input!$A:$A,$C21)</f>
        <v>3.9452529853663473E-2</v>
      </c>
      <c r="O21" s="243">
        <f t="shared" si="1"/>
        <v>0.15644834510191119</v>
      </c>
      <c r="P21" s="56">
        <f t="shared" si="18"/>
        <v>1.1101958398629759</v>
      </c>
      <c r="Q21" s="422">
        <f t="shared" si="19"/>
        <v>601414145.27046394</v>
      </c>
      <c r="R21" s="2"/>
      <c r="S21" s="57">
        <f t="shared" si="2"/>
        <v>601414145.27046394</v>
      </c>
      <c r="T21" s="346">
        <f t="shared" si="20"/>
        <v>1.1101958398629759</v>
      </c>
      <c r="U21" s="58">
        <f t="shared" si="3"/>
        <v>541718968.56026101</v>
      </c>
      <c r="V21" s="15">
        <f t="shared" si="21"/>
        <v>3.9452529853663473E-2</v>
      </c>
      <c r="W21" s="14">
        <f t="shared" si="4"/>
        <v>21372183.779419482</v>
      </c>
      <c r="X21" s="27">
        <f t="shared" si="22"/>
        <v>4.65E-2</v>
      </c>
      <c r="Y21" s="15">
        <f t="shared" si="5"/>
        <v>7.0474701463365264E-3</v>
      </c>
      <c r="Z21" s="274">
        <f t="shared" si="6"/>
        <v>1.1187741419542829</v>
      </c>
      <c r="AA21" s="14">
        <f t="shared" si="7"/>
        <v>606061174.2313652</v>
      </c>
      <c r="AB21" s="58">
        <f t="shared" si="8"/>
        <v>545904742.63186514</v>
      </c>
      <c r="AC21" s="318">
        <f t="shared" si="9"/>
        <v>4185774.0716041327</v>
      </c>
      <c r="AD21" s="14">
        <f t="shared" si="10"/>
        <v>4185774.0716041327</v>
      </c>
      <c r="AE21" s="318">
        <f t="shared" si="11"/>
        <v>0</v>
      </c>
      <c r="AF21" s="8"/>
      <c r="AG21" s="2"/>
      <c r="AH21" s="15">
        <f t="shared" si="23"/>
        <v>3.9452529853663473E-2</v>
      </c>
      <c r="AI21" s="56">
        <f t="shared" si="24"/>
        <v>1.1101958398629759</v>
      </c>
      <c r="AJ21" s="59">
        <f t="shared" si="26"/>
        <v>4.65E-2</v>
      </c>
      <c r="AK21" s="22">
        <f t="shared" si="25"/>
        <v>4.65E-2</v>
      </c>
      <c r="AL21" s="60">
        <f t="shared" si="12"/>
        <v>8.5952529853663473E-2</v>
      </c>
      <c r="AM21" s="61">
        <f t="shared" si="13"/>
        <v>1.1101958398629759</v>
      </c>
      <c r="AN21" s="18">
        <f t="shared" si="14"/>
        <v>601414145.27046394</v>
      </c>
      <c r="AO21" s="18">
        <f t="shared" si="15"/>
        <v>606061174.2313652</v>
      </c>
      <c r="AP21" s="22">
        <f>('PDA Schedules FY 2020'!K21+'PDA Schedules FY 2020'!Q21)/'PDA Schedules FY 2020'!E21</f>
        <v>0.3344883051228994</v>
      </c>
      <c r="AQ21" s="18">
        <f t="shared" si="16"/>
        <v>201165998.12845469</v>
      </c>
      <c r="AR21" s="18">
        <f t="shared" si="17"/>
        <v>202720374.96944359</v>
      </c>
      <c r="AS21" s="2"/>
      <c r="AT21" s="150"/>
      <c r="BM21"/>
      <c r="BN21" s="141"/>
      <c r="BO21" s="141"/>
      <c r="BP21" s="141"/>
      <c r="BQ21"/>
      <c r="BR21" s="141"/>
      <c r="BS21" s="141"/>
      <c r="BT21" s="42"/>
      <c r="BU21" s="42"/>
      <c r="BV21" s="42"/>
      <c r="BW21" s="4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</row>
    <row r="22" spans="1:214">
      <c r="A22" s="2"/>
      <c r="B22" s="2"/>
      <c r="C22" s="13">
        <v>210016</v>
      </c>
      <c r="D22" s="13" t="s">
        <v>306</v>
      </c>
      <c r="E22" s="14">
        <f>SUMIFS('Final UCC Appr''d FY2022'!M:M,'Final UCC Appr''d FY2022'!A:A,C22)</f>
        <v>350718925.10160911</v>
      </c>
      <c r="F22" s="243">
        <f>(('PDA Schedules FY 2020'!H22+'PDA Schedules FY 2020'!K22)/'PDA Schedules FY 2020'!$E22)</f>
        <v>0.56152316307811279</v>
      </c>
      <c r="G22" s="243">
        <f>'PDA Schedules FY 2020'!L22/'PDA Schedules FY 2020'!$E22</f>
        <v>6.0793178731875411E-2</v>
      </c>
      <c r="H22" s="243">
        <f>'PDA Schedules FY 2020'!M22/'PDA Schedules FY 2020'!$E22</f>
        <v>6.0635053972197997E-2</v>
      </c>
      <c r="I22" s="243">
        <f>'PDA Schedules FY 2020'!Q22/'PDA Schedules FY 2020'!$E22</f>
        <v>0.16253823599558048</v>
      </c>
      <c r="J22" s="243">
        <f>'PDA Schedules FY 2020'!R22/'PDA Schedules FY 2020'!$E22</f>
        <v>1.7958150951799132E-2</v>
      </c>
      <c r="K22" s="251">
        <f>SUMIFS(Input!G:G,Input!$A:$A,$C22)</f>
        <v>7.6229479047419363E-2</v>
      </c>
      <c r="L22" s="243">
        <f t="shared" si="0"/>
        <v>7.8280889174813906E-2</v>
      </c>
      <c r="M22" s="260">
        <f>SUMIFS(Input!F:F,Input!A:A,C22)</f>
        <v>1.1162574393031277</v>
      </c>
      <c r="N22" s="15">
        <f>SUMIFS(Input!I:I,Input!$A:$A,$C22)</f>
        <v>6.2904064725735787E-2</v>
      </c>
      <c r="O22" s="243">
        <f t="shared" si="1"/>
        <v>9.1606303496497565E-2</v>
      </c>
      <c r="P22" s="56">
        <f t="shared" si="18"/>
        <v>1.140808419311933</v>
      </c>
      <c r="Q22" s="422">
        <f t="shared" si="19"/>
        <v>358432641.50403214</v>
      </c>
      <c r="R22" s="2"/>
      <c r="S22" s="57">
        <f t="shared" si="2"/>
        <v>358432641.50403214</v>
      </c>
      <c r="T22" s="346">
        <f t="shared" si="20"/>
        <v>1.140808419311933</v>
      </c>
      <c r="U22" s="58">
        <f t="shared" si="3"/>
        <v>314191791.92262375</v>
      </c>
      <c r="V22" s="15">
        <f t="shared" si="21"/>
        <v>6.2904064725735787E-2</v>
      </c>
      <c r="W22" s="14">
        <f t="shared" si="4"/>
        <v>19763940.815395635</v>
      </c>
      <c r="X22" s="27">
        <f t="shared" si="22"/>
        <v>4.65E-2</v>
      </c>
      <c r="Y22" s="15">
        <f t="shared" si="5"/>
        <v>-1.6404064725735787E-2</v>
      </c>
      <c r="Z22" s="274">
        <f t="shared" si="6"/>
        <v>1.120263220629631</v>
      </c>
      <c r="AA22" s="14">
        <f t="shared" si="7"/>
        <v>351977508.71463335</v>
      </c>
      <c r="AB22" s="58">
        <f t="shared" si="8"/>
        <v>308533407.32436478</v>
      </c>
      <c r="AC22" s="318">
        <f t="shared" si="9"/>
        <v>-5658384.5982589722</v>
      </c>
      <c r="AD22" s="14">
        <f t="shared" si="10"/>
        <v>0</v>
      </c>
      <c r="AE22" s="318">
        <f t="shared" si="11"/>
        <v>-5658384.5982589722</v>
      </c>
      <c r="AF22" s="8"/>
      <c r="AG22" s="2"/>
      <c r="AH22" s="15">
        <f t="shared" si="23"/>
        <v>6.2904064725735787E-2</v>
      </c>
      <c r="AI22" s="56">
        <f t="shared" si="24"/>
        <v>1.140808419311933</v>
      </c>
      <c r="AJ22" s="59">
        <f t="shared" si="26"/>
        <v>4.65E-2</v>
      </c>
      <c r="AK22" s="22">
        <f t="shared" si="25"/>
        <v>4.65E-2</v>
      </c>
      <c r="AL22" s="60">
        <f t="shared" si="12"/>
        <v>0.10940406472573579</v>
      </c>
      <c r="AM22" s="61">
        <f t="shared" si="13"/>
        <v>1.140808419311933</v>
      </c>
      <c r="AN22" s="18">
        <f t="shared" si="14"/>
        <v>358432641.50403214</v>
      </c>
      <c r="AO22" s="18">
        <f t="shared" si="15"/>
        <v>351977508.71463335</v>
      </c>
      <c r="AP22" s="22">
        <f>('PDA Schedules FY 2020'!K22+'PDA Schedules FY 2020'!Q22)/'PDA Schedules FY 2020'!E22</f>
        <v>0.31269266385809646</v>
      </c>
      <c r="AQ22" s="18">
        <f t="shared" si="16"/>
        <v>112079257.48558992</v>
      </c>
      <c r="AR22" s="18">
        <f t="shared" si="17"/>
        <v>110060784.81811507</v>
      </c>
      <c r="AS22" s="2"/>
      <c r="AT22" s="150"/>
      <c r="BM22"/>
      <c r="BN22" s="141"/>
      <c r="BO22" s="141"/>
      <c r="BP22" s="141"/>
      <c r="BQ22"/>
      <c r="BR22" s="141"/>
      <c r="BS22" s="141"/>
      <c r="BT22" s="42"/>
      <c r="BU22" s="42"/>
      <c r="BV22" s="42"/>
      <c r="BW22" s="4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</row>
    <row r="23" spans="1:214">
      <c r="A23" s="2"/>
      <c r="B23" s="2"/>
      <c r="C23" s="13">
        <v>210017</v>
      </c>
      <c r="D23" s="13" t="s">
        <v>155</v>
      </c>
      <c r="E23" s="14">
        <f>SUMIFS('Final UCC Appr''d FY2022'!M:M,'Final UCC Appr''d FY2022'!A:A,C23)</f>
        <v>71532617.06768173</v>
      </c>
      <c r="F23" s="243">
        <f>(('PDA Schedules FY 2020'!H23+'PDA Schedules FY 2020'!K23)/'PDA Schedules FY 2020'!$E23)</f>
        <v>0.47726264949536673</v>
      </c>
      <c r="G23" s="243">
        <f>'PDA Schedules FY 2020'!L23/'PDA Schedules FY 2020'!$E23</f>
        <v>2.8855777440387999E-2</v>
      </c>
      <c r="H23" s="243">
        <f>'PDA Schedules FY 2020'!M23/'PDA Schedules FY 2020'!$E23</f>
        <v>8.7132082137480582E-2</v>
      </c>
      <c r="I23" s="243">
        <f>'PDA Schedules FY 2020'!Q23/'PDA Schedules FY 2020'!$E23</f>
        <v>0.2139952162310976</v>
      </c>
      <c r="J23" s="243">
        <f>'PDA Schedules FY 2020'!R23/'PDA Schedules FY 2020'!$E23</f>
        <v>1.4996305355097298E-2</v>
      </c>
      <c r="K23" s="251">
        <f>SUMIFS(Input!G:G,Input!$A:$A,$C23)</f>
        <v>6.2412722044630053E-2</v>
      </c>
      <c r="L23" s="243">
        <f t="shared" si="0"/>
        <v>0.13034155265103697</v>
      </c>
      <c r="M23" s="260">
        <f>SUMIFS(Input!F:F,Input!A:A,C23)</f>
        <v>1.1158577958774549</v>
      </c>
      <c r="N23" s="15">
        <f>SUMIFS(Input!I:I,Input!$A:$A,$C23)</f>
        <v>6.4756774352754162E-2</v>
      </c>
      <c r="O23" s="243">
        <f t="shared" si="1"/>
        <v>0.12799750034291291</v>
      </c>
      <c r="P23" s="56">
        <f t="shared" si="18"/>
        <v>1.1405570014473017</v>
      </c>
      <c r="Q23" s="422">
        <f t="shared" si="19"/>
        <v>73115971.882633284</v>
      </c>
      <c r="R23" s="2"/>
      <c r="S23" s="57">
        <f t="shared" si="2"/>
        <v>73115971.882633284</v>
      </c>
      <c r="T23" s="346">
        <f t="shared" si="20"/>
        <v>1.1405570014473017</v>
      </c>
      <c r="U23" s="58">
        <f t="shared" si="3"/>
        <v>64105495.639282644</v>
      </c>
      <c r="V23" s="15">
        <f t="shared" si="21"/>
        <v>6.4756774352754162E-2</v>
      </c>
      <c r="W23" s="14">
        <f t="shared" si="4"/>
        <v>4151265.1158844922</v>
      </c>
      <c r="X23" s="27">
        <f t="shared" si="22"/>
        <v>4.65E-2</v>
      </c>
      <c r="Y23" s="15">
        <f t="shared" si="5"/>
        <v>-1.8256774352754163E-2</v>
      </c>
      <c r="Z23" s="274">
        <f t="shared" si="6"/>
        <v>1.1177477556698063</v>
      </c>
      <c r="AA23" s="14">
        <f t="shared" si="7"/>
        <v>71653773.876908734</v>
      </c>
      <c r="AB23" s="58">
        <f t="shared" si="8"/>
        <v>62823492.19371254</v>
      </c>
      <c r="AC23" s="318">
        <f t="shared" si="9"/>
        <v>-1282003.4455701038</v>
      </c>
      <c r="AD23" s="14">
        <f t="shared" si="10"/>
        <v>0</v>
      </c>
      <c r="AE23" s="318">
        <f t="shared" si="11"/>
        <v>-1282003.4455701038</v>
      </c>
      <c r="AF23" s="8"/>
      <c r="AG23" s="2"/>
      <c r="AH23" s="15">
        <f t="shared" si="23"/>
        <v>6.4756774352754162E-2</v>
      </c>
      <c r="AI23" s="56">
        <f t="shared" si="24"/>
        <v>1.1405570014473017</v>
      </c>
      <c r="AJ23" s="59">
        <f t="shared" si="26"/>
        <v>4.65E-2</v>
      </c>
      <c r="AK23" s="22">
        <f t="shared" si="25"/>
        <v>4.65E-2</v>
      </c>
      <c r="AL23" s="60">
        <f t="shared" si="12"/>
        <v>0.11125677435275416</v>
      </c>
      <c r="AM23" s="61">
        <f t="shared" si="13"/>
        <v>1.1405570014473017</v>
      </c>
      <c r="AN23" s="18">
        <f t="shared" si="14"/>
        <v>73115971.882633284</v>
      </c>
      <c r="AO23" s="18">
        <f t="shared" si="15"/>
        <v>71653773.876908734</v>
      </c>
      <c r="AP23" s="22">
        <f>('PDA Schedules FY 2020'!K23+'PDA Schedules FY 2020'!Q23)/'PDA Schedules FY 2020'!E23</f>
        <v>0.26914398144277951</v>
      </c>
      <c r="AQ23" s="18">
        <f t="shared" si="16"/>
        <v>19678723.779550239</v>
      </c>
      <c r="AR23" s="18">
        <f t="shared" si="17"/>
        <v>19285181.986631844</v>
      </c>
      <c r="AS23" s="2"/>
      <c r="AT23" s="150"/>
      <c r="BM23"/>
      <c r="BN23" s="141"/>
      <c r="BO23" s="141"/>
      <c r="BP23" s="141"/>
      <c r="BQ23"/>
      <c r="BR23" s="141"/>
      <c r="BS23" s="143"/>
      <c r="BT23" s="42"/>
      <c r="BU23" s="42"/>
      <c r="BV23" s="42"/>
      <c r="BW23" s="4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</row>
    <row r="24" spans="1:214">
      <c r="A24" s="2"/>
      <c r="B24" s="2"/>
      <c r="C24" s="13">
        <v>210018</v>
      </c>
      <c r="D24" s="13" t="s">
        <v>307</v>
      </c>
      <c r="E24" s="14">
        <f>SUMIFS('Final UCC Appr''d FY2022'!M:M,'Final UCC Appr''d FY2022'!A:A,C24)</f>
        <v>189123745.72724643</v>
      </c>
      <c r="F24" s="243">
        <f>(('PDA Schedules FY 2020'!H24+'PDA Schedules FY 2020'!K24)/'PDA Schedules FY 2020'!$E24)</f>
        <v>0.46088032794740358</v>
      </c>
      <c r="G24" s="243">
        <f>'PDA Schedules FY 2020'!L24/'PDA Schedules FY 2020'!$E24</f>
        <v>2.9683787647387432E-2</v>
      </c>
      <c r="H24" s="243">
        <f>'PDA Schedules FY 2020'!M24/'PDA Schedules FY 2020'!$E24</f>
        <v>7.4361457992469016E-2</v>
      </c>
      <c r="I24" s="243">
        <f>'PDA Schedules FY 2020'!Q24/'PDA Schedules FY 2020'!$E24</f>
        <v>0.16826094831819602</v>
      </c>
      <c r="J24" s="243">
        <f>'PDA Schedules FY 2020'!R24/'PDA Schedules FY 2020'!$E24</f>
        <v>6.6296661537551286E-3</v>
      </c>
      <c r="K24" s="251">
        <f>SUMIFS(Input!G:G,Input!$A:$A,$C24)</f>
        <v>3.7798081694050453E-2</v>
      </c>
      <c r="L24" s="243">
        <f t="shared" si="0"/>
        <v>0.22901539640049351</v>
      </c>
      <c r="M24" s="260">
        <f>SUMIFS(Input!F:F,Input!A:A,C24)</f>
        <v>1.1099167519492501</v>
      </c>
      <c r="N24" s="15">
        <f>SUMIFS(Input!I:I,Input!$A:$A,$C24)</f>
        <v>3.8570754052689879E-2</v>
      </c>
      <c r="O24" s="243">
        <f t="shared" si="1"/>
        <v>0.22824272404185408</v>
      </c>
      <c r="P24" s="56">
        <f t="shared" si="18"/>
        <v>1.1035909901311978</v>
      </c>
      <c r="Q24" s="422">
        <f t="shared" si="19"/>
        <v>188045870.50146267</v>
      </c>
      <c r="R24" s="2"/>
      <c r="S24" s="57">
        <f t="shared" si="2"/>
        <v>188045870.50146267</v>
      </c>
      <c r="T24" s="346">
        <f t="shared" si="20"/>
        <v>1.1035909901311978</v>
      </c>
      <c r="U24" s="58">
        <f t="shared" si="3"/>
        <v>170394532.19811743</v>
      </c>
      <c r="V24" s="15">
        <f t="shared" si="21"/>
        <v>3.8570754052689879E-2</v>
      </c>
      <c r="W24" s="14">
        <f t="shared" si="4"/>
        <v>6572245.593336734</v>
      </c>
      <c r="X24" s="27">
        <f t="shared" si="22"/>
        <v>4.65E-2</v>
      </c>
      <c r="Y24" s="15">
        <f t="shared" si="5"/>
        <v>7.9292459473101207E-3</v>
      </c>
      <c r="Z24" s="274">
        <f t="shared" si="6"/>
        <v>1.1131368414909681</v>
      </c>
      <c r="AA24" s="14">
        <f t="shared" si="7"/>
        <v>189672431.37834352</v>
      </c>
      <c r="AB24" s="58">
        <f t="shared" si="8"/>
        <v>171868412.36878416</v>
      </c>
      <c r="AC24" s="318">
        <f t="shared" si="9"/>
        <v>1473880.1706667244</v>
      </c>
      <c r="AD24" s="14">
        <f t="shared" si="10"/>
        <v>1473880.1706667244</v>
      </c>
      <c r="AE24" s="318">
        <f t="shared" si="11"/>
        <v>0</v>
      </c>
      <c r="AF24" s="8"/>
      <c r="AG24" s="2"/>
      <c r="AH24" s="15">
        <f t="shared" si="23"/>
        <v>3.8570754052689879E-2</v>
      </c>
      <c r="AI24" s="56">
        <f t="shared" si="24"/>
        <v>1.1035909901311978</v>
      </c>
      <c r="AJ24" s="59">
        <f t="shared" si="26"/>
        <v>4.65E-2</v>
      </c>
      <c r="AK24" s="22">
        <f t="shared" si="25"/>
        <v>4.65E-2</v>
      </c>
      <c r="AL24" s="60">
        <f t="shared" si="12"/>
        <v>8.5070754052689879E-2</v>
      </c>
      <c r="AM24" s="61">
        <f t="shared" si="13"/>
        <v>1.1035909901311978</v>
      </c>
      <c r="AN24" s="18">
        <f t="shared" si="14"/>
        <v>188045870.50146267</v>
      </c>
      <c r="AO24" s="18">
        <f t="shared" si="15"/>
        <v>189672431.37834352</v>
      </c>
      <c r="AP24" s="22">
        <f>('PDA Schedules FY 2020'!K24+'PDA Schedules FY 2020'!Q24)/'PDA Schedules FY 2020'!E24</f>
        <v>0.19370229591812843</v>
      </c>
      <c r="AQ24" s="18">
        <f t="shared" si="16"/>
        <v>36424916.854056381</v>
      </c>
      <c r="AR24" s="18">
        <f t="shared" si="17"/>
        <v>36739985.430358805</v>
      </c>
      <c r="AS24" s="2"/>
      <c r="AT24" s="150"/>
      <c r="BM24"/>
      <c r="BN24" s="141"/>
      <c r="BO24" s="141"/>
      <c r="BP24" s="141"/>
      <c r="BQ24"/>
      <c r="BR24" s="141"/>
      <c r="BS24" s="141"/>
      <c r="BT24" s="42"/>
      <c r="BU24" s="42"/>
      <c r="BV24" s="42"/>
      <c r="BW24" s="4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</row>
    <row r="25" spans="1:214">
      <c r="A25" s="2"/>
      <c r="B25" s="2"/>
      <c r="C25" s="13">
        <v>210019</v>
      </c>
      <c r="D25" s="13" t="s">
        <v>156</v>
      </c>
      <c r="E25" s="14">
        <f>SUMIFS('Final UCC Appr''d FY2022'!M:M,'Final UCC Appr''d FY2022'!A:A,C25)</f>
        <v>521973928.57050645</v>
      </c>
      <c r="F25" s="243">
        <f>(('PDA Schedules FY 2020'!H25+'PDA Schedules FY 2020'!K25 + 'PDA Schedules FY 2020'!H43+'PDA Schedules FY 2020'!K43)/('PDA Schedules FY 2020'!$E25+'PDA Schedules FY 2020'!$E43))</f>
        <v>0.53365039104702516</v>
      </c>
      <c r="G25" s="243">
        <f>('PDA Schedules FY 2020'!L25+'PDA Schedules FY 2020'!L43)/('PDA Schedules FY 2020'!$E25+'PDA Schedules FY 2020'!$E43)</f>
        <v>3.1020513393507344E-2</v>
      </c>
      <c r="H25" s="243">
        <f>('PDA Schedules FY 2020'!M25+'PDA Schedules FY 2020'!M43)/('PDA Schedules FY 2020'!$E25+'PDA Schedules FY 2020'!$E43)</f>
        <v>3.8471253728630882E-2</v>
      </c>
      <c r="I25" s="243">
        <f>('PDA Schedules FY 2020'!Q25+'PDA Schedules FY 2020'!Q43)/('PDA Schedules FY 2020'!$E25+'PDA Schedules FY 2020'!$E43)</f>
        <v>0.20642604887511753</v>
      </c>
      <c r="J25" s="243">
        <f>('PDA Schedules FY 2020'!R25+'PDA Schedules FY 2020'!R43)/('PDA Schedules FY 2020'!$E25+'PDA Schedules FY 2020'!$E43)</f>
        <v>0</v>
      </c>
      <c r="K25" s="251">
        <f>SUMIFS(Input!G:G,Input!$A:$A,$C25)</f>
        <v>4.1242036032877884E-2</v>
      </c>
      <c r="L25" s="243">
        <f t="shared" si="0"/>
        <v>0.1491897569228412</v>
      </c>
      <c r="M25" s="260">
        <f>SUMIFS(Input!F:F,Input!A:A,C25)</f>
        <v>1.1171441388205088</v>
      </c>
      <c r="N25" s="15">
        <f>SUMIFS(Input!I:I,Input!$A:$A,$C25)</f>
        <v>4.5821836193594041E-2</v>
      </c>
      <c r="O25" s="243">
        <f t="shared" si="1"/>
        <v>0.14460995676212507</v>
      </c>
      <c r="P25" s="56">
        <f t="shared" si="18"/>
        <v>1.1200306717803463</v>
      </c>
      <c r="Q25" s="422">
        <f t="shared" si="19"/>
        <v>523322630.94170225</v>
      </c>
      <c r="R25" s="2"/>
      <c r="S25" s="57">
        <f t="shared" si="2"/>
        <v>523322630.94170225</v>
      </c>
      <c r="T25" s="346">
        <f t="shared" si="20"/>
        <v>1.1200306717803463</v>
      </c>
      <c r="U25" s="58">
        <f t="shared" si="3"/>
        <v>467239553.45781201</v>
      </c>
      <c r="V25" s="15">
        <f t="shared" si="21"/>
        <v>4.5821836193594041E-2</v>
      </c>
      <c r="W25" s="14">
        <f t="shared" si="4"/>
        <v>21409774.281711888</v>
      </c>
      <c r="X25" s="27">
        <f t="shared" si="22"/>
        <v>4.65E-2</v>
      </c>
      <c r="Y25" s="15">
        <f t="shared" si="5"/>
        <v>6.7816380640595836E-4</v>
      </c>
      <c r="Z25" s="274">
        <f t="shared" si="6"/>
        <v>1.1208650134087537</v>
      </c>
      <c r="AA25" s="14">
        <f t="shared" si="7"/>
        <v>523712468.35159051</v>
      </c>
      <c r="AB25" s="58">
        <f t="shared" si="8"/>
        <v>467587613.04199165</v>
      </c>
      <c r="AC25" s="318">
        <f t="shared" si="9"/>
        <v>348059.58417963982</v>
      </c>
      <c r="AD25" s="14">
        <f t="shared" si="10"/>
        <v>348059.58417963982</v>
      </c>
      <c r="AE25" s="318">
        <f t="shared" si="11"/>
        <v>0</v>
      </c>
      <c r="AF25" s="8"/>
      <c r="AG25" s="2"/>
      <c r="AH25" s="15">
        <f t="shared" si="23"/>
        <v>4.5821836193594041E-2</v>
      </c>
      <c r="AI25" s="56">
        <f t="shared" si="24"/>
        <v>1.1200306717803463</v>
      </c>
      <c r="AJ25" s="59">
        <f t="shared" si="26"/>
        <v>4.65E-2</v>
      </c>
      <c r="AK25" s="22">
        <f t="shared" si="25"/>
        <v>4.65E-2</v>
      </c>
      <c r="AL25" s="60">
        <f t="shared" si="12"/>
        <v>9.2321836193594048E-2</v>
      </c>
      <c r="AM25" s="61">
        <f t="shared" si="13"/>
        <v>1.1200306717803463</v>
      </c>
      <c r="AN25" s="18">
        <f t="shared" si="14"/>
        <v>523322630.94170225</v>
      </c>
      <c r="AO25" s="18">
        <f t="shared" si="15"/>
        <v>523712468.35159051</v>
      </c>
      <c r="AP25" s="22">
        <f>('PDA Schedules FY 2020'!K25+'PDA Schedules FY 2020'!Q25)/'PDA Schedules FY 2020'!E25</f>
        <v>0.23424758065603032</v>
      </c>
      <c r="AQ25" s="18">
        <f t="shared" si="16"/>
        <v>122587060.20064239</v>
      </c>
      <c r="AR25" s="18">
        <f t="shared" si="17"/>
        <v>122678378.67075793</v>
      </c>
      <c r="AS25" s="2"/>
      <c r="AT25" s="150"/>
      <c r="BM25"/>
      <c r="BN25" s="141"/>
      <c r="BO25" s="141"/>
      <c r="BP25" s="141"/>
      <c r="BQ25"/>
      <c r="BR25" s="141"/>
      <c r="BS25" s="141"/>
      <c r="BT25" s="42"/>
      <c r="BU25" s="42"/>
      <c r="BV25" s="42"/>
      <c r="BW25" s="4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</row>
    <row r="26" spans="1:214">
      <c r="A26" s="2"/>
      <c r="B26" s="2"/>
      <c r="C26" s="13">
        <v>210022</v>
      </c>
      <c r="D26" s="13" t="s">
        <v>308</v>
      </c>
      <c r="E26" s="14">
        <f>SUMIFS('Final UCC Appr''d FY2022'!M:M,'Final UCC Appr''d FY2022'!A:A,C26)</f>
        <v>378212121.71879411</v>
      </c>
      <c r="F26" s="243">
        <f>(('PDA Schedules FY 2020'!H26+'PDA Schedules FY 2020'!K26)/'PDA Schedules FY 2020'!$E26)</f>
        <v>0.46237585985427071</v>
      </c>
      <c r="G26" s="243">
        <f>'PDA Schedules FY 2020'!L26/'PDA Schedules FY 2020'!$E26</f>
        <v>7.7144129013912641E-2</v>
      </c>
      <c r="H26" s="243">
        <f>'PDA Schedules FY 2020'!M26/'PDA Schedules FY 2020'!$E26</f>
        <v>8.1266787181366706E-2</v>
      </c>
      <c r="I26" s="243">
        <f>'PDA Schedules FY 2020'!Q26/'PDA Schedules FY 2020'!$E26</f>
        <v>7.1524112554323879E-2</v>
      </c>
      <c r="J26" s="243">
        <f>'PDA Schedules FY 2020'!R26/'PDA Schedules FY 2020'!$E26</f>
        <v>5.2286617788361786E-3</v>
      </c>
      <c r="K26" s="251">
        <f>SUMIFS(Input!G:G,Input!$A:$A,$C26)</f>
        <v>3.8430712921021869E-2</v>
      </c>
      <c r="L26" s="243">
        <f t="shared" si="0"/>
        <v>0.26925839847510424</v>
      </c>
      <c r="M26" s="260">
        <f>SUMIFS(Input!F:F,Input!A:A,C26)</f>
        <v>1.105478076072322</v>
      </c>
      <c r="N26" s="15">
        <f>SUMIFS(Input!I:I,Input!$A:$A,$C26)</f>
        <v>4.0538608259856529E-2</v>
      </c>
      <c r="O26" s="243">
        <f t="shared" si="1"/>
        <v>0.26715050313626953</v>
      </c>
      <c r="P26" s="56">
        <f t="shared" si="18"/>
        <v>1.0994539285969487</v>
      </c>
      <c r="Q26" s="422">
        <f t="shared" si="19"/>
        <v>376151107.89362365</v>
      </c>
      <c r="R26" s="2"/>
      <c r="S26" s="57">
        <f t="shared" si="2"/>
        <v>376151107.89362365</v>
      </c>
      <c r="T26" s="346">
        <f t="shared" si="20"/>
        <v>1.0994539285969487</v>
      </c>
      <c r="U26" s="58">
        <f t="shared" si="3"/>
        <v>342125393.44294596</v>
      </c>
      <c r="V26" s="15">
        <f t="shared" si="21"/>
        <v>4.0538608259856529E-2</v>
      </c>
      <c r="W26" s="14">
        <f t="shared" si="4"/>
        <v>13869287.300532874</v>
      </c>
      <c r="X26" s="27">
        <f t="shared" si="22"/>
        <v>4.65E-2</v>
      </c>
      <c r="Y26" s="15">
        <f t="shared" si="5"/>
        <v>5.9613917401434707E-3</v>
      </c>
      <c r="Z26" s="274">
        <f t="shared" si="6"/>
        <v>1.106561583960763</v>
      </c>
      <c r="AA26" s="14">
        <f t="shared" si="7"/>
        <v>378582817.28142554</v>
      </c>
      <c r="AB26" s="58">
        <f t="shared" si="8"/>
        <v>344337136.31324983</v>
      </c>
      <c r="AC26" s="318">
        <f t="shared" si="9"/>
        <v>2211742.8703038692</v>
      </c>
      <c r="AD26" s="14">
        <f t="shared" si="10"/>
        <v>2211742.8703038692</v>
      </c>
      <c r="AE26" s="318">
        <f t="shared" si="11"/>
        <v>0</v>
      </c>
      <c r="AF26" s="8"/>
      <c r="AG26" s="2"/>
      <c r="AH26" s="15">
        <f t="shared" si="23"/>
        <v>4.0538608259856529E-2</v>
      </c>
      <c r="AI26" s="56">
        <f t="shared" si="24"/>
        <v>1.0994539285969487</v>
      </c>
      <c r="AJ26" s="59">
        <f t="shared" si="26"/>
        <v>4.65E-2</v>
      </c>
      <c r="AK26" s="22">
        <f t="shared" si="25"/>
        <v>4.65E-2</v>
      </c>
      <c r="AL26" s="60">
        <f t="shared" si="12"/>
        <v>8.7038608259856529E-2</v>
      </c>
      <c r="AM26" s="61">
        <f t="shared" si="13"/>
        <v>1.0994539285969487</v>
      </c>
      <c r="AN26" s="18">
        <f t="shared" si="14"/>
        <v>376151107.89362365</v>
      </c>
      <c r="AO26" s="18">
        <f t="shared" si="15"/>
        <v>378582817.28142554</v>
      </c>
      <c r="AP26" s="22">
        <f>('PDA Schedules FY 2020'!K26+'PDA Schedules FY 2020'!Q26)/'PDA Schedules FY 2020'!E26</f>
        <v>9.2557200659151559E-2</v>
      </c>
      <c r="AQ26" s="18">
        <f t="shared" si="16"/>
        <v>34815493.571472295</v>
      </c>
      <c r="AR26" s="18">
        <f t="shared" si="17"/>
        <v>35040565.785223812</v>
      </c>
      <c r="AS26" s="2"/>
      <c r="AT26" s="150"/>
      <c r="BM26"/>
      <c r="BN26" s="141"/>
      <c r="BO26" s="141"/>
      <c r="BP26" s="141"/>
      <c r="BQ26"/>
      <c r="BR26" s="141"/>
      <c r="BS26" s="141"/>
      <c r="BT26" s="42"/>
      <c r="BU26" s="42"/>
      <c r="BV26" s="42"/>
      <c r="BW26" s="4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</row>
    <row r="27" spans="1:214">
      <c r="A27" s="2"/>
      <c r="B27" s="2"/>
      <c r="C27" s="13">
        <v>210023</v>
      </c>
      <c r="D27" s="13" t="s">
        <v>309</v>
      </c>
      <c r="E27" s="14">
        <f>SUMIFS('Final UCC Appr''d FY2022'!M:M,'Final UCC Appr''d FY2022'!A:A,C27)</f>
        <v>721667645.49236727</v>
      </c>
      <c r="F27" s="243">
        <f>(('PDA Schedules FY 2020'!H27+'PDA Schedules FY 2020'!K27)/'PDA Schedules FY 2020'!$E27)</f>
        <v>0.39858733158138265</v>
      </c>
      <c r="G27" s="243">
        <f>'PDA Schedules FY 2020'!L27/'PDA Schedules FY 2020'!$E27</f>
        <v>6.4325867216414229E-2</v>
      </c>
      <c r="H27" s="243">
        <f>'PDA Schedules FY 2020'!M27/'PDA Schedules FY 2020'!$E27</f>
        <v>9.1228810403145968E-2</v>
      </c>
      <c r="I27" s="243">
        <f>'PDA Schedules FY 2020'!Q27/'PDA Schedules FY 2020'!$E27</f>
        <v>0.1286945207997178</v>
      </c>
      <c r="J27" s="243">
        <f>'PDA Schedules FY 2020'!R27/'PDA Schedules FY 2020'!$E27</f>
        <v>7.4894880611201696E-3</v>
      </c>
      <c r="K27" s="251">
        <f>SUMIFS(Input!G:G,Input!$A:$A,$C27)</f>
        <v>3.1747376315946658E-2</v>
      </c>
      <c r="L27" s="243">
        <f t="shared" si="0"/>
        <v>0.2854160936833926</v>
      </c>
      <c r="M27" s="260">
        <f>SUMIFS(Input!F:F,Input!A:A,C27)</f>
        <v>1.1022217221622292</v>
      </c>
      <c r="N27" s="15">
        <f>SUMIFS(Input!I:I,Input!$A:$A,$C27)</f>
        <v>3.6883177009109674E-2</v>
      </c>
      <c r="O27" s="243">
        <f t="shared" si="1"/>
        <v>0.28028029299022961</v>
      </c>
      <c r="P27" s="56">
        <f t="shared" si="18"/>
        <v>1.0947041517310028</v>
      </c>
      <c r="Q27" s="422">
        <f t="shared" si="19"/>
        <v>716745598.28186262</v>
      </c>
      <c r="R27" s="2"/>
      <c r="S27" s="57">
        <f t="shared" si="2"/>
        <v>716745598.28186262</v>
      </c>
      <c r="T27" s="346">
        <f t="shared" si="20"/>
        <v>1.0947041517310028</v>
      </c>
      <c r="U27" s="58">
        <f t="shared" si="3"/>
        <v>654739088.31761301</v>
      </c>
      <c r="V27" s="15">
        <f t="shared" si="21"/>
        <v>3.6883177009109674E-2</v>
      </c>
      <c r="W27" s="14">
        <f t="shared" si="4"/>
        <v>24148857.689201612</v>
      </c>
      <c r="X27" s="27">
        <f t="shared" si="22"/>
        <v>4.65E-2</v>
      </c>
      <c r="Y27" s="15">
        <f t="shared" si="5"/>
        <v>9.6168229908903252E-3</v>
      </c>
      <c r="Z27" s="274">
        <f t="shared" si="6"/>
        <v>1.1061159774068028</v>
      </c>
      <c r="AA27" s="14">
        <f t="shared" si="7"/>
        <v>724217366.62087548</v>
      </c>
      <c r="AB27" s="58">
        <f t="shared" si="8"/>
        <v>661564465.13490021</v>
      </c>
      <c r="AC27" s="318">
        <f t="shared" si="9"/>
        <v>6825376.8172872066</v>
      </c>
      <c r="AD27" s="14">
        <f t="shared" si="10"/>
        <v>6825376.8172872066</v>
      </c>
      <c r="AE27" s="318">
        <f t="shared" si="11"/>
        <v>0</v>
      </c>
      <c r="AF27" s="8"/>
      <c r="AG27" s="2"/>
      <c r="AH27" s="15">
        <f t="shared" si="23"/>
        <v>3.6883177009109674E-2</v>
      </c>
      <c r="AI27" s="56">
        <f t="shared" si="24"/>
        <v>1.0947041517310028</v>
      </c>
      <c r="AJ27" s="59">
        <f t="shared" si="26"/>
        <v>4.65E-2</v>
      </c>
      <c r="AK27" s="22">
        <f t="shared" si="25"/>
        <v>4.65E-2</v>
      </c>
      <c r="AL27" s="60">
        <f t="shared" si="12"/>
        <v>8.3383177009109674E-2</v>
      </c>
      <c r="AM27" s="61">
        <f t="shared" si="13"/>
        <v>1.0947041517310028</v>
      </c>
      <c r="AN27" s="18">
        <f t="shared" si="14"/>
        <v>716745598.28186262</v>
      </c>
      <c r="AO27" s="18">
        <f t="shared" si="15"/>
        <v>724217366.62087548</v>
      </c>
      <c r="AP27" s="22">
        <f>('PDA Schedules FY 2020'!K27+'PDA Schedules FY 2020'!Q27)/'PDA Schedules FY 2020'!E27</f>
        <v>0.14659967841516799</v>
      </c>
      <c r="AQ27" s="18">
        <f t="shared" si="16"/>
        <v>105074674.21360825</v>
      </c>
      <c r="AR27" s="18">
        <f t="shared" si="17"/>
        <v>106170033.04930016</v>
      </c>
      <c r="AS27" s="2"/>
      <c r="AT27" s="150"/>
      <c r="BM27"/>
      <c r="BN27" s="141"/>
      <c r="BO27" s="141"/>
      <c r="BP27" s="141"/>
      <c r="BQ27"/>
      <c r="BR27" s="141"/>
      <c r="BS27" s="141"/>
      <c r="BT27" s="42"/>
      <c r="BU27" s="42"/>
      <c r="BV27" s="42"/>
      <c r="BW27" s="4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</row>
    <row r="28" spans="1:214">
      <c r="A28" s="2"/>
      <c r="B28" s="2"/>
      <c r="C28" s="13">
        <v>210024</v>
      </c>
      <c r="D28" s="13" t="s">
        <v>310</v>
      </c>
      <c r="E28" s="14">
        <f>SUMIFS('Final UCC Appr''d FY2022'!M:M,'Final UCC Appr''d FY2022'!A:A,C28)</f>
        <v>438021568.36192894</v>
      </c>
      <c r="F28" s="243">
        <f>(('PDA Schedules FY 2020'!H28+'PDA Schedules FY 2020'!K28)/'PDA Schedules FY 2020'!$E28)</f>
        <v>0.48377515866453924</v>
      </c>
      <c r="G28" s="243">
        <f>'PDA Schedules FY 2020'!L28/'PDA Schedules FY 2020'!$E28</f>
        <v>5.330317917310011E-2</v>
      </c>
      <c r="H28" s="243">
        <f>'PDA Schedules FY 2020'!M28/'PDA Schedules FY 2020'!$E28</f>
        <v>4.7706889709676695E-2</v>
      </c>
      <c r="I28" s="243">
        <f>'PDA Schedules FY 2020'!Q28/'PDA Schedules FY 2020'!$E28</f>
        <v>0.21932846583947949</v>
      </c>
      <c r="J28" s="243">
        <f>'PDA Schedules FY 2020'!R28/'PDA Schedules FY 2020'!$E28</f>
        <v>7.8604931803520472E-3</v>
      </c>
      <c r="K28" s="251">
        <f>SUMIFS(Input!G:G,Input!$A:$A,$C28)</f>
        <v>3.4566056805362788E-2</v>
      </c>
      <c r="L28" s="243">
        <f t="shared" si="0"/>
        <v>0.16132024980784165</v>
      </c>
      <c r="M28" s="260">
        <f>SUMIFS(Input!F:F,Input!A:A,C28)</f>
        <v>1.1153364418804246</v>
      </c>
      <c r="N28" s="15">
        <f>SUMIFS(Input!I:I,Input!$A:$A,$C28)</f>
        <v>3.4252399190141475E-2</v>
      </c>
      <c r="O28" s="243">
        <f t="shared" si="1"/>
        <v>0.16163390742306294</v>
      </c>
      <c r="P28" s="56">
        <f t="shared" si="18"/>
        <v>1.1036732432752439</v>
      </c>
      <c r="Q28" s="422">
        <f t="shared" si="19"/>
        <v>433441127.56099468</v>
      </c>
      <c r="R28" s="2"/>
      <c r="S28" s="57">
        <f t="shared" si="2"/>
        <v>433441127.56099468</v>
      </c>
      <c r="T28" s="346">
        <f t="shared" si="20"/>
        <v>1.1036732432752439</v>
      </c>
      <c r="U28" s="58">
        <f t="shared" si="3"/>
        <v>392725954.17346662</v>
      </c>
      <c r="V28" s="15">
        <f t="shared" si="21"/>
        <v>3.4252399190141475E-2</v>
      </c>
      <c r="W28" s="14">
        <f t="shared" si="4"/>
        <v>13451806.154678786</v>
      </c>
      <c r="X28" s="27">
        <f t="shared" si="22"/>
        <v>4.65E-2</v>
      </c>
      <c r="Y28" s="15">
        <f t="shared" si="5"/>
        <v>1.2247600809858525E-2</v>
      </c>
      <c r="Z28" s="274">
        <f t="shared" si="6"/>
        <v>1.1184898813303539</v>
      </c>
      <c r="AA28" s="14">
        <f t="shared" si="7"/>
        <v>439260005.87883067</v>
      </c>
      <c r="AB28" s="58">
        <f t="shared" si="8"/>
        <v>397998237.75313187</v>
      </c>
      <c r="AC28" s="318">
        <f t="shared" si="9"/>
        <v>5272283.5796652436</v>
      </c>
      <c r="AD28" s="14">
        <f t="shared" si="10"/>
        <v>5272283.5796652436</v>
      </c>
      <c r="AE28" s="318">
        <f t="shared" si="11"/>
        <v>0</v>
      </c>
      <c r="AF28" s="8"/>
      <c r="AG28" s="2"/>
      <c r="AH28" s="15">
        <f t="shared" si="23"/>
        <v>3.4252399190141475E-2</v>
      </c>
      <c r="AI28" s="56">
        <f t="shared" si="24"/>
        <v>1.1036732432752439</v>
      </c>
      <c r="AJ28" s="59">
        <f t="shared" si="26"/>
        <v>4.65E-2</v>
      </c>
      <c r="AK28" s="22">
        <f t="shared" si="25"/>
        <v>4.65E-2</v>
      </c>
      <c r="AL28" s="60">
        <f t="shared" si="12"/>
        <v>8.0752399190141474E-2</v>
      </c>
      <c r="AM28" s="61">
        <f t="shared" si="13"/>
        <v>1.1036732432752439</v>
      </c>
      <c r="AN28" s="18">
        <f t="shared" si="14"/>
        <v>433441127.56099468</v>
      </c>
      <c r="AO28" s="18">
        <f t="shared" si="15"/>
        <v>439260005.87883067</v>
      </c>
      <c r="AP28" s="22">
        <f>('PDA Schedules FY 2020'!K28+'PDA Schedules FY 2020'!Q28)/'PDA Schedules FY 2020'!E28</f>
        <v>0.24966489758973631</v>
      </c>
      <c r="AQ28" s="18">
        <f t="shared" si="16"/>
        <v>108215034.72369558</v>
      </c>
      <c r="AR28" s="18">
        <f t="shared" si="17"/>
        <v>109667804.38300523</v>
      </c>
      <c r="AS28" s="2"/>
      <c r="AT28" s="150"/>
      <c r="BM28"/>
      <c r="BN28" s="141"/>
      <c r="BO28" s="141"/>
      <c r="BP28" s="141"/>
      <c r="BQ28"/>
      <c r="BR28" s="141"/>
      <c r="BS28" s="141"/>
      <c r="BT28" s="42"/>
      <c r="BU28" s="42"/>
      <c r="BV28" s="42"/>
      <c r="BW28" s="4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</row>
    <row r="29" spans="1:214">
      <c r="A29" s="2"/>
      <c r="B29" s="2"/>
      <c r="C29" s="13">
        <v>210027</v>
      </c>
      <c r="D29" s="13" t="s">
        <v>311</v>
      </c>
      <c r="E29" s="14">
        <f>SUMIFS('Final UCC Appr''d FY2022'!M:M,'Final UCC Appr''d FY2022'!A:A,C29)</f>
        <v>368709202.3448782</v>
      </c>
      <c r="F29" s="243">
        <f>(('PDA Schedules FY 2020'!H29+'PDA Schedules FY 2020'!K29)/'PDA Schedules FY 2020'!$E29)</f>
        <v>0.52901070466747446</v>
      </c>
      <c r="G29" s="243">
        <f>'PDA Schedules FY 2020'!L29/'PDA Schedules FY 2020'!$E29</f>
        <v>3.2158441054992014E-2</v>
      </c>
      <c r="H29" s="243">
        <f>'PDA Schedules FY 2020'!M29/'PDA Schedules FY 2020'!$E29</f>
        <v>5.2232095722702938E-2</v>
      </c>
      <c r="I29" s="243">
        <f>'PDA Schedules FY 2020'!Q29/'PDA Schedules FY 2020'!$E29</f>
        <v>0.22958698862087387</v>
      </c>
      <c r="J29" s="243">
        <f>'PDA Schedules FY 2020'!R29/'PDA Schedules FY 2020'!$E29</f>
        <v>5.056520770332645E-3</v>
      </c>
      <c r="K29" s="251">
        <f>SUMIFS(Input!G:G,Input!$A:$A,$C29)</f>
        <v>5.0520022500471794E-2</v>
      </c>
      <c r="L29" s="243">
        <f t="shared" si="0"/>
        <v>0.10649174743348488</v>
      </c>
      <c r="M29" s="260">
        <f>SUMIFS(Input!F:F,Input!A:A,C29)</f>
        <v>1.1182380807567878</v>
      </c>
      <c r="N29" s="15">
        <f>SUMIFS(Input!I:I,Input!$A:$A,$C29)</f>
        <v>4.9998069362815582E-2</v>
      </c>
      <c r="O29" s="243">
        <f t="shared" si="1"/>
        <v>0.10701370057114112</v>
      </c>
      <c r="P29" s="56">
        <f t="shared" si="18"/>
        <v>1.1266586283994964</v>
      </c>
      <c r="Q29" s="422">
        <f t="shared" si="19"/>
        <v>371485653.49430507</v>
      </c>
      <c r="R29" s="2"/>
      <c r="S29" s="57">
        <f t="shared" si="2"/>
        <v>371485653.49430507</v>
      </c>
      <c r="T29" s="346">
        <f t="shared" si="20"/>
        <v>1.1266586283994964</v>
      </c>
      <c r="U29" s="58">
        <f t="shared" si="3"/>
        <v>329723346.65561342</v>
      </c>
      <c r="V29" s="15">
        <f t="shared" si="21"/>
        <v>4.9998069362815582E-2</v>
      </c>
      <c r="W29" s="14">
        <f t="shared" si="4"/>
        <v>16485530.756627047</v>
      </c>
      <c r="X29" s="27">
        <f t="shared" si="22"/>
        <v>4.65E-2</v>
      </c>
      <c r="Y29" s="15">
        <f t="shared" si="5"/>
        <v>-3.4980693628155826E-3</v>
      </c>
      <c r="Z29" s="274">
        <f t="shared" si="6"/>
        <v>1.1223238685832826</v>
      </c>
      <c r="AA29" s="14">
        <f t="shared" si="7"/>
        <v>370056381.98075479</v>
      </c>
      <c r="AB29" s="58">
        <f t="shared" si="8"/>
        <v>328454753.42113858</v>
      </c>
      <c r="AC29" s="318">
        <f t="shared" si="9"/>
        <v>-1268593.2344748378</v>
      </c>
      <c r="AD29" s="14">
        <f t="shared" si="10"/>
        <v>0</v>
      </c>
      <c r="AE29" s="318">
        <f t="shared" si="11"/>
        <v>-1268593.2344748378</v>
      </c>
      <c r="AF29" s="8"/>
      <c r="AG29" s="2"/>
      <c r="AH29" s="15">
        <f t="shared" si="23"/>
        <v>4.9998069362815582E-2</v>
      </c>
      <c r="AI29" s="56">
        <f t="shared" si="24"/>
        <v>1.1266586283994964</v>
      </c>
      <c r="AJ29" s="59">
        <f t="shared" si="26"/>
        <v>4.65E-2</v>
      </c>
      <c r="AK29" s="22">
        <f t="shared" si="25"/>
        <v>4.65E-2</v>
      </c>
      <c r="AL29" s="60">
        <f t="shared" si="12"/>
        <v>9.6498069362815575E-2</v>
      </c>
      <c r="AM29" s="61">
        <f t="shared" si="13"/>
        <v>1.1266586283994964</v>
      </c>
      <c r="AN29" s="18">
        <f t="shared" si="14"/>
        <v>371485653.49430507</v>
      </c>
      <c r="AO29" s="18">
        <f t="shared" si="15"/>
        <v>370056381.98075479</v>
      </c>
      <c r="AP29" s="22">
        <f>('PDA Schedules FY 2020'!K29+'PDA Schedules FY 2020'!Q29)/'PDA Schedules FY 2020'!E29</f>
        <v>0.24938424130491993</v>
      </c>
      <c r="AQ29" s="18">
        <f t="shared" si="16"/>
        <v>92642667.852339655</v>
      </c>
      <c r="AR29" s="18">
        <f t="shared" si="17"/>
        <v>92286230.060314178</v>
      </c>
      <c r="AS29" s="2"/>
      <c r="AT29" s="150"/>
      <c r="BM29"/>
      <c r="BN29" s="141"/>
      <c r="BO29" s="141"/>
      <c r="BP29" s="141"/>
      <c r="BQ29"/>
      <c r="BR29" s="141"/>
      <c r="BS29" s="141"/>
      <c r="BT29" s="42"/>
      <c r="BU29" s="42"/>
      <c r="BV29" s="42"/>
      <c r="BW29" s="4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</row>
    <row r="30" spans="1:214">
      <c r="A30" s="2"/>
      <c r="B30" s="2"/>
      <c r="C30" s="13">
        <v>210028</v>
      </c>
      <c r="D30" s="13" t="s">
        <v>312</v>
      </c>
      <c r="E30" s="14">
        <f>SUMIFS('Final UCC Appr''d FY2022'!M:M,'Final UCC Appr''d FY2022'!A:A,C30)</f>
        <v>204025690.32854056</v>
      </c>
      <c r="F30" s="243">
        <f>(('PDA Schedules FY 2020'!H30+'PDA Schedules FY 2020'!K30)/'PDA Schedules FY 2020'!$E30)</f>
        <v>0.43202305899444315</v>
      </c>
      <c r="G30" s="243">
        <f>'PDA Schedules FY 2020'!L30/'PDA Schedules FY 2020'!$E30</f>
        <v>4.3644172983092276E-2</v>
      </c>
      <c r="H30" s="243">
        <f>'PDA Schedules FY 2020'!M30/'PDA Schedules FY 2020'!$E30</f>
        <v>7.4004832228075704E-2</v>
      </c>
      <c r="I30" s="243">
        <f>'PDA Schedules FY 2020'!Q30/'PDA Schedules FY 2020'!$E30</f>
        <v>0.17003106334773443</v>
      </c>
      <c r="J30" s="243">
        <f>'PDA Schedules FY 2020'!R30/'PDA Schedules FY 2020'!$E30</f>
        <v>7.9968696821403895E-3</v>
      </c>
      <c r="K30" s="251">
        <f>SUMIFS(Input!G:G,Input!$A:$A,$C30)</f>
        <v>4.2892259925530404E-2</v>
      </c>
      <c r="L30" s="243">
        <f t="shared" si="0"/>
        <v>0.2374046125211241</v>
      </c>
      <c r="M30" s="260">
        <f>SUMIFS(Input!F:F,Input!A:A,C30)</f>
        <v>1.108155612752997</v>
      </c>
      <c r="N30" s="15">
        <f>SUMIFS(Input!I:I,Input!$A:$A,$C30)</f>
        <v>3.9048248664500185E-2</v>
      </c>
      <c r="O30" s="243">
        <f t="shared" si="1"/>
        <v>0.24124862378215428</v>
      </c>
      <c r="P30" s="56">
        <f t="shared" si="18"/>
        <v>1.1023576764535925</v>
      </c>
      <c r="Q30" s="422">
        <f t="shared" si="19"/>
        <v>202958215.74071786</v>
      </c>
      <c r="R30" s="2"/>
      <c r="S30" s="57">
        <f t="shared" si="2"/>
        <v>202958215.74071786</v>
      </c>
      <c r="T30" s="346">
        <f t="shared" si="20"/>
        <v>1.1023576764535925</v>
      </c>
      <c r="U30" s="58">
        <f t="shared" si="3"/>
        <v>184112852.00431231</v>
      </c>
      <c r="V30" s="15">
        <f t="shared" si="21"/>
        <v>3.9048248664500185E-2</v>
      </c>
      <c r="W30" s="14">
        <f t="shared" si="4"/>
        <v>7189284.4273947086</v>
      </c>
      <c r="X30" s="27">
        <f t="shared" si="22"/>
        <v>4.65E-2</v>
      </c>
      <c r="Y30" s="15">
        <f t="shared" si="5"/>
        <v>7.4517513354998149E-3</v>
      </c>
      <c r="Z30" s="274">
        <f t="shared" si="6"/>
        <v>1.1113039010992114</v>
      </c>
      <c r="AA30" s="14">
        <f t="shared" si="7"/>
        <v>204605330.67489403</v>
      </c>
      <c r="AB30" s="58">
        <f t="shared" si="8"/>
        <v>185607026.68949717</v>
      </c>
      <c r="AC30" s="318">
        <f t="shared" si="9"/>
        <v>1494174.6851848662</v>
      </c>
      <c r="AD30" s="14">
        <f t="shared" si="10"/>
        <v>1494174.6851848662</v>
      </c>
      <c r="AE30" s="318">
        <f t="shared" si="11"/>
        <v>0</v>
      </c>
      <c r="AF30" s="8"/>
      <c r="AG30" s="2"/>
      <c r="AH30" s="15">
        <f t="shared" si="23"/>
        <v>3.9048248664500185E-2</v>
      </c>
      <c r="AI30" s="56">
        <f t="shared" si="24"/>
        <v>1.1023576764535925</v>
      </c>
      <c r="AJ30" s="59">
        <f t="shared" si="26"/>
        <v>4.65E-2</v>
      </c>
      <c r="AK30" s="22">
        <f t="shared" si="25"/>
        <v>4.65E-2</v>
      </c>
      <c r="AL30" s="60">
        <f t="shared" si="12"/>
        <v>8.5548248664500184E-2</v>
      </c>
      <c r="AM30" s="61">
        <f t="shared" si="13"/>
        <v>1.1023576764535925</v>
      </c>
      <c r="AN30" s="18">
        <f t="shared" si="14"/>
        <v>202958215.74071786</v>
      </c>
      <c r="AO30" s="18">
        <f t="shared" si="15"/>
        <v>204605330.67489403</v>
      </c>
      <c r="AP30" s="22">
        <f>('PDA Schedules FY 2020'!K30+'PDA Schedules FY 2020'!Q30)/'PDA Schedules FY 2020'!E30</f>
        <v>0.1873982347663217</v>
      </c>
      <c r="AQ30" s="18">
        <f t="shared" si="16"/>
        <v>38034011.361132815</v>
      </c>
      <c r="AR30" s="18">
        <f t="shared" si="17"/>
        <v>38342677.792254671</v>
      </c>
      <c r="AS30" s="2"/>
      <c r="AT30" s="150"/>
      <c r="BM30"/>
      <c r="BN30" s="141"/>
      <c r="BO30" s="141"/>
      <c r="BP30" s="141"/>
      <c r="BQ30"/>
      <c r="BR30" s="141"/>
      <c r="BS30" s="141"/>
      <c r="BT30" s="42"/>
      <c r="BU30" s="42"/>
      <c r="BV30" s="42"/>
      <c r="BW30" s="4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</row>
    <row r="31" spans="1:214">
      <c r="A31" s="2"/>
      <c r="B31" s="2"/>
      <c r="C31" s="13">
        <v>210029</v>
      </c>
      <c r="D31" s="13" t="s">
        <v>313</v>
      </c>
      <c r="E31" s="14">
        <f>SUMIFS('Final UCC Appr''d FY2022'!M:M,'Final UCC Appr''d FY2022'!A:A,C31)</f>
        <v>783754350.70055568</v>
      </c>
      <c r="F31" s="243">
        <f>(('PDA Schedules FY 2020'!H31+'PDA Schedules FY 2020'!K31)/'PDA Schedules FY 2020'!$E31)</f>
        <v>0.45626457525112291</v>
      </c>
      <c r="G31" s="243">
        <f>'PDA Schedules FY 2020'!L31/'PDA Schedules FY 2020'!$E31</f>
        <v>4.8324246696282817E-2</v>
      </c>
      <c r="H31" s="243">
        <f>'PDA Schedules FY 2020'!M31/'PDA Schedules FY 2020'!$E31</f>
        <v>7.8333969205345744E-2</v>
      </c>
      <c r="I31" s="243">
        <f>'PDA Schedules FY 2020'!Q31/'PDA Schedules FY 2020'!$E31</f>
        <v>0.20625075689258238</v>
      </c>
      <c r="J31" s="243">
        <f>'PDA Schedules FY 2020'!R31/'PDA Schedules FY 2020'!$E31</f>
        <v>8.598250509663518E-3</v>
      </c>
      <c r="K31" s="251">
        <f>SUMIFS(Input!G:G,Input!$A:$A,$C31)</f>
        <v>5.22146480013434E-2</v>
      </c>
      <c r="L31" s="243">
        <f t="shared" si="0"/>
        <v>0.15861180395332264</v>
      </c>
      <c r="M31" s="260">
        <f>SUMIFS(Input!F:F,Input!A:A,C31)</f>
        <v>1.1141231178647666</v>
      </c>
      <c r="N31" s="15">
        <f>SUMIFS(Input!I:I,Input!$A:$A,$C31)</f>
        <v>5.3897931383830866E-2</v>
      </c>
      <c r="O31" s="243">
        <f t="shared" si="1"/>
        <v>0.15692852057083528</v>
      </c>
      <c r="P31" s="56">
        <f t="shared" si="18"/>
        <v>1.1247026709079064</v>
      </c>
      <c r="Q31" s="422">
        <f t="shared" si="19"/>
        <v>791196769.40013301</v>
      </c>
      <c r="R31" s="2"/>
      <c r="S31" s="57">
        <f t="shared" si="2"/>
        <v>791196769.40013301</v>
      </c>
      <c r="T31" s="346">
        <f t="shared" si="20"/>
        <v>1.1247026709079064</v>
      </c>
      <c r="U31" s="58">
        <f t="shared" si="3"/>
        <v>703471939.62066996</v>
      </c>
      <c r="V31" s="15">
        <f t="shared" si="21"/>
        <v>5.3897931383830866E-2</v>
      </c>
      <c r="W31" s="14">
        <f t="shared" si="4"/>
        <v>37915682.332125276</v>
      </c>
      <c r="X31" s="27">
        <f t="shared" si="22"/>
        <v>4.65E-2</v>
      </c>
      <c r="Y31" s="15">
        <f t="shared" si="5"/>
        <v>-7.3979313838308663E-3</v>
      </c>
      <c r="Z31" s="274">
        <f t="shared" si="6"/>
        <v>1.1156059489108894</v>
      </c>
      <c r="AA31" s="14">
        <f t="shared" si="7"/>
        <v>784797480.73270142</v>
      </c>
      <c r="AB31" s="58">
        <f t="shared" si="8"/>
        <v>697782179.26625931</v>
      </c>
      <c r="AC31" s="318">
        <f t="shared" si="9"/>
        <v>-5689760.3544106483</v>
      </c>
      <c r="AD31" s="14">
        <f t="shared" si="10"/>
        <v>0</v>
      </c>
      <c r="AE31" s="318">
        <f t="shared" si="11"/>
        <v>-5689760.3544106483</v>
      </c>
      <c r="AF31" s="8"/>
      <c r="AG31" s="2"/>
      <c r="AH31" s="15">
        <f t="shared" si="23"/>
        <v>5.3897931383830866E-2</v>
      </c>
      <c r="AI31" s="56">
        <f t="shared" si="24"/>
        <v>1.1247026709079064</v>
      </c>
      <c r="AJ31" s="59">
        <f t="shared" si="26"/>
        <v>4.65E-2</v>
      </c>
      <c r="AK31" s="22">
        <f t="shared" si="25"/>
        <v>4.65E-2</v>
      </c>
      <c r="AL31" s="60">
        <f t="shared" si="12"/>
        <v>0.10039793138383087</v>
      </c>
      <c r="AM31" s="61">
        <f t="shared" si="13"/>
        <v>1.1247026709079064</v>
      </c>
      <c r="AN31" s="18">
        <f t="shared" si="14"/>
        <v>791196769.40013301</v>
      </c>
      <c r="AO31" s="18">
        <f t="shared" si="15"/>
        <v>784797480.73270142</v>
      </c>
      <c r="AP31" s="22">
        <f>('PDA Schedules FY 2020'!K31+'PDA Schedules FY 2020'!Q31)/'PDA Schedules FY 2020'!E31</f>
        <v>0.3021619463523687</v>
      </c>
      <c r="AQ31" s="18">
        <f t="shared" si="16"/>
        <v>239069555.78965041</v>
      </c>
      <c r="AR31" s="18">
        <f t="shared" si="17"/>
        <v>237135934.27062863</v>
      </c>
      <c r="AS31" s="2"/>
      <c r="AT31" s="150"/>
      <c r="BM31"/>
      <c r="BN31" s="141"/>
      <c r="BO31" s="141"/>
      <c r="BP31" s="141"/>
      <c r="BQ31"/>
      <c r="BR31" s="141"/>
      <c r="BS31" s="141"/>
      <c r="BT31" s="42"/>
      <c r="BU31" s="42"/>
      <c r="BV31" s="42"/>
      <c r="BW31" s="4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</row>
    <row r="32" spans="1:214">
      <c r="A32" s="2"/>
      <c r="B32" s="2"/>
      <c r="C32" s="13">
        <v>210030</v>
      </c>
      <c r="D32" s="13" t="s">
        <v>314</v>
      </c>
      <c r="E32" s="14">
        <f>SUMIFS('Final UCC Appr''d FY2022'!M:M,'Final UCC Appr''d FY2022'!A:A,C32)</f>
        <v>65179122.675002471</v>
      </c>
      <c r="F32" s="243">
        <f>(('PDA Schedules FY 2020'!H32+'PDA Schedules FY 2020'!K32)/'PDA Schedules FY 2020'!$E32)</f>
        <v>0.50040508713240539</v>
      </c>
      <c r="G32" s="243">
        <f>'PDA Schedules FY 2020'!L32/'PDA Schedules FY 2020'!$E32</f>
        <v>1.861589401689288E-2</v>
      </c>
      <c r="H32" s="243">
        <f>'PDA Schedules FY 2020'!M32/'PDA Schedules FY 2020'!$E32</f>
        <v>6.646400568198832E-2</v>
      </c>
      <c r="I32" s="243">
        <f>'PDA Schedules FY 2020'!Q32/'PDA Schedules FY 2020'!$E32</f>
        <v>0.23629753106994639</v>
      </c>
      <c r="J32" s="243">
        <f>'PDA Schedules FY 2020'!R32/'PDA Schedules FY 2020'!$E32</f>
        <v>1.2188143944730065E-2</v>
      </c>
      <c r="K32" s="251">
        <f>SUMIFS(Input!G:G,Input!$A:$A,$C32)</f>
        <v>4.9374485813536165E-2</v>
      </c>
      <c r="L32" s="243">
        <f t="shared" si="0"/>
        <v>0.12884299628523077</v>
      </c>
      <c r="M32" s="260">
        <f>SUMIFS(Input!F:F,Input!A:A,C32)</f>
        <v>1.1178325773056215</v>
      </c>
      <c r="N32" s="15">
        <f>SUMIFS(Input!I:I,Input!$A:$A,$C32)</f>
        <v>5.6036414237638651E-2</v>
      </c>
      <c r="O32" s="243">
        <f t="shared" si="1"/>
        <v>0.12218106786112837</v>
      </c>
      <c r="P32" s="56">
        <f t="shared" si="18"/>
        <v>1.1327568841293352</v>
      </c>
      <c r="Q32" s="422">
        <f t="shared" si="19"/>
        <v>66049336.376992524</v>
      </c>
      <c r="R32" s="2"/>
      <c r="S32" s="57">
        <f t="shared" si="2"/>
        <v>66049336.376992524</v>
      </c>
      <c r="T32" s="346">
        <f t="shared" si="20"/>
        <v>1.1327568841293352</v>
      </c>
      <c r="U32" s="58">
        <f t="shared" si="3"/>
        <v>58308483.75532908</v>
      </c>
      <c r="V32" s="15">
        <f t="shared" si="21"/>
        <v>5.6036414237638651E-2</v>
      </c>
      <c r="W32" s="14">
        <f t="shared" si="4"/>
        <v>3267398.3492822447</v>
      </c>
      <c r="X32" s="27">
        <f t="shared" si="22"/>
        <v>4.65E-2</v>
      </c>
      <c r="Y32" s="15">
        <f t="shared" si="5"/>
        <v>-9.5364142376386518E-3</v>
      </c>
      <c r="Z32" s="274">
        <f t="shared" si="6"/>
        <v>1.1208906979414186</v>
      </c>
      <c r="AA32" s="14">
        <f t="shared" si="7"/>
        <v>65357437.052416682</v>
      </c>
      <c r="AB32" s="58">
        <f t="shared" si="8"/>
        <v>57697673.673951685</v>
      </c>
      <c r="AC32" s="318">
        <f t="shared" si="9"/>
        <v>-610810.0813773945</v>
      </c>
      <c r="AD32" s="14">
        <f t="shared" si="10"/>
        <v>0</v>
      </c>
      <c r="AE32" s="318">
        <f t="shared" si="11"/>
        <v>-610810.0813773945</v>
      </c>
      <c r="AF32" s="8"/>
      <c r="AG32" s="2"/>
      <c r="AH32" s="15">
        <f t="shared" si="23"/>
        <v>5.6036414237638651E-2</v>
      </c>
      <c r="AI32" s="56">
        <f t="shared" si="24"/>
        <v>1.1327568841293352</v>
      </c>
      <c r="AJ32" s="59">
        <f t="shared" si="26"/>
        <v>4.65E-2</v>
      </c>
      <c r="AK32" s="22">
        <f t="shared" si="25"/>
        <v>4.65E-2</v>
      </c>
      <c r="AL32" s="60">
        <f t="shared" si="12"/>
        <v>0.10253641423763865</v>
      </c>
      <c r="AM32" s="61">
        <f t="shared" si="13"/>
        <v>1.1327568841293352</v>
      </c>
      <c r="AN32" s="18">
        <f t="shared" si="14"/>
        <v>66049336.376992524</v>
      </c>
      <c r="AO32" s="18">
        <f t="shared" si="15"/>
        <v>65357437.052416682</v>
      </c>
      <c r="AP32" s="22">
        <f>('PDA Schedules FY 2020'!K32+'PDA Schedules FY 2020'!Q32)/'PDA Schedules FY 2020'!E32</f>
        <v>0.24244546534802702</v>
      </c>
      <c r="AQ32" s="18">
        <f t="shared" si="16"/>
        <v>16013362.093848322</v>
      </c>
      <c r="AR32" s="18">
        <f t="shared" si="17"/>
        <v>15845614.240127547</v>
      </c>
      <c r="AS32" s="2"/>
      <c r="AT32" s="150"/>
      <c r="BM32"/>
      <c r="BN32" s="141"/>
      <c r="BO32" s="141"/>
      <c r="BP32" s="141"/>
      <c r="BQ32"/>
      <c r="BR32" s="141"/>
      <c r="BS32" s="141"/>
      <c r="BT32" s="42"/>
      <c r="BU32" s="42"/>
      <c r="BV32" s="42"/>
      <c r="BW32" s="4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</row>
    <row r="33" spans="1:214">
      <c r="A33" s="2"/>
      <c r="B33" s="2"/>
      <c r="C33" s="13">
        <v>210032</v>
      </c>
      <c r="D33" s="13" t="s">
        <v>157</v>
      </c>
      <c r="E33" s="14">
        <f>SUMIFS('Final UCC Appr''d FY2022'!M:M,'Final UCC Appr''d FY2022'!A:A,C33)</f>
        <v>184077860.34387821</v>
      </c>
      <c r="F33" s="243">
        <f>(('PDA Schedules FY 2020'!H33+'PDA Schedules FY 2020'!K33)/'PDA Schedules FY 2020'!$E33)</f>
        <v>0.43439304005469825</v>
      </c>
      <c r="G33" s="243">
        <f>'PDA Schedules FY 2020'!L33/'PDA Schedules FY 2020'!$E33</f>
        <v>4.7362077651159254E-2</v>
      </c>
      <c r="H33" s="243">
        <f>'PDA Schedules FY 2020'!M33/'PDA Schedules FY 2020'!$E33</f>
        <v>0.1206733709128593</v>
      </c>
      <c r="I33" s="243">
        <f>'PDA Schedules FY 2020'!Q33/'PDA Schedules FY 2020'!$E33</f>
        <v>0.25181138905704936</v>
      </c>
      <c r="J33" s="243">
        <f>'PDA Schedules FY 2020'!R33/'PDA Schedules FY 2020'!$E33</f>
        <v>0</v>
      </c>
      <c r="K33" s="251">
        <f>SUMIFS(Input!G:G,Input!$A:$A,$C33)</f>
        <v>5.0646322649375859E-2</v>
      </c>
      <c r="L33" s="243">
        <f t="shared" si="0"/>
        <v>9.5113799674858002E-2</v>
      </c>
      <c r="M33" s="260">
        <f>SUMIFS(Input!F:F,Input!A:A,C33)</f>
        <v>1.1140685856836097</v>
      </c>
      <c r="N33" s="15">
        <f>SUMIFS(Input!I:I,Input!$A:$A,$C33)</f>
        <v>6.0071092521197675E-2</v>
      </c>
      <c r="O33" s="243">
        <f t="shared" si="1"/>
        <v>8.5689029803036165E-2</v>
      </c>
      <c r="P33" s="56">
        <f t="shared" si="18"/>
        <v>1.1339176321321751</v>
      </c>
      <c r="Q33" s="422">
        <f t="shared" si="19"/>
        <v>187357523.77490133</v>
      </c>
      <c r="R33" s="2"/>
      <c r="S33" s="57">
        <f t="shared" si="2"/>
        <v>187357523.77490133</v>
      </c>
      <c r="T33" s="346">
        <f t="shared" si="20"/>
        <v>1.1339176321321751</v>
      </c>
      <c r="U33" s="58">
        <f t="shared" si="3"/>
        <v>165230276.40252975</v>
      </c>
      <c r="V33" s="15">
        <f t="shared" si="21"/>
        <v>6.0071092521197675E-2</v>
      </c>
      <c r="W33" s="14">
        <f t="shared" si="4"/>
        <v>9925563.2210794296</v>
      </c>
      <c r="X33" s="27">
        <f t="shared" si="22"/>
        <v>4.65E-2</v>
      </c>
      <c r="Y33" s="15">
        <f t="shared" si="5"/>
        <v>-1.3571092521197675E-2</v>
      </c>
      <c r="Z33" s="274">
        <f t="shared" si="6"/>
        <v>1.117071379072643</v>
      </c>
      <c r="AA33" s="14">
        <f t="shared" si="7"/>
        <v>184574012.72552788</v>
      </c>
      <c r="AB33" s="58">
        <f t="shared" si="8"/>
        <v>162775502.81889701</v>
      </c>
      <c r="AC33" s="318">
        <f t="shared" si="9"/>
        <v>-2454773.5836327374</v>
      </c>
      <c r="AD33" s="14">
        <f t="shared" si="10"/>
        <v>0</v>
      </c>
      <c r="AE33" s="318">
        <f t="shared" si="11"/>
        <v>-2454773.5836327374</v>
      </c>
      <c r="AF33" s="8"/>
      <c r="AG33" s="2"/>
      <c r="AH33" s="15">
        <f t="shared" si="23"/>
        <v>6.0071092521197675E-2</v>
      </c>
      <c r="AI33" s="56">
        <f t="shared" si="24"/>
        <v>1.1339176321321751</v>
      </c>
      <c r="AJ33" s="59">
        <f t="shared" si="26"/>
        <v>4.65E-2</v>
      </c>
      <c r="AK33" s="22">
        <f t="shared" si="25"/>
        <v>4.65E-2</v>
      </c>
      <c r="AL33" s="60">
        <f t="shared" si="12"/>
        <v>0.10657109252119767</v>
      </c>
      <c r="AM33" s="61">
        <f t="shared" si="13"/>
        <v>1.1339176321321751</v>
      </c>
      <c r="AN33" s="18">
        <f t="shared" si="14"/>
        <v>187357523.77490133</v>
      </c>
      <c r="AO33" s="18">
        <f t="shared" si="15"/>
        <v>184574012.72552788</v>
      </c>
      <c r="AP33" s="22">
        <f>('PDA Schedules FY 2020'!K33+'PDA Schedules FY 2020'!Q33)/'PDA Schedules FY 2020'!E33</f>
        <v>0.27083089764221019</v>
      </c>
      <c r="AQ33" s="18">
        <f t="shared" si="16"/>
        <v>50742206.343978263</v>
      </c>
      <c r="AR33" s="18">
        <f t="shared" si="17"/>
        <v>49988345.547879443</v>
      </c>
      <c r="AS33" s="2"/>
      <c r="AT33" s="150"/>
      <c r="BM33"/>
      <c r="BN33" s="141"/>
      <c r="BO33" s="141"/>
      <c r="BP33" s="141"/>
      <c r="BQ33"/>
      <c r="BR33" s="141"/>
      <c r="BS33" s="141"/>
      <c r="BT33" s="42"/>
      <c r="BU33" s="42"/>
      <c r="BV33" s="42"/>
      <c r="BW33" s="4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</row>
    <row r="34" spans="1:214">
      <c r="A34" s="2"/>
      <c r="B34" s="2"/>
      <c r="C34" s="13">
        <v>210033</v>
      </c>
      <c r="D34" s="13" t="s">
        <v>255</v>
      </c>
      <c r="E34" s="14">
        <f>SUMIFS('Final UCC Appr''d FY2022'!M:M,'Final UCC Appr''d FY2022'!A:A,C34)</f>
        <v>254525514.47883561</v>
      </c>
      <c r="F34" s="243">
        <f>(('PDA Schedules FY 2020'!H34+'PDA Schedules FY 2020'!K34)/'PDA Schedules FY 2020'!$E34)</f>
        <v>0.47316543448208592</v>
      </c>
      <c r="G34" s="243">
        <f>'PDA Schedules FY 2020'!L34/'PDA Schedules FY 2020'!$E34</f>
        <v>5.1880852308401108E-2</v>
      </c>
      <c r="H34" s="243">
        <f>'PDA Schedules FY 2020'!M34/'PDA Schedules FY 2020'!$E34</f>
        <v>4.826591931242992E-2</v>
      </c>
      <c r="I34" s="243">
        <f>'PDA Schedules FY 2020'!Q34/'PDA Schedules FY 2020'!$E34</f>
        <v>0.16138117352849596</v>
      </c>
      <c r="J34" s="243">
        <f>'PDA Schedules FY 2020'!R34/'PDA Schedules FY 2020'!$E34</f>
        <v>0</v>
      </c>
      <c r="K34" s="251">
        <f>SUMIFS(Input!G:G,Input!$A:$A,$C34)</f>
        <v>3.0343091710066231E-2</v>
      </c>
      <c r="L34" s="243">
        <f t="shared" si="0"/>
        <v>0.23496352865852077</v>
      </c>
      <c r="M34" s="260">
        <f>SUMIFS(Input!F:F,Input!A:A,C34)</f>
        <v>1.1115247749725947</v>
      </c>
      <c r="N34" s="15">
        <f>SUMIFS(Input!I:I,Input!$A:$A,$C34)</f>
        <v>3.8311987948659892E-2</v>
      </c>
      <c r="O34" s="243">
        <f t="shared" si="1"/>
        <v>0.22699463241992712</v>
      </c>
      <c r="P34" s="56">
        <f t="shared" si="18"/>
        <v>1.10356348116408</v>
      </c>
      <c r="Q34" s="422">
        <f t="shared" si="19"/>
        <v>252702476.02917144</v>
      </c>
      <c r="R34" s="2"/>
      <c r="S34" s="57">
        <f t="shared" si="2"/>
        <v>252702476.02917144</v>
      </c>
      <c r="T34" s="346">
        <f t="shared" si="20"/>
        <v>1.10356348116408</v>
      </c>
      <c r="U34" s="58">
        <f t="shared" si="3"/>
        <v>228987711.48408374</v>
      </c>
      <c r="V34" s="15">
        <f t="shared" si="21"/>
        <v>3.8311987948659892E-2</v>
      </c>
      <c r="W34" s="14">
        <f t="shared" si="4"/>
        <v>8772974.442769425</v>
      </c>
      <c r="X34" s="27">
        <f t="shared" si="22"/>
        <v>4.65E-2</v>
      </c>
      <c r="Y34" s="15">
        <f t="shared" si="5"/>
        <v>8.1880120513401072E-3</v>
      </c>
      <c r="Z34" s="274">
        <f t="shared" si="6"/>
        <v>1.1134231451431851</v>
      </c>
      <c r="AA34" s="14">
        <f t="shared" si="7"/>
        <v>254960217.91974875</v>
      </c>
      <c r="AB34" s="58">
        <f t="shared" si="8"/>
        <v>231033576.4742842</v>
      </c>
      <c r="AC34" s="318">
        <f t="shared" si="9"/>
        <v>2045864.99020046</v>
      </c>
      <c r="AD34" s="14">
        <f t="shared" si="10"/>
        <v>2045864.99020046</v>
      </c>
      <c r="AE34" s="318">
        <f t="shared" si="11"/>
        <v>0</v>
      </c>
      <c r="AF34" s="8"/>
      <c r="AG34" s="2"/>
      <c r="AH34" s="15">
        <f t="shared" si="23"/>
        <v>3.8311987948659892E-2</v>
      </c>
      <c r="AI34" s="56">
        <f t="shared" si="24"/>
        <v>1.10356348116408</v>
      </c>
      <c r="AJ34" s="59">
        <f t="shared" si="26"/>
        <v>4.65E-2</v>
      </c>
      <c r="AK34" s="22">
        <f t="shared" si="25"/>
        <v>4.65E-2</v>
      </c>
      <c r="AL34" s="60">
        <f t="shared" si="12"/>
        <v>8.4811987948659892E-2</v>
      </c>
      <c r="AM34" s="61">
        <f t="shared" si="13"/>
        <v>1.10356348116408</v>
      </c>
      <c r="AN34" s="18">
        <f t="shared" si="14"/>
        <v>252702476.02917144</v>
      </c>
      <c r="AO34" s="18">
        <f t="shared" si="15"/>
        <v>254960217.91974875</v>
      </c>
      <c r="AP34" s="22">
        <f>('PDA Schedules FY 2020'!K34+'PDA Schedules FY 2020'!Q34)/'PDA Schedules FY 2020'!E34</f>
        <v>0.18126763975488513</v>
      </c>
      <c r="AQ34" s="18">
        <f t="shared" si="16"/>
        <v>45806781.390023343</v>
      </c>
      <c r="AR34" s="18">
        <f t="shared" si="17"/>
        <v>46216036.933704026</v>
      </c>
      <c r="AS34" s="2"/>
      <c r="AT34" s="150"/>
      <c r="BM34"/>
      <c r="BN34" s="141"/>
      <c r="BO34" s="141"/>
      <c r="BP34" s="141"/>
      <c r="BQ34"/>
      <c r="BR34" s="141"/>
      <c r="BS34" s="141"/>
      <c r="BT34" s="42"/>
      <c r="BU34" s="42"/>
      <c r="BV34" s="42"/>
      <c r="BW34" s="4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</row>
    <row r="35" spans="1:214">
      <c r="A35" s="2"/>
      <c r="B35" s="2"/>
      <c r="C35" s="13">
        <v>210034</v>
      </c>
      <c r="D35" s="13" t="s">
        <v>315</v>
      </c>
      <c r="E35" s="14">
        <f>SUMIFS('Final UCC Appr''d FY2022'!M:M,'Final UCC Appr''d FY2022'!A:A,C35)</f>
        <v>201004899.61097881</v>
      </c>
      <c r="F35" s="243">
        <f>(('PDA Schedules FY 2020'!H35+'PDA Schedules FY 2020'!K35)/'PDA Schedules FY 2020'!$E35)</f>
        <v>0.32833537925428435</v>
      </c>
      <c r="G35" s="243">
        <f>'PDA Schedules FY 2020'!L35/'PDA Schedules FY 2020'!$E35</f>
        <v>3.6133810516527719E-2</v>
      </c>
      <c r="H35" s="243">
        <f>'PDA Schedules FY 2020'!M35/'PDA Schedules FY 2020'!$E35</f>
        <v>4.2993724095318056E-2</v>
      </c>
      <c r="I35" s="243">
        <f>'PDA Schedules FY 2020'!Q35/'PDA Schedules FY 2020'!$E35</f>
        <v>0.41294216003912382</v>
      </c>
      <c r="J35" s="243">
        <f>'PDA Schedules FY 2020'!R35/'PDA Schedules FY 2020'!$E35</f>
        <v>7.5104792126622589E-3</v>
      </c>
      <c r="K35" s="251">
        <f>SUMIFS(Input!G:G,Input!$A:$A,$C35)</f>
        <v>4.7289977239583163E-2</v>
      </c>
      <c r="L35" s="243">
        <f t="shared" si="0"/>
        <v>0.13230494885516286</v>
      </c>
      <c r="M35" s="260">
        <f>SUMIFS(Input!F:F,Input!A:A,C35)</f>
        <v>1.1180960294119102</v>
      </c>
      <c r="N35" s="15">
        <f>SUMIFS(Input!I:I,Input!$A:$A,$C35)</f>
        <v>5.0266760407214894E-2</v>
      </c>
      <c r="O35" s="243">
        <f t="shared" si="1"/>
        <v>0.12932816568753114</v>
      </c>
      <c r="P35" s="56">
        <f t="shared" si="18"/>
        <v>1.1258152452403676</v>
      </c>
      <c r="Q35" s="422">
        <f t="shared" si="19"/>
        <v>202392616.01624203</v>
      </c>
      <c r="R35" s="2"/>
      <c r="S35" s="57">
        <f t="shared" si="2"/>
        <v>202392616.01624203</v>
      </c>
      <c r="T35" s="346">
        <f t="shared" si="20"/>
        <v>1.1258152452403676</v>
      </c>
      <c r="U35" s="58">
        <f t="shared" si="3"/>
        <v>179774271.90820295</v>
      </c>
      <c r="V35" s="15">
        <f t="shared" si="21"/>
        <v>5.0266760407214894E-2</v>
      </c>
      <c r="W35" s="14">
        <f t="shared" si="4"/>
        <v>9036670.2533911411</v>
      </c>
      <c r="X35" s="27">
        <f t="shared" si="22"/>
        <v>4.65E-2</v>
      </c>
      <c r="Y35" s="15">
        <f t="shared" si="5"/>
        <v>-3.7667604072148947E-3</v>
      </c>
      <c r="Z35" s="274">
        <f t="shared" si="6"/>
        <v>1.121155875283643</v>
      </c>
      <c r="AA35" s="14">
        <f t="shared" si="7"/>
        <v>201554981.17472091</v>
      </c>
      <c r="AB35" s="58">
        <f t="shared" si="8"/>
        <v>179030246.77169642</v>
      </c>
      <c r="AC35" s="318">
        <f t="shared" si="9"/>
        <v>-744025.13650652766</v>
      </c>
      <c r="AD35" s="14">
        <f t="shared" si="10"/>
        <v>0</v>
      </c>
      <c r="AE35" s="318">
        <f t="shared" si="11"/>
        <v>-744025.13650652766</v>
      </c>
      <c r="AF35" s="8"/>
      <c r="AG35" s="2"/>
      <c r="AH35" s="15">
        <f t="shared" si="23"/>
        <v>5.0266760407214894E-2</v>
      </c>
      <c r="AI35" s="56">
        <f t="shared" si="24"/>
        <v>1.1258152452403676</v>
      </c>
      <c r="AJ35" s="59">
        <f t="shared" si="26"/>
        <v>4.65E-2</v>
      </c>
      <c r="AK35" s="22">
        <f t="shared" si="25"/>
        <v>4.65E-2</v>
      </c>
      <c r="AL35" s="60">
        <f t="shared" si="12"/>
        <v>9.6766760407214894E-2</v>
      </c>
      <c r="AM35" s="61">
        <f t="shared" si="13"/>
        <v>1.1258152452403676</v>
      </c>
      <c r="AN35" s="18">
        <f t="shared" si="14"/>
        <v>202392616.01624203</v>
      </c>
      <c r="AO35" s="18">
        <f t="shared" si="15"/>
        <v>201554981.17472091</v>
      </c>
      <c r="AP35" s="22">
        <f>('PDA Schedules FY 2020'!K35+'PDA Schedules FY 2020'!Q35)/'PDA Schedules FY 2020'!E35</f>
        <v>0.45124455705657268</v>
      </c>
      <c r="AQ35" s="18">
        <f t="shared" si="16"/>
        <v>91328566.365770131</v>
      </c>
      <c r="AR35" s="18">
        <f t="shared" si="17"/>
        <v>90950588.202732787</v>
      </c>
      <c r="AS35" s="2"/>
      <c r="AT35" s="150"/>
      <c r="BM35"/>
      <c r="BN35" s="141"/>
      <c r="BO35" s="141"/>
      <c r="BP35" s="141"/>
      <c r="BQ35"/>
      <c r="BR35" s="141"/>
      <c r="BS35" s="141"/>
      <c r="BT35" s="42"/>
      <c r="BU35" s="42"/>
      <c r="BV35" s="42"/>
      <c r="BW35" s="4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</row>
    <row r="36" spans="1:214">
      <c r="A36" s="2"/>
      <c r="B36" s="2"/>
      <c r="C36" s="13">
        <v>210035</v>
      </c>
      <c r="D36" s="13" t="s">
        <v>316</v>
      </c>
      <c r="E36" s="14">
        <f>SUMIFS('Final UCC Appr''d FY2022'!M:M,'Final UCC Appr''d FY2022'!A:A,C36)</f>
        <v>176140686.40851229</v>
      </c>
      <c r="F36" s="243">
        <f>(('PDA Schedules FY 2020'!H36+'PDA Schedules FY 2020'!K36)/'PDA Schedules FY 2020'!$E36)</f>
        <v>0.47476306304226068</v>
      </c>
      <c r="G36" s="243">
        <f>'PDA Schedules FY 2020'!L36/'PDA Schedules FY 2020'!$E36</f>
        <v>4.2421126230427382E-2</v>
      </c>
      <c r="H36" s="243">
        <f>'PDA Schedules FY 2020'!M36/'PDA Schedules FY 2020'!$E36</f>
        <v>6.5181835958941226E-2</v>
      </c>
      <c r="I36" s="243">
        <f>'PDA Schedules FY 2020'!Q36/'PDA Schedules FY 2020'!$E36</f>
        <v>0.16354535196168471</v>
      </c>
      <c r="J36" s="243">
        <f>'PDA Schedules FY 2020'!R36/'PDA Schedules FY 2020'!$E36</f>
        <v>7.599307800774063E-3</v>
      </c>
      <c r="K36" s="251">
        <f>SUMIFS(Input!G:G,Input!$A:$A,$C36)</f>
        <v>5.2025349156921856E-2</v>
      </c>
      <c r="L36" s="243">
        <f t="shared" si="0"/>
        <v>0.20206327364976417</v>
      </c>
      <c r="M36" s="260">
        <f>SUMIFS(Input!F:F,Input!A:A,C36)</f>
        <v>1.1094499227741297</v>
      </c>
      <c r="N36" s="15">
        <f>SUMIFS(Input!I:I,Input!$A:$A,$C36)</f>
        <v>6.0519946327489485E-2</v>
      </c>
      <c r="O36" s="243">
        <f t="shared" si="1"/>
        <v>0.19356867647919651</v>
      </c>
      <c r="P36" s="56">
        <f t="shared" si="18"/>
        <v>1.1311592319021107</v>
      </c>
      <c r="Q36" s="422">
        <f t="shared" si="19"/>
        <v>179587342.74942732</v>
      </c>
      <c r="R36" s="2"/>
      <c r="S36" s="57">
        <f t="shared" si="2"/>
        <v>179587342.74942732</v>
      </c>
      <c r="T36" s="346">
        <f t="shared" si="20"/>
        <v>1.1311592319021107</v>
      </c>
      <c r="U36" s="58">
        <f t="shared" si="3"/>
        <v>158763980.95380494</v>
      </c>
      <c r="V36" s="15">
        <f t="shared" si="21"/>
        <v>6.0519946327489485E-2</v>
      </c>
      <c r="W36" s="14">
        <f t="shared" si="4"/>
        <v>9608387.6060628369</v>
      </c>
      <c r="X36" s="27">
        <f t="shared" si="22"/>
        <v>4.65E-2</v>
      </c>
      <c r="Y36" s="15">
        <f t="shared" si="5"/>
        <v>-1.4019946327489485E-2</v>
      </c>
      <c r="Z36" s="274">
        <f t="shared" si="6"/>
        <v>1.1138482305490318</v>
      </c>
      <c r="AA36" s="14">
        <f t="shared" si="7"/>
        <v>176838979.26031584</v>
      </c>
      <c r="AB36" s="58">
        <f t="shared" si="8"/>
        <v>156334293.41592404</v>
      </c>
      <c r="AC36" s="318">
        <f t="shared" si="9"/>
        <v>-2429687.5378808975</v>
      </c>
      <c r="AD36" s="14">
        <f t="shared" si="10"/>
        <v>0</v>
      </c>
      <c r="AE36" s="318">
        <f t="shared" si="11"/>
        <v>-2429687.5378808975</v>
      </c>
      <c r="AF36" s="8"/>
      <c r="AG36" s="2"/>
      <c r="AH36" s="15">
        <f t="shared" si="23"/>
        <v>6.0519946327489485E-2</v>
      </c>
      <c r="AI36" s="56">
        <f t="shared" si="24"/>
        <v>1.1311592319021107</v>
      </c>
      <c r="AJ36" s="59">
        <f t="shared" si="26"/>
        <v>4.65E-2</v>
      </c>
      <c r="AK36" s="22">
        <f t="shared" si="25"/>
        <v>4.65E-2</v>
      </c>
      <c r="AL36" s="60">
        <f t="shared" si="12"/>
        <v>0.10701994632748948</v>
      </c>
      <c r="AM36" s="61">
        <f t="shared" si="13"/>
        <v>1.1311592319021107</v>
      </c>
      <c r="AN36" s="18">
        <f t="shared" si="14"/>
        <v>179587342.74942732</v>
      </c>
      <c r="AO36" s="18">
        <f t="shared" si="15"/>
        <v>176838979.26031584</v>
      </c>
      <c r="AP36" s="22">
        <f>('PDA Schedules FY 2020'!K36+'PDA Schedules FY 2020'!Q36)/'PDA Schedules FY 2020'!E36</f>
        <v>0.19047746258168566</v>
      </c>
      <c r="AQ36" s="18">
        <f t="shared" si="16"/>
        <v>34207341.358698398</v>
      </c>
      <c r="AR36" s="18">
        <f t="shared" si="17"/>
        <v>33683840.055040292</v>
      </c>
      <c r="AS36" s="2"/>
      <c r="AT36" s="150"/>
      <c r="BM36"/>
      <c r="BN36" s="141"/>
      <c r="BO36" s="141"/>
      <c r="BP36" s="141"/>
      <c r="BQ36"/>
      <c r="BR36" s="141"/>
      <c r="BS36" s="141"/>
      <c r="BT36" s="42"/>
      <c r="BU36" s="42"/>
      <c r="BV36" s="42"/>
      <c r="BW36" s="4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</row>
    <row r="37" spans="1:214">
      <c r="A37" s="2"/>
      <c r="B37" s="2"/>
      <c r="C37" s="13">
        <v>210037</v>
      </c>
      <c r="D37" s="13" t="s">
        <v>317</v>
      </c>
      <c r="E37" s="14">
        <f>SUMIFS('Final UCC Appr''d FY2022'!M:M,'Final UCC Appr''d FY2022'!A:A,C37)</f>
        <v>250694204.77781546</v>
      </c>
      <c r="F37" s="243">
        <f>(('PDA Schedules FY 2020'!H37+'PDA Schedules FY 2020'!K37)/'PDA Schedules FY 2020'!$E37)</f>
        <v>0.56795556337170272</v>
      </c>
      <c r="G37" s="243">
        <f>'PDA Schedules FY 2020'!L37/'PDA Schedules FY 2020'!$E37</f>
        <v>3.0465371261974909E-2</v>
      </c>
      <c r="H37" s="243">
        <f>'PDA Schedules FY 2020'!M37/'PDA Schedules FY 2020'!$E37</f>
        <v>4.2053839831299754E-2</v>
      </c>
      <c r="I37" s="243">
        <f>'PDA Schedules FY 2020'!Q37/'PDA Schedules FY 2020'!$E37</f>
        <v>0.18306507330927521</v>
      </c>
      <c r="J37" s="243">
        <f>'PDA Schedules FY 2020'!R37/'PDA Schedules FY 2020'!$E37</f>
        <v>7.7025507837419861E-3</v>
      </c>
      <c r="K37" s="251">
        <f>SUMIFS(Input!G:G,Input!$A:$A,$C37)</f>
        <v>3.4583312181194398E-2</v>
      </c>
      <c r="L37" s="243">
        <f t="shared" si="0"/>
        <v>0.14187684004455303</v>
      </c>
      <c r="M37" s="260">
        <f>SUMIFS(Input!F:F,Input!A:A,C37)</f>
        <v>1.1187748164974232</v>
      </c>
      <c r="N37" s="15">
        <f>SUMIFS(Input!I:I,Input!$A:$A,$C37)</f>
        <v>3.4217714507275919E-2</v>
      </c>
      <c r="O37" s="243">
        <f t="shared" si="1"/>
        <v>0.14224243771847145</v>
      </c>
      <c r="P37" s="56">
        <f t="shared" si="18"/>
        <v>1.1068947656369124</v>
      </c>
      <c r="Q37" s="422">
        <f t="shared" si="19"/>
        <v>248032132.07178167</v>
      </c>
      <c r="R37" s="2"/>
      <c r="S37" s="57">
        <f t="shared" si="2"/>
        <v>248032132.07178167</v>
      </c>
      <c r="T37" s="346">
        <f t="shared" si="20"/>
        <v>1.1068947656369124</v>
      </c>
      <c r="U37" s="58">
        <f t="shared" si="3"/>
        <v>224079234.78530756</v>
      </c>
      <c r="V37" s="15">
        <f t="shared" si="21"/>
        <v>3.4217714507275919E-2</v>
      </c>
      <c r="W37" s="14">
        <f t="shared" si="4"/>
        <v>7667479.2828925047</v>
      </c>
      <c r="X37" s="27">
        <f t="shared" si="22"/>
        <v>4.65E-2</v>
      </c>
      <c r="Y37" s="15">
        <f t="shared" si="5"/>
        <v>1.2282285492724081E-2</v>
      </c>
      <c r="Z37" s="274">
        <f t="shared" si="6"/>
        <v>1.1218413877870759</v>
      </c>
      <c r="AA37" s="14">
        <f t="shared" si="7"/>
        <v>251381359.72581545</v>
      </c>
      <c r="AB37" s="58">
        <f t="shared" si="8"/>
        <v>227105021.6604552</v>
      </c>
      <c r="AC37" s="318">
        <f t="shared" si="9"/>
        <v>3025786.8751476407</v>
      </c>
      <c r="AD37" s="14">
        <f t="shared" si="10"/>
        <v>3025786.8751476407</v>
      </c>
      <c r="AE37" s="318">
        <f t="shared" si="11"/>
        <v>0</v>
      </c>
      <c r="AF37" s="8"/>
      <c r="AG37" s="2"/>
      <c r="AH37" s="15">
        <f t="shared" si="23"/>
        <v>3.4217714507275919E-2</v>
      </c>
      <c r="AI37" s="56">
        <f t="shared" si="24"/>
        <v>1.1068947656369124</v>
      </c>
      <c r="AJ37" s="59">
        <f t="shared" si="26"/>
        <v>4.65E-2</v>
      </c>
      <c r="AK37" s="22">
        <f t="shared" si="25"/>
        <v>4.65E-2</v>
      </c>
      <c r="AL37" s="60">
        <f t="shared" si="12"/>
        <v>8.0717714507275912E-2</v>
      </c>
      <c r="AM37" s="61">
        <f t="shared" si="13"/>
        <v>1.1068947656369124</v>
      </c>
      <c r="AN37" s="18">
        <f t="shared" si="14"/>
        <v>248032132.07178167</v>
      </c>
      <c r="AO37" s="18">
        <f t="shared" si="15"/>
        <v>251381359.72581545</v>
      </c>
      <c r="AP37" s="22">
        <f>('PDA Schedules FY 2020'!K37+'PDA Schedules FY 2020'!Q37)/'PDA Schedules FY 2020'!E37</f>
        <v>0.20873003398426085</v>
      </c>
      <c r="AQ37" s="18">
        <f t="shared" si="16"/>
        <v>51771755.356531665</v>
      </c>
      <c r="AR37" s="18">
        <f t="shared" si="17"/>
        <v>52470839.758579157</v>
      </c>
      <c r="AS37" s="2"/>
      <c r="AT37" s="150"/>
      <c r="BM37"/>
      <c r="BN37" s="141"/>
      <c r="BO37" s="141"/>
      <c r="BP37" s="141"/>
      <c r="BQ37"/>
      <c r="BR37" s="141"/>
      <c r="BS37" s="141"/>
      <c r="BT37" s="42"/>
      <c r="BU37" s="42"/>
      <c r="BV37" s="42"/>
      <c r="BW37" s="4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</row>
    <row r="38" spans="1:214">
      <c r="A38" s="2"/>
      <c r="B38" s="2"/>
      <c r="C38" s="13">
        <v>210038</v>
      </c>
      <c r="D38" s="13" t="s">
        <v>318</v>
      </c>
      <c r="E38" s="14">
        <f>SUMIFS('Final UCC Appr''d FY2022'!M:M,'Final UCC Appr''d FY2022'!A:A,C38)</f>
        <v>245304632.01250976</v>
      </c>
      <c r="F38" s="243">
        <f>(('PDA Schedules FY 2020'!H38+'PDA Schedules FY 2020'!K38)/'PDA Schedules FY 2020'!$E38)</f>
        <v>0.39399409714146516</v>
      </c>
      <c r="G38" s="243">
        <f>'PDA Schedules FY 2020'!L38/'PDA Schedules FY 2020'!$E38</f>
        <v>2.0212355352937382E-2</v>
      </c>
      <c r="H38" s="243">
        <f>'PDA Schedules FY 2020'!M38/'PDA Schedules FY 2020'!$E38</f>
        <v>3.4536453624652269E-2</v>
      </c>
      <c r="I38" s="243">
        <f>'PDA Schedules FY 2020'!Q38/'PDA Schedules FY 2020'!$E38</f>
        <v>0.40926083349777242</v>
      </c>
      <c r="J38" s="243">
        <f>'PDA Schedules FY 2020'!R38/'PDA Schedules FY 2020'!$E38</f>
        <v>1.8074953796571827E-2</v>
      </c>
      <c r="K38" s="251">
        <f>SUMIFS(Input!G:G,Input!$A:$A,$C38)</f>
        <v>4.5324784965156885E-2</v>
      </c>
      <c r="L38" s="243">
        <f t="shared" si="0"/>
        <v>9.6671475418015906E-2</v>
      </c>
      <c r="M38" s="260">
        <f>SUMIFS(Input!F:F,Input!A:A,C38)</f>
        <v>1.1211743847596074</v>
      </c>
      <c r="N38" s="15">
        <f>SUMIFS(Input!I:I,Input!$A:$A,$C38)</f>
        <v>4.1539768321463534E-2</v>
      </c>
      <c r="O38" s="243">
        <f t="shared" si="1"/>
        <v>0.10045649206170926</v>
      </c>
      <c r="P38" s="56">
        <f t="shared" si="18"/>
        <v>1.1197036346492417</v>
      </c>
      <c r="Q38" s="422">
        <f t="shared" si="19"/>
        <v>244982842.80691445</v>
      </c>
      <c r="R38" s="2"/>
      <c r="S38" s="57">
        <f t="shared" si="2"/>
        <v>244982842.80691445</v>
      </c>
      <c r="T38" s="346">
        <f t="shared" si="20"/>
        <v>1.1197036346492417</v>
      </c>
      <c r="U38" s="58">
        <f t="shared" si="3"/>
        <v>218792576.20134255</v>
      </c>
      <c r="V38" s="15">
        <f t="shared" si="21"/>
        <v>4.1539768321463534E-2</v>
      </c>
      <c r="W38" s="14">
        <f t="shared" si="4"/>
        <v>9088592.9258599263</v>
      </c>
      <c r="X38" s="27">
        <f t="shared" si="22"/>
        <v>4.65E-2</v>
      </c>
      <c r="Y38" s="15">
        <f t="shared" si="5"/>
        <v>4.9602316785364656E-3</v>
      </c>
      <c r="Z38" s="274">
        <f t="shared" si="6"/>
        <v>1.1258314334229163</v>
      </c>
      <c r="AA38" s="14">
        <f t="shared" si="7"/>
        <v>246323559.6870501</v>
      </c>
      <c r="AB38" s="58">
        <f t="shared" si="8"/>
        <v>219989961.68679351</v>
      </c>
      <c r="AC38" s="318">
        <f t="shared" si="9"/>
        <v>1197385.4854509532</v>
      </c>
      <c r="AD38" s="14">
        <f t="shared" si="10"/>
        <v>1197385.4854509532</v>
      </c>
      <c r="AE38" s="318">
        <f t="shared" si="11"/>
        <v>0</v>
      </c>
      <c r="AF38" s="8"/>
      <c r="AG38" s="2"/>
      <c r="AH38" s="15">
        <f t="shared" si="23"/>
        <v>4.1539768321463534E-2</v>
      </c>
      <c r="AI38" s="56">
        <f t="shared" si="24"/>
        <v>1.1197036346492417</v>
      </c>
      <c r="AJ38" s="59">
        <f t="shared" si="26"/>
        <v>4.65E-2</v>
      </c>
      <c r="AK38" s="22">
        <f t="shared" si="25"/>
        <v>4.65E-2</v>
      </c>
      <c r="AL38" s="60">
        <f t="shared" si="12"/>
        <v>8.8039768321463541E-2</v>
      </c>
      <c r="AM38" s="61">
        <f t="shared" si="13"/>
        <v>1.1197036346492417</v>
      </c>
      <c r="AN38" s="18">
        <f t="shared" si="14"/>
        <v>244982842.80691445</v>
      </c>
      <c r="AO38" s="18">
        <f t="shared" si="15"/>
        <v>246323559.6870501</v>
      </c>
      <c r="AP38" s="22">
        <f>('PDA Schedules FY 2020'!K38+'PDA Schedules FY 2020'!Q38)/'PDA Schedules FY 2020'!E38</f>
        <v>0.47715438799659526</v>
      </c>
      <c r="AQ38" s="18">
        <f t="shared" si="16"/>
        <v>116894638.42919937</v>
      </c>
      <c r="AR38" s="18">
        <f t="shared" si="17"/>
        <v>117534367.3716172</v>
      </c>
      <c r="AS38" s="2"/>
      <c r="AT38" s="150"/>
      <c r="BM38"/>
      <c r="BN38" s="141"/>
      <c r="BO38" s="141"/>
      <c r="BP38" s="141"/>
      <c r="BQ38"/>
      <c r="BR38" s="141"/>
      <c r="BS38" s="141"/>
      <c r="BT38" s="42"/>
      <c r="BU38" s="42"/>
      <c r="BV38" s="42"/>
      <c r="BW38" s="4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</row>
    <row r="39" spans="1:214">
      <c r="A39" s="2"/>
      <c r="B39" s="2"/>
      <c r="C39" s="13">
        <v>210039</v>
      </c>
      <c r="D39" s="13" t="s">
        <v>158</v>
      </c>
      <c r="E39" s="14">
        <f>SUMIFS('Final UCC Appr''d FY2022'!M:M,'Final UCC Appr''d FY2022'!A:A,C39)</f>
        <v>169665475.87169704</v>
      </c>
      <c r="F39" s="243">
        <f>(('PDA Schedules FY 2020'!H39+'PDA Schedules FY 2020'!K39)/'PDA Schedules FY 2020'!$E39)</f>
        <v>0.51722131239747848</v>
      </c>
      <c r="G39" s="243">
        <f>'PDA Schedules FY 2020'!L39/'PDA Schedules FY 2020'!$E39</f>
        <v>2.483406121315836E-2</v>
      </c>
      <c r="H39" s="243">
        <f>'PDA Schedules FY 2020'!M39/'PDA Schedules FY 2020'!$E39</f>
        <v>4.0285075652966275E-2</v>
      </c>
      <c r="I39" s="243">
        <f>'PDA Schedules FY 2020'!Q39/'PDA Schedules FY 2020'!$E39</f>
        <v>0.17433987221981859</v>
      </c>
      <c r="J39" s="243">
        <f>'PDA Schedules FY 2020'!R39/'PDA Schedules FY 2020'!$E39</f>
        <v>7.5428548501322136E-3</v>
      </c>
      <c r="K39" s="251">
        <f>SUMIFS(Input!G:G,Input!$A:$A,$C39)</f>
        <v>4.2189127272295172E-2</v>
      </c>
      <c r="L39" s="243">
        <f t="shared" si="0"/>
        <v>0.20113055124428314</v>
      </c>
      <c r="M39" s="260">
        <f>SUMIFS(Input!F:F,Input!A:A,C39)</f>
        <v>1.1132138111988261</v>
      </c>
      <c r="N39" s="15">
        <f>SUMIFS(Input!I:I,Input!$A:$A,$C39)</f>
        <v>3.6470944107112345E-2</v>
      </c>
      <c r="O39" s="243">
        <f t="shared" si="1"/>
        <v>0.20684873440946594</v>
      </c>
      <c r="P39" s="56">
        <f t="shared" si="18"/>
        <v>1.1054285390199343</v>
      </c>
      <c r="Q39" s="422">
        <f t="shared" si="19"/>
        <v>168478918.63019112</v>
      </c>
      <c r="R39" s="2"/>
      <c r="S39" s="57">
        <f t="shared" si="2"/>
        <v>168478918.63019112</v>
      </c>
      <c r="T39" s="346">
        <f t="shared" si="20"/>
        <v>1.1054285390199343</v>
      </c>
      <c r="U39" s="58">
        <f t="shared" si="3"/>
        <v>152410502.06607062</v>
      </c>
      <c r="V39" s="15">
        <f t="shared" si="21"/>
        <v>3.6470944107112345E-2</v>
      </c>
      <c r="W39" s="14">
        <f t="shared" si="4"/>
        <v>5558554.9021885917</v>
      </c>
      <c r="X39" s="27">
        <f t="shared" si="22"/>
        <v>4.65E-2</v>
      </c>
      <c r="Y39" s="15">
        <f t="shared" si="5"/>
        <v>1.0029055892887655E-2</v>
      </c>
      <c r="Z39" s="274">
        <f t="shared" si="6"/>
        <v>1.1175705818705652</v>
      </c>
      <c r="AA39" s="14">
        <f t="shared" si="7"/>
        <v>170329493.47716352</v>
      </c>
      <c r="AB39" s="58">
        <f t="shared" si="8"/>
        <v>154084581.19615451</v>
      </c>
      <c r="AC39" s="318">
        <f t="shared" si="9"/>
        <v>1674079.1300838888</v>
      </c>
      <c r="AD39" s="14">
        <f t="shared" si="10"/>
        <v>1674079.1300838888</v>
      </c>
      <c r="AE39" s="318">
        <f t="shared" si="11"/>
        <v>0</v>
      </c>
      <c r="AF39" s="8"/>
      <c r="AG39" s="2"/>
      <c r="AH39" s="15">
        <f t="shared" si="23"/>
        <v>3.6470944107112345E-2</v>
      </c>
      <c r="AI39" s="56">
        <f t="shared" si="24"/>
        <v>1.1054285390199343</v>
      </c>
      <c r="AJ39" s="59">
        <f t="shared" si="26"/>
        <v>4.65E-2</v>
      </c>
      <c r="AK39" s="22">
        <f t="shared" si="25"/>
        <v>4.65E-2</v>
      </c>
      <c r="AL39" s="60">
        <f t="shared" si="12"/>
        <v>8.2970944107112338E-2</v>
      </c>
      <c r="AM39" s="61">
        <f t="shared" si="13"/>
        <v>1.1054285390199343</v>
      </c>
      <c r="AN39" s="18">
        <f t="shared" si="14"/>
        <v>168478918.63019112</v>
      </c>
      <c r="AO39" s="18">
        <f t="shared" si="15"/>
        <v>170329493.47716352</v>
      </c>
      <c r="AP39" s="22">
        <f>('PDA Schedules FY 2020'!K39+'PDA Schedules FY 2020'!Q39)/'PDA Schedules FY 2020'!E39</f>
        <v>0.18733895436602571</v>
      </c>
      <c r="AQ39" s="18">
        <f t="shared" si="16"/>
        <v>31562664.448898733</v>
      </c>
      <c r="AR39" s="18">
        <f t="shared" si="17"/>
        <v>31909349.205706611</v>
      </c>
      <c r="AS39" s="2"/>
      <c r="AT39" s="150"/>
      <c r="BM39"/>
      <c r="BN39" s="141"/>
      <c r="BO39" s="141"/>
      <c r="BP39" s="141"/>
      <c r="BQ39"/>
      <c r="BR39" s="141"/>
      <c r="BS39" s="141"/>
      <c r="BT39" s="42"/>
      <c r="BU39" s="42"/>
      <c r="BV39" s="42"/>
      <c r="BW39" s="4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</row>
    <row r="40" spans="1:214">
      <c r="A40" s="2"/>
      <c r="B40" s="2"/>
      <c r="C40" s="13">
        <v>210040</v>
      </c>
      <c r="D40" s="13" t="s">
        <v>319</v>
      </c>
      <c r="E40" s="14">
        <f>SUMIFS('Final UCC Appr''d FY2022'!M:M,'Final UCC Appr''d FY2022'!A:A,C40)</f>
        <v>296751018.52580601</v>
      </c>
      <c r="F40" s="243">
        <f>(('PDA Schedules FY 2020'!H40+'PDA Schedules FY 2020'!K40)/'PDA Schedules FY 2020'!$E40)</f>
        <v>0.47612962831536459</v>
      </c>
      <c r="G40" s="243">
        <f>'PDA Schedules FY 2020'!L40/'PDA Schedules FY 2020'!$E40</f>
        <v>4.2453213740508949E-2</v>
      </c>
      <c r="H40" s="243">
        <f>'PDA Schedules FY 2020'!M40/'PDA Schedules FY 2020'!$E40</f>
        <v>6.6102266770737633E-2</v>
      </c>
      <c r="I40" s="243">
        <f>'PDA Schedules FY 2020'!Q40/'PDA Schedules FY 2020'!$E40</f>
        <v>0.2257254259281713</v>
      </c>
      <c r="J40" s="243">
        <f>'PDA Schedules FY 2020'!R40/'PDA Schedules FY 2020'!$E40</f>
        <v>0</v>
      </c>
      <c r="K40" s="251">
        <f>SUMIFS(Input!G:G,Input!$A:$A,$C40)</f>
        <v>5.3050015729786335E-2</v>
      </c>
      <c r="L40" s="243">
        <f t="shared" si="0"/>
        <v>0.13653944951543118</v>
      </c>
      <c r="M40" s="260">
        <f>SUMIFS(Input!F:F,Input!A:A,C40)</f>
        <v>1.1141571278152393</v>
      </c>
      <c r="N40" s="15">
        <f>SUMIFS(Input!I:I,Input!$A:$A,$C40)</f>
        <v>6.008122517985362E-2</v>
      </c>
      <c r="O40" s="243">
        <f t="shared" si="1"/>
        <v>0.12950824006536388</v>
      </c>
      <c r="P40" s="56">
        <f t="shared" si="18"/>
        <v>1.1350627922364596</v>
      </c>
      <c r="Q40" s="422">
        <f t="shared" si="19"/>
        <v>302319153.44598627</v>
      </c>
      <c r="R40" s="2"/>
      <c r="S40" s="57">
        <f t="shared" si="2"/>
        <v>302319153.44598627</v>
      </c>
      <c r="T40" s="346">
        <f t="shared" si="20"/>
        <v>1.1350627922364596</v>
      </c>
      <c r="U40" s="58">
        <f t="shared" si="3"/>
        <v>266345752.42336574</v>
      </c>
      <c r="V40" s="15">
        <f t="shared" si="21"/>
        <v>6.008122517985362E-2</v>
      </c>
      <c r="W40" s="14">
        <f t="shared" si="4"/>
        <v>16002379.12704578</v>
      </c>
      <c r="X40" s="27">
        <f t="shared" si="22"/>
        <v>4.65E-2</v>
      </c>
      <c r="Y40" s="15">
        <f t="shared" si="5"/>
        <v>-1.358122517985362E-2</v>
      </c>
      <c r="Z40" s="274">
        <f t="shared" si="6"/>
        <v>1.1181703330327433</v>
      </c>
      <c r="AA40" s="14">
        <f t="shared" si="7"/>
        <v>297819918.68909144</v>
      </c>
      <c r="AB40" s="58">
        <f t="shared" si="8"/>
        <v>262381888.23217875</v>
      </c>
      <c r="AC40" s="318">
        <f t="shared" si="9"/>
        <v>-3963864.1911869943</v>
      </c>
      <c r="AD40" s="14">
        <f t="shared" si="10"/>
        <v>0</v>
      </c>
      <c r="AE40" s="318">
        <f t="shared" si="11"/>
        <v>-3963864.1911869943</v>
      </c>
      <c r="AF40" s="8"/>
      <c r="AG40" s="2"/>
      <c r="AH40" s="15">
        <f t="shared" si="23"/>
        <v>6.008122517985362E-2</v>
      </c>
      <c r="AI40" s="56">
        <f t="shared" si="24"/>
        <v>1.1350627922364596</v>
      </c>
      <c r="AJ40" s="59">
        <f t="shared" si="26"/>
        <v>4.65E-2</v>
      </c>
      <c r="AK40" s="22">
        <f t="shared" si="25"/>
        <v>4.65E-2</v>
      </c>
      <c r="AL40" s="60">
        <f t="shared" si="12"/>
        <v>0.10658122517985362</v>
      </c>
      <c r="AM40" s="61">
        <f t="shared" si="13"/>
        <v>1.1350627922364596</v>
      </c>
      <c r="AN40" s="18">
        <f t="shared" si="14"/>
        <v>302319153.44598627</v>
      </c>
      <c r="AO40" s="18">
        <f t="shared" si="15"/>
        <v>297819918.68909144</v>
      </c>
      <c r="AP40" s="22">
        <f>('PDA Schedules FY 2020'!K40+'PDA Schedules FY 2020'!Q40)/'PDA Schedules FY 2020'!E40</f>
        <v>0.26851296950410963</v>
      </c>
      <c r="AQ40" s="18">
        <f t="shared" si="16"/>
        <v>81176613.629750356</v>
      </c>
      <c r="AR40" s="18">
        <f t="shared" si="17"/>
        <v>79968510.74468042</v>
      </c>
      <c r="AS40" s="2"/>
      <c r="AT40" s="150"/>
      <c r="BM40"/>
      <c r="BN40" s="141"/>
      <c r="BO40" s="141"/>
      <c r="BP40" s="141"/>
      <c r="BQ40"/>
      <c r="BR40" s="141"/>
      <c r="BS40" s="141"/>
      <c r="BT40" s="42"/>
      <c r="BU40" s="42"/>
      <c r="BV40" s="42"/>
      <c r="BW40" s="4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</row>
    <row r="41" spans="1:214">
      <c r="A41" s="2"/>
      <c r="B41" s="2"/>
      <c r="C41" s="13">
        <v>210043</v>
      </c>
      <c r="D41" s="13" t="s">
        <v>320</v>
      </c>
      <c r="E41" s="14">
        <f>SUMIFS('Final UCC Appr''d FY2022'!M:M,'Final UCC Appr''d FY2022'!A:A,C41)</f>
        <v>507717958.76774728</v>
      </c>
      <c r="F41" s="243">
        <f>(('PDA Schedules FY 2020'!H41+'PDA Schedules FY 2020'!K41)/'PDA Schedules FY 2020'!$E41)</f>
        <v>0.40566064600793644</v>
      </c>
      <c r="G41" s="243">
        <f>'PDA Schedules FY 2020'!L41/'PDA Schedules FY 2020'!$E41</f>
        <v>3.4123377750130475E-2</v>
      </c>
      <c r="H41" s="243">
        <f>'PDA Schedules FY 2020'!M41/'PDA Schedules FY 2020'!$E41</f>
        <v>3.7566752689324509E-2</v>
      </c>
      <c r="I41" s="243">
        <f>'PDA Schedules FY 2020'!Q41/'PDA Schedules FY 2020'!$E41</f>
        <v>0.24395365266310612</v>
      </c>
      <c r="J41" s="243">
        <f>'PDA Schedules FY 2020'!R41/'PDA Schedules FY 2020'!$E41</f>
        <v>5.1664674957689885E-3</v>
      </c>
      <c r="K41" s="251">
        <f>SUMIFS(Input!G:G,Input!$A:$A,$C41)</f>
        <v>4.9798504962581425E-2</v>
      </c>
      <c r="L41" s="243">
        <f t="shared" ref="L41:L56" si="27">1-(F41+G41+H41+I41+K41)</f>
        <v>0.22889706592692105</v>
      </c>
      <c r="M41" s="260">
        <f>SUMIFS(Input!F:F,Input!A:A,C41)</f>
        <v>1.1114837273564122</v>
      </c>
      <c r="N41" s="15">
        <f>SUMIFS(Input!I:I,Input!$A:$A,$C41)</f>
        <v>5.0258913430729024E-2</v>
      </c>
      <c r="O41" s="243">
        <f t="shared" ref="O41:O56" si="28">1-(F41+G41+H41+I41+N41)</f>
        <v>0.22843665745877351</v>
      </c>
      <c r="P41" s="56">
        <f t="shared" si="18"/>
        <v>1.1191570895339833</v>
      </c>
      <c r="Q41" s="422">
        <f t="shared" ref="Q41:Q56" si="29">+E41/M41*P41</f>
        <v>511223096.7070567</v>
      </c>
      <c r="R41" s="2"/>
      <c r="S41" s="57">
        <f t="shared" ref="S41:S56" si="30">Q41*(1-$S$8)</f>
        <v>511223096.7070567</v>
      </c>
      <c r="T41" s="346">
        <f t="shared" si="20"/>
        <v>1.1191570895339833</v>
      </c>
      <c r="U41" s="58">
        <f t="shared" si="3"/>
        <v>456792975.25598472</v>
      </c>
      <c r="V41" s="15">
        <f t="shared" si="21"/>
        <v>5.0258913430729024E-2</v>
      </c>
      <c r="W41" s="14">
        <f t="shared" si="4"/>
        <v>22957918.599155683</v>
      </c>
      <c r="X41" s="27">
        <f t="shared" si="22"/>
        <v>4.65E-2</v>
      </c>
      <c r="Y41" s="15">
        <f t="shared" si="5"/>
        <v>-3.7589134307290245E-3</v>
      </c>
      <c r="Z41" s="274">
        <f t="shared" ref="Z41:Z56" si="31">S41/(S41*(1-X41-((+F41+I41)*+$Z$8)-(G41*0.0225)-(+H41*0.02)-((J41+(1-(F41+G41+H41+I41+X41)))*0.02)))</f>
        <v>1.1145621084900685</v>
      </c>
      <c r="AA41" s="14">
        <f t="shared" si="7"/>
        <v>509124141.64476204</v>
      </c>
      <c r="AB41" s="58">
        <f t="shared" si="8"/>
        <v>454917496.75352651</v>
      </c>
      <c r="AC41" s="318">
        <f t="shared" si="9"/>
        <v>-1875478.5024582148</v>
      </c>
      <c r="AD41" s="14">
        <f t="shared" si="10"/>
        <v>0</v>
      </c>
      <c r="AE41" s="318">
        <f t="shared" si="11"/>
        <v>-1875478.5024582148</v>
      </c>
      <c r="AF41" s="8"/>
      <c r="AG41" s="2"/>
      <c r="AH41" s="15">
        <f t="shared" si="23"/>
        <v>5.0258913430729024E-2</v>
      </c>
      <c r="AI41" s="56">
        <f t="shared" si="24"/>
        <v>1.1191570895339833</v>
      </c>
      <c r="AJ41" s="59">
        <f t="shared" si="26"/>
        <v>4.65E-2</v>
      </c>
      <c r="AK41" s="22">
        <f t="shared" si="25"/>
        <v>4.65E-2</v>
      </c>
      <c r="AL41" s="60">
        <f t="shared" si="12"/>
        <v>9.6758913430729024E-2</v>
      </c>
      <c r="AM41" s="61">
        <f t="shared" ref="AM41:AM56" si="32">P41</f>
        <v>1.1191570895339833</v>
      </c>
      <c r="AN41" s="18">
        <f t="shared" si="14"/>
        <v>511223096.7070567</v>
      </c>
      <c r="AO41" s="18">
        <f t="shared" si="15"/>
        <v>509124141.64476204</v>
      </c>
      <c r="AP41" s="22">
        <f>('PDA Schedules FY 2020'!K41+'PDA Schedules FY 2020'!Q41)/'PDA Schedules FY 2020'!E41</f>
        <v>0.28407462518021537</v>
      </c>
      <c r="AQ41" s="18">
        <f t="shared" si="16"/>
        <v>145225509.58052611</v>
      </c>
      <c r="AR41" s="18">
        <f t="shared" si="17"/>
        <v>144629249.70793465</v>
      </c>
      <c r="AS41" s="2"/>
      <c r="AT41" s="150"/>
      <c r="BM41"/>
      <c r="BN41" s="141"/>
      <c r="BO41" s="141"/>
      <c r="BP41" s="141"/>
      <c r="BQ41"/>
      <c r="BR41" s="141"/>
      <c r="BS41" s="141"/>
      <c r="BT41" s="42"/>
      <c r="BU41" s="42"/>
      <c r="BV41" s="42"/>
      <c r="BW41" s="4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</row>
    <row r="42" spans="1:214">
      <c r="A42" s="2"/>
      <c r="B42" s="2"/>
      <c r="C42" s="13">
        <v>210044</v>
      </c>
      <c r="D42" s="13" t="s">
        <v>159</v>
      </c>
      <c r="E42" s="14">
        <f>SUMIFS('Final UCC Appr''d FY2022'!M:M,'Final UCC Appr''d FY2022'!A:A,C42)</f>
        <v>523744837.24319875</v>
      </c>
      <c r="F42" s="243">
        <f>(('PDA Schedules FY 2020'!H42+'PDA Schedules FY 2020'!K42)/'PDA Schedules FY 2020'!$E42)</f>
        <v>0.35101142344246139</v>
      </c>
      <c r="G42" s="243">
        <f>'PDA Schedules FY 2020'!L42/'PDA Schedules FY 2020'!$E42</f>
        <v>5.1713524488080101E-2</v>
      </c>
      <c r="H42" s="243">
        <f>'PDA Schedules FY 2020'!M42/'PDA Schedules FY 2020'!$E42</f>
        <v>6.554712533110521E-2</v>
      </c>
      <c r="I42" s="243">
        <f>'PDA Schedules FY 2020'!Q42/'PDA Schedules FY 2020'!$E42</f>
        <v>0.18200411686596685</v>
      </c>
      <c r="J42" s="243">
        <f>'PDA Schedules FY 2020'!R42/'PDA Schedules FY 2020'!$E42</f>
        <v>4.1936495363905854E-4</v>
      </c>
      <c r="K42" s="251">
        <f>SUMIFS(Input!G:G,Input!$A:$A,$C42)</f>
        <v>3.1330552816312966E-2</v>
      </c>
      <c r="L42" s="243">
        <f t="shared" si="27"/>
        <v>0.31839325705607358</v>
      </c>
      <c r="M42" s="260">
        <f>SUMIFS(Input!F:F,Input!A:A,C42)</f>
        <v>1.1035926333106025</v>
      </c>
      <c r="N42" s="15">
        <f>SUMIFS(Input!I:I,Input!$A:$A,$C42)</f>
        <v>3.4389990133356321E-2</v>
      </c>
      <c r="O42" s="243">
        <f t="shared" si="28"/>
        <v>0.31533381973903019</v>
      </c>
      <c r="P42" s="56">
        <f t="shared" si="18"/>
        <v>1.0919674025721842</v>
      </c>
      <c r="Q42" s="422">
        <f t="shared" si="29"/>
        <v>518227715.8007127</v>
      </c>
      <c r="R42" s="2"/>
      <c r="S42" s="57">
        <f t="shared" si="30"/>
        <v>518227715.8007127</v>
      </c>
      <c r="T42" s="346">
        <f t="shared" si="20"/>
        <v>1.0919674025721842</v>
      </c>
      <c r="U42" s="58">
        <f t="shared" si="3"/>
        <v>474581672.10852748</v>
      </c>
      <c r="V42" s="15">
        <f t="shared" si="21"/>
        <v>3.4389990133356321E-2</v>
      </c>
      <c r="W42" s="14">
        <f t="shared" si="4"/>
        <v>16320859.021284005</v>
      </c>
      <c r="X42" s="27">
        <f t="shared" si="22"/>
        <v>4.65E-2</v>
      </c>
      <c r="Y42" s="15">
        <f t="shared" si="5"/>
        <v>1.2110009866643678E-2</v>
      </c>
      <c r="Z42" s="274">
        <f t="shared" si="31"/>
        <v>1.1063042889284109</v>
      </c>
      <c r="AA42" s="14">
        <f t="shared" si="7"/>
        <v>525031739.30048078</v>
      </c>
      <c r="AB42" s="58">
        <f t="shared" si="8"/>
        <v>480812648.86089283</v>
      </c>
      <c r="AC42" s="318">
        <f t="shared" si="9"/>
        <v>6230976.7523653507</v>
      </c>
      <c r="AD42" s="14">
        <f t="shared" si="10"/>
        <v>6230976.7523653507</v>
      </c>
      <c r="AE42" s="318">
        <f t="shared" si="11"/>
        <v>0</v>
      </c>
      <c r="AF42" s="8"/>
      <c r="AG42" s="2"/>
      <c r="AH42" s="15">
        <f t="shared" si="23"/>
        <v>3.4389990133356321E-2</v>
      </c>
      <c r="AI42" s="56">
        <f t="shared" si="24"/>
        <v>1.0919674025721842</v>
      </c>
      <c r="AJ42" s="59">
        <f t="shared" si="26"/>
        <v>4.65E-2</v>
      </c>
      <c r="AK42" s="22">
        <f t="shared" si="25"/>
        <v>4.65E-2</v>
      </c>
      <c r="AL42" s="60">
        <f t="shared" si="12"/>
        <v>8.0889990133356321E-2</v>
      </c>
      <c r="AM42" s="61">
        <f t="shared" si="32"/>
        <v>1.0919674025721842</v>
      </c>
      <c r="AN42" s="18">
        <f t="shared" si="14"/>
        <v>518227715.8007127</v>
      </c>
      <c r="AO42" s="18">
        <f t="shared" si="15"/>
        <v>525031739.30048078</v>
      </c>
      <c r="AP42" s="22">
        <f>('PDA Schedules FY 2020'!K42+'PDA Schedules FY 2020'!Q42)/'PDA Schedules FY 2020'!E42</f>
        <v>0.19139907188532637</v>
      </c>
      <c r="AQ42" s="18">
        <f t="shared" si="16"/>
        <v>99188303.829509094</v>
      </c>
      <c r="AR42" s="18">
        <f t="shared" si="17"/>
        <v>100490587.61245066</v>
      </c>
      <c r="AS42" s="2"/>
      <c r="AT42" s="150"/>
      <c r="BM42"/>
      <c r="BN42" s="141"/>
      <c r="BO42" s="141"/>
      <c r="BP42" s="141"/>
      <c r="BQ42"/>
      <c r="BR42" s="141"/>
      <c r="BS42" s="141"/>
      <c r="BT42" s="42"/>
      <c r="BU42" s="42"/>
      <c r="BV42" s="42"/>
      <c r="BW42" s="4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</row>
    <row r="43" spans="1:214">
      <c r="A43" s="2"/>
      <c r="B43" s="2"/>
      <c r="C43" s="13">
        <v>210045</v>
      </c>
      <c r="D43" s="13" t="s">
        <v>321</v>
      </c>
      <c r="E43" s="14"/>
      <c r="F43" s="243"/>
      <c r="G43" s="243"/>
      <c r="H43" s="243"/>
      <c r="I43" s="243"/>
      <c r="J43" s="243"/>
      <c r="K43" s="251"/>
      <c r="L43" s="243"/>
      <c r="M43" s="260"/>
      <c r="N43" s="15"/>
      <c r="O43" s="243"/>
      <c r="P43" s="56"/>
      <c r="Q43" s="422"/>
      <c r="R43" s="2"/>
      <c r="S43" s="57"/>
      <c r="T43" s="346"/>
      <c r="U43" s="58"/>
      <c r="V43" s="15"/>
      <c r="W43" s="14"/>
      <c r="X43" s="27"/>
      <c r="Y43" s="15"/>
      <c r="Z43" s="274"/>
      <c r="AA43" s="14"/>
      <c r="AB43" s="58"/>
      <c r="AC43" s="318"/>
      <c r="AD43" s="14"/>
      <c r="AE43" s="318"/>
      <c r="AF43" s="8"/>
      <c r="AG43" s="2"/>
      <c r="AH43" s="15"/>
      <c r="AI43" s="56"/>
      <c r="AJ43" s="59"/>
      <c r="AK43" s="22"/>
      <c r="AL43" s="60"/>
      <c r="AM43" s="61"/>
      <c r="AN43" s="18"/>
      <c r="AO43" s="18"/>
      <c r="AP43" s="22"/>
      <c r="AQ43" s="18"/>
      <c r="AR43" s="18"/>
      <c r="AS43" s="2"/>
      <c r="AT43" s="150"/>
      <c r="BM43"/>
      <c r="BN43" s="141"/>
      <c r="BO43" s="141"/>
      <c r="BP43" s="141"/>
      <c r="BQ43"/>
      <c r="BR43" s="141"/>
      <c r="BS43" s="141"/>
      <c r="BT43" s="42"/>
      <c r="BU43" s="42"/>
      <c r="BV43" s="42"/>
      <c r="BW43" s="4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</row>
    <row r="44" spans="1:214">
      <c r="A44" s="2"/>
      <c r="B44" s="2"/>
      <c r="C44" s="13">
        <v>210048</v>
      </c>
      <c r="D44" s="13" t="s">
        <v>160</v>
      </c>
      <c r="E44" s="14">
        <f>SUMIFS('Final UCC Appr''d FY2022'!M:M,'Final UCC Appr''d FY2022'!A:A,C44)</f>
        <v>331022919.27668291</v>
      </c>
      <c r="F44" s="243">
        <f>(('PDA Schedules FY 2020'!H44+'PDA Schedules FY 2020'!K44)/'PDA Schedules FY 2020'!$E44)</f>
        <v>0.37149743755194631</v>
      </c>
      <c r="G44" s="243">
        <f>'PDA Schedules FY 2020'!L44/'PDA Schedules FY 2020'!$E44</f>
        <v>6.8404872046387261E-2</v>
      </c>
      <c r="H44" s="243">
        <f>'PDA Schedules FY 2020'!M44/'PDA Schedules FY 2020'!$E44</f>
        <v>5.0327499696836517E-2</v>
      </c>
      <c r="I44" s="243">
        <f>'PDA Schedules FY 2020'!Q44/'PDA Schedules FY 2020'!$E44</f>
        <v>0.11885289560600423</v>
      </c>
      <c r="J44" s="243">
        <f>'PDA Schedules FY 2020'!R44/'PDA Schedules FY 2020'!$E44</f>
        <v>6.3872393370947465E-3</v>
      </c>
      <c r="K44" s="251">
        <f>SUMIFS(Input!G:G,Input!$A:$A,$C44)</f>
        <v>4.3794929158690453E-2</v>
      </c>
      <c r="L44" s="243">
        <f t="shared" si="27"/>
        <v>0.34712236594013524</v>
      </c>
      <c r="M44" s="260">
        <f>SUMIFS(Input!F:F,Input!A:A,C44)</f>
        <v>1.1025498858374603</v>
      </c>
      <c r="N44" s="15">
        <f>SUMIFS(Input!I:I,Input!$A:$A,$C44)</f>
        <v>4.8240373987029669E-2</v>
      </c>
      <c r="O44" s="243">
        <f t="shared" si="28"/>
        <v>0.34267692111179604</v>
      </c>
      <c r="P44" s="56">
        <f t="shared" si="18"/>
        <v>1.1056128889568477</v>
      </c>
      <c r="Q44" s="422">
        <f t="shared" si="29"/>
        <v>331942536.83535969</v>
      </c>
      <c r="R44" s="2"/>
      <c r="S44" s="57">
        <f t="shared" si="30"/>
        <v>331942536.83535969</v>
      </c>
      <c r="T44" s="346">
        <f t="shared" si="20"/>
        <v>1.1056128889568477</v>
      </c>
      <c r="U44" s="58">
        <f t="shared" si="3"/>
        <v>300233960.86540693</v>
      </c>
      <c r="V44" s="15">
        <f t="shared" si="21"/>
        <v>4.8240373987029669E-2</v>
      </c>
      <c r="W44" s="14">
        <f t="shared" si="4"/>
        <v>14483398.55575446</v>
      </c>
      <c r="X44" s="27">
        <f t="shared" si="22"/>
        <v>4.65E-2</v>
      </c>
      <c r="Y44" s="15">
        <f t="shared" si="5"/>
        <v>-1.7403739870296697E-3</v>
      </c>
      <c r="Z44" s="274">
        <f t="shared" si="31"/>
        <v>1.1035319628028362</v>
      </c>
      <c r="AA44" s="14">
        <f t="shared" si="7"/>
        <v>331317772.13387239</v>
      </c>
      <c r="AB44" s="58">
        <f t="shared" si="8"/>
        <v>299668876.36998576</v>
      </c>
      <c r="AC44" s="318">
        <f t="shared" si="9"/>
        <v>-565084.49542117119</v>
      </c>
      <c r="AD44" s="14">
        <f t="shared" si="10"/>
        <v>0</v>
      </c>
      <c r="AE44" s="318">
        <f t="shared" si="11"/>
        <v>-565084.49542117119</v>
      </c>
      <c r="AF44" s="8"/>
      <c r="AG44" s="2"/>
      <c r="AH44" s="15">
        <f t="shared" si="23"/>
        <v>4.8240373987029669E-2</v>
      </c>
      <c r="AI44" s="56">
        <f t="shared" si="24"/>
        <v>1.1056128889568477</v>
      </c>
      <c r="AJ44" s="59">
        <f t="shared" si="26"/>
        <v>4.65E-2</v>
      </c>
      <c r="AK44" s="22">
        <f t="shared" si="25"/>
        <v>4.65E-2</v>
      </c>
      <c r="AL44" s="60">
        <f t="shared" si="12"/>
        <v>9.4740373987029669E-2</v>
      </c>
      <c r="AM44" s="61">
        <f t="shared" si="32"/>
        <v>1.1056128889568477</v>
      </c>
      <c r="AN44" s="18">
        <f t="shared" si="14"/>
        <v>331942536.83535969</v>
      </c>
      <c r="AO44" s="18">
        <f t="shared" si="15"/>
        <v>331317772.13387239</v>
      </c>
      <c r="AP44" s="22">
        <f>('PDA Schedules FY 2020'!K44+'PDA Schedules FY 2020'!Q44)/'PDA Schedules FY 2020'!E44</f>
        <v>0.17033578170962713</v>
      </c>
      <c r="AQ44" s="18">
        <f t="shared" si="16"/>
        <v>56541691.49452769</v>
      </c>
      <c r="AR44" s="18">
        <f t="shared" si="17"/>
        <v>56435271.710715272</v>
      </c>
      <c r="AS44" s="2"/>
      <c r="AT44" s="150"/>
      <c r="BM44"/>
      <c r="BN44" s="141"/>
      <c r="BO44" s="141"/>
      <c r="BP44" s="141"/>
      <c r="BQ44"/>
      <c r="BR44" s="141"/>
      <c r="BS44" s="141"/>
      <c r="BT44" s="42"/>
      <c r="BU44" s="42"/>
      <c r="BV44" s="42"/>
      <c r="BW44" s="4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</row>
    <row r="45" spans="1:214">
      <c r="A45" s="2"/>
      <c r="B45" s="2"/>
      <c r="C45" s="13">
        <v>210049</v>
      </c>
      <c r="D45" s="13" t="s">
        <v>322</v>
      </c>
      <c r="E45" s="14">
        <f>SUMIFS('Final UCC Appr''d FY2022'!M:M,'Final UCC Appr''d FY2022'!A:A,C45)</f>
        <v>357722109.05228448</v>
      </c>
      <c r="F45" s="243">
        <f>(('PDA Schedules FY 2020'!H45+'PDA Schedules FY 2020'!K45)/'PDA Schedules FY 2020'!$E45)</f>
        <v>0.45626050601641793</v>
      </c>
      <c r="G45" s="243">
        <f>'PDA Schedules FY 2020'!L45/'PDA Schedules FY 2020'!$E45</f>
        <v>3.4476257609729589E-2</v>
      </c>
      <c r="H45" s="243">
        <f>'PDA Schedules FY 2020'!M45/'PDA Schedules FY 2020'!$E45</f>
        <v>5.5374295032264501E-2</v>
      </c>
      <c r="I45" s="243">
        <f>'PDA Schedules FY 2020'!Q45/'PDA Schedules FY 2020'!$E45</f>
        <v>0.14753498533599332</v>
      </c>
      <c r="J45" s="243">
        <f>'PDA Schedules FY 2020'!R45/'PDA Schedules FY 2020'!$E45</f>
        <v>4.7114150906254915E-3</v>
      </c>
      <c r="K45" s="251">
        <f>SUMIFS(Input!G:G,Input!$A:$A,$C45)</f>
        <v>3.9253771972113813E-2</v>
      </c>
      <c r="L45" s="243">
        <f t="shared" si="27"/>
        <v>0.2671001840334809</v>
      </c>
      <c r="M45" s="260">
        <f>SUMIFS(Input!F:F,Input!A:A,C45)</f>
        <v>1.1072617895731318</v>
      </c>
      <c r="N45" s="15">
        <f>SUMIFS(Input!I:I,Input!$A:$A,$C45)</f>
        <v>5.0306292850217059E-2</v>
      </c>
      <c r="O45" s="243">
        <f t="shared" si="28"/>
        <v>0.25604766315537764</v>
      </c>
      <c r="P45" s="56">
        <f t="shared" si="18"/>
        <v>1.1159430564432158</v>
      </c>
      <c r="Q45" s="422">
        <f t="shared" si="29"/>
        <v>360526758.43444133</v>
      </c>
      <c r="R45" s="2"/>
      <c r="S45" s="57">
        <f t="shared" si="30"/>
        <v>360526758.43444133</v>
      </c>
      <c r="T45" s="346">
        <f t="shared" si="20"/>
        <v>1.1159430564432158</v>
      </c>
      <c r="U45" s="58">
        <f t="shared" si="3"/>
        <v>323069135.43019706</v>
      </c>
      <c r="V45" s="15">
        <f t="shared" si="21"/>
        <v>5.0306292850217059E-2</v>
      </c>
      <c r="W45" s="14">
        <f t="shared" si="4"/>
        <v>16252410.537817929</v>
      </c>
      <c r="X45" s="27">
        <f t="shared" si="22"/>
        <v>4.65E-2</v>
      </c>
      <c r="Y45" s="15">
        <f t="shared" si="5"/>
        <v>-3.8062928502170593E-3</v>
      </c>
      <c r="Z45" s="274">
        <f t="shared" si="31"/>
        <v>1.1113170282199378</v>
      </c>
      <c r="AA45" s="14">
        <f t="shared" si="7"/>
        <v>359032231.49587125</v>
      </c>
      <c r="AB45" s="58">
        <f t="shared" si="8"/>
        <v>321729885.2507717</v>
      </c>
      <c r="AC45" s="318">
        <f t="shared" si="9"/>
        <v>-1339250.1794253588</v>
      </c>
      <c r="AD45" s="14">
        <f t="shared" si="10"/>
        <v>0</v>
      </c>
      <c r="AE45" s="318">
        <f t="shared" si="11"/>
        <v>-1339250.1794253588</v>
      </c>
      <c r="AF45" s="8"/>
      <c r="AG45" s="2"/>
      <c r="AH45" s="15">
        <f t="shared" si="23"/>
        <v>5.0306292850217059E-2</v>
      </c>
      <c r="AI45" s="56">
        <f t="shared" si="24"/>
        <v>1.1159430564432158</v>
      </c>
      <c r="AJ45" s="59">
        <f t="shared" si="26"/>
        <v>4.65E-2</v>
      </c>
      <c r="AK45" s="22">
        <f t="shared" si="25"/>
        <v>4.65E-2</v>
      </c>
      <c r="AL45" s="60">
        <f t="shared" si="12"/>
        <v>9.6806292850217052E-2</v>
      </c>
      <c r="AM45" s="61">
        <f t="shared" si="32"/>
        <v>1.1159430564432158</v>
      </c>
      <c r="AN45" s="18">
        <f t="shared" si="14"/>
        <v>360526758.43444133</v>
      </c>
      <c r="AO45" s="18">
        <f t="shared" si="15"/>
        <v>359032231.49587125</v>
      </c>
      <c r="AP45" s="22">
        <f>('PDA Schedules FY 2020'!K45+'PDA Schedules FY 2020'!Q45)/'PDA Schedules FY 2020'!E45</f>
        <v>0.16689964241066149</v>
      </c>
      <c r="AQ45" s="18">
        <f t="shared" si="16"/>
        <v>60171787.062183194</v>
      </c>
      <c r="AR45" s="18">
        <f t="shared" si="17"/>
        <v>59922351.050562747</v>
      </c>
      <c r="AS45" s="2"/>
      <c r="AT45" s="150"/>
      <c r="BM45"/>
      <c r="BN45" s="141"/>
      <c r="BO45" s="141"/>
      <c r="BP45" s="141"/>
      <c r="BQ45"/>
      <c r="BR45" s="141"/>
      <c r="BS45" s="141"/>
      <c r="BT45" s="42"/>
      <c r="BU45" s="42"/>
      <c r="BV45" s="42"/>
      <c r="BW45" s="4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</row>
    <row r="46" spans="1:214">
      <c r="A46" s="2"/>
      <c r="B46" s="2"/>
      <c r="C46" s="13">
        <v>210051</v>
      </c>
      <c r="D46" s="13" t="s">
        <v>323</v>
      </c>
      <c r="E46" s="14">
        <f>SUMIFS('Final UCC Appr''d FY2022'!M:M,'Final UCC Appr''d FY2022'!A:A,C46)</f>
        <v>289962202.36801493</v>
      </c>
      <c r="F46" s="243">
        <f>(('PDA Schedules FY 2020'!H46+'PDA Schedules FY 2020'!K46)/'PDA Schedules FY 2020'!$E46)</f>
        <v>0.44229843396778834</v>
      </c>
      <c r="G46" s="243">
        <f>'PDA Schedules FY 2020'!L46/'PDA Schedules FY 2020'!$E46</f>
        <v>7.1088568511804492E-2</v>
      </c>
      <c r="H46" s="243">
        <f>'PDA Schedules FY 2020'!M46/'PDA Schedules FY 2020'!$E46</f>
        <v>7.6928774182970061E-2</v>
      </c>
      <c r="I46" s="243">
        <f>'PDA Schedules FY 2020'!Q46/'PDA Schedules FY 2020'!$E46</f>
        <v>0.19674779484913954</v>
      </c>
      <c r="J46" s="243">
        <f>'PDA Schedules FY 2020'!R46/'PDA Schedules FY 2020'!$E46</f>
        <v>3.132822220486635E-3</v>
      </c>
      <c r="K46" s="251">
        <f>SUMIFS(Input!G:G,Input!$A:$A,$C46)</f>
        <v>6.6660986946555992E-2</v>
      </c>
      <c r="L46" s="243">
        <f t="shared" si="27"/>
        <v>0.14627544154174166</v>
      </c>
      <c r="M46" s="260">
        <f>SUMIFS(Input!F:F,Input!A:A,C46)</f>
        <v>1.1096984548833317</v>
      </c>
      <c r="N46" s="15">
        <f>SUMIFS(Input!I:I,Input!$A:$A,$C46)</f>
        <v>6.594593523482517E-2</v>
      </c>
      <c r="O46" s="243">
        <f t="shared" si="28"/>
        <v>0.14699049325347247</v>
      </c>
      <c r="P46" s="56">
        <f t="shared" si="18"/>
        <v>1.1380358111428883</v>
      </c>
      <c r="Q46" s="422">
        <f t="shared" si="29"/>
        <v>297366702.38705111</v>
      </c>
      <c r="R46" s="2"/>
      <c r="S46" s="57">
        <f t="shared" si="30"/>
        <v>297366702.38705111</v>
      </c>
      <c r="T46" s="346">
        <f t="shared" si="20"/>
        <v>1.1380358111428883</v>
      </c>
      <c r="U46" s="58">
        <f t="shared" si="3"/>
        <v>261298194.20042366</v>
      </c>
      <c r="V46" s="15">
        <f t="shared" si="21"/>
        <v>6.594593523482517E-2</v>
      </c>
      <c r="W46" s="14">
        <f t="shared" si="4"/>
        <v>17231553.791717909</v>
      </c>
      <c r="X46" s="27">
        <f t="shared" si="22"/>
        <v>4.65E-2</v>
      </c>
      <c r="Y46" s="15">
        <f t="shared" si="5"/>
        <v>-1.9445935234825171E-2</v>
      </c>
      <c r="Z46" s="274">
        <f t="shared" si="31"/>
        <v>1.113878496328909</v>
      </c>
      <c r="AA46" s="14">
        <f t="shared" si="7"/>
        <v>291054439.64942718</v>
      </c>
      <c r="AB46" s="58">
        <f t="shared" si="8"/>
        <v>255751564.93285716</v>
      </c>
      <c r="AC46" s="318">
        <f t="shared" si="9"/>
        <v>-5546629.2675665021</v>
      </c>
      <c r="AD46" s="14">
        <f t="shared" si="10"/>
        <v>0</v>
      </c>
      <c r="AE46" s="318">
        <f t="shared" si="11"/>
        <v>-5546629.2675665021</v>
      </c>
      <c r="AF46" s="8"/>
      <c r="AG46" s="2"/>
      <c r="AH46" s="15">
        <f t="shared" si="23"/>
        <v>6.594593523482517E-2</v>
      </c>
      <c r="AI46" s="56">
        <f t="shared" si="24"/>
        <v>1.1380358111428883</v>
      </c>
      <c r="AJ46" s="59">
        <f t="shared" si="26"/>
        <v>4.65E-2</v>
      </c>
      <c r="AK46" s="22">
        <f t="shared" si="25"/>
        <v>4.65E-2</v>
      </c>
      <c r="AL46" s="60">
        <f t="shared" si="12"/>
        <v>0.11244593523482517</v>
      </c>
      <c r="AM46" s="61">
        <f t="shared" si="32"/>
        <v>1.1380358111428883</v>
      </c>
      <c r="AN46" s="18">
        <f t="shared" si="14"/>
        <v>297366702.38705111</v>
      </c>
      <c r="AO46" s="18">
        <f t="shared" si="15"/>
        <v>291054439.64942718</v>
      </c>
      <c r="AP46" s="22">
        <f>('PDA Schedules FY 2020'!K46+'PDA Schedules FY 2020'!Q46)/'PDA Schedules FY 2020'!E46</f>
        <v>0.25373048734355352</v>
      </c>
      <c r="AQ46" s="18">
        <f t="shared" si="16"/>
        <v>75450998.316411912</v>
      </c>
      <c r="AR46" s="18">
        <f t="shared" si="17"/>
        <v>73849384.815754041</v>
      </c>
      <c r="AS46" s="2"/>
      <c r="AT46" s="150"/>
      <c r="BM46"/>
      <c r="BN46" s="141"/>
      <c r="BO46" s="141"/>
      <c r="BP46" s="141"/>
      <c r="BQ46"/>
      <c r="BR46" s="141"/>
      <c r="BS46" s="141"/>
      <c r="BT46" s="42"/>
      <c r="BU46" s="42"/>
      <c r="BV46" s="42"/>
      <c r="BW46" s="4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</row>
    <row r="47" spans="1:214">
      <c r="A47" s="2"/>
      <c r="B47" s="2"/>
      <c r="C47" s="13">
        <v>210056</v>
      </c>
      <c r="D47" s="13" t="s">
        <v>325</v>
      </c>
      <c r="E47" s="14">
        <f>SUMIFS('Final UCC Appr''d FY2022'!M:M,'Final UCC Appr''d FY2022'!A:A,C47)</f>
        <v>282621965.4708584</v>
      </c>
      <c r="F47" s="243">
        <f>(('PDA Schedules FY 2020'!H48+'PDA Schedules FY 2020'!K48)/'PDA Schedules FY 2020'!$E48)</f>
        <v>0.53305547164859246</v>
      </c>
      <c r="G47" s="243">
        <f>'PDA Schedules FY 2020'!L48/'PDA Schedules FY 2020'!$E48</f>
        <v>3.3945453258802577E-2</v>
      </c>
      <c r="H47" s="243">
        <f>'PDA Schedules FY 2020'!M48/'PDA Schedules FY 2020'!$E48</f>
        <v>3.895843182019814E-2</v>
      </c>
      <c r="I47" s="243">
        <f>'PDA Schedules FY 2020'!Q48/'PDA Schedules FY 2020'!$E48</f>
        <v>0.25386176812323091</v>
      </c>
      <c r="J47" s="243">
        <f>'PDA Schedules FY 2020'!R48/'PDA Schedules FY 2020'!$E48</f>
        <v>1.4773873036771454E-2</v>
      </c>
      <c r="K47" s="252">
        <f>SUMIFS(Input!G:G,Input!$A:$A,$C47)</f>
        <v>4.4604302977159276E-2</v>
      </c>
      <c r="L47" s="243">
        <f t="shared" si="27"/>
        <v>9.5574572172016703E-2</v>
      </c>
      <c r="M47" s="260">
        <f>SUMIFS(Input!F:F,Input!A:A,C47)</f>
        <v>1.1217650008286368</v>
      </c>
      <c r="N47" s="15">
        <f>SUMIFS(Input!I:I,Input!$A:$A,$C47)</f>
        <v>4.518746855864423E-2</v>
      </c>
      <c r="O47" s="243">
        <f t="shared" si="28"/>
        <v>9.4991406590531735E-2</v>
      </c>
      <c r="P47" s="56">
        <f t="shared" si="18"/>
        <v>1.1229877584575503</v>
      </c>
      <c r="Q47" s="422">
        <f t="shared" si="29"/>
        <v>282930031.92338878</v>
      </c>
      <c r="R47" s="2"/>
      <c r="S47" s="57">
        <f t="shared" si="30"/>
        <v>282930031.92338878</v>
      </c>
      <c r="T47" s="346">
        <f t="shared" si="20"/>
        <v>1.1229877584575503</v>
      </c>
      <c r="U47" s="58">
        <f t="shared" si="3"/>
        <v>251944003.65681612</v>
      </c>
      <c r="V47" s="15">
        <f t="shared" si="21"/>
        <v>4.518746855864423E-2</v>
      </c>
      <c r="W47" s="14">
        <f t="shared" si="4"/>
        <v>11384711.743781326</v>
      </c>
      <c r="X47" s="27">
        <f t="shared" si="22"/>
        <v>4.65E-2</v>
      </c>
      <c r="Y47" s="15">
        <f t="shared" si="5"/>
        <v>1.3125314413557701E-3</v>
      </c>
      <c r="Z47" s="274">
        <f t="shared" si="31"/>
        <v>1.1246122356478365</v>
      </c>
      <c r="AA47" s="14">
        <f t="shared" si="7"/>
        <v>283339309.21055865</v>
      </c>
      <c r="AB47" s="58">
        <f t="shared" si="8"/>
        <v>252308457.57368875</v>
      </c>
      <c r="AC47" s="318">
        <f t="shared" si="9"/>
        <v>364453.91687262058</v>
      </c>
      <c r="AD47" s="14">
        <f t="shared" si="10"/>
        <v>364453.91687262058</v>
      </c>
      <c r="AE47" s="318">
        <f t="shared" si="11"/>
        <v>0</v>
      </c>
      <c r="AF47" s="8"/>
      <c r="AG47" s="2"/>
      <c r="AH47" s="15">
        <f t="shared" si="23"/>
        <v>4.518746855864423E-2</v>
      </c>
      <c r="AI47" s="56">
        <f t="shared" si="24"/>
        <v>1.1229877584575503</v>
      </c>
      <c r="AJ47" s="59">
        <f t="shared" si="26"/>
        <v>4.65E-2</v>
      </c>
      <c r="AK47" s="22">
        <f t="shared" si="25"/>
        <v>4.65E-2</v>
      </c>
      <c r="AL47" s="60">
        <f t="shared" si="12"/>
        <v>9.1687468558644236E-2</v>
      </c>
      <c r="AM47" s="61">
        <f t="shared" si="32"/>
        <v>1.1229877584575503</v>
      </c>
      <c r="AN47" s="18">
        <f t="shared" si="14"/>
        <v>282930031.92338878</v>
      </c>
      <c r="AO47" s="18">
        <f t="shared" si="15"/>
        <v>283339309.21055865</v>
      </c>
      <c r="AP47" s="22">
        <f>('PDA Schedules FY 2020'!K48+'PDA Schedules FY 2020'!Q48)/'PDA Schedules FY 2020'!E48</f>
        <v>0.30173860094708221</v>
      </c>
      <c r="AQ47" s="18">
        <f t="shared" si="16"/>
        <v>85370911.998476639</v>
      </c>
      <c r="AR47" s="18">
        <f t="shared" si="17"/>
        <v>85494406.754506692</v>
      </c>
      <c r="AT47" s="150"/>
      <c r="BM47"/>
      <c r="BN47" s="141"/>
      <c r="BO47" s="141"/>
      <c r="BP47" s="141"/>
      <c r="BQ47"/>
      <c r="BR47" s="141"/>
      <c r="BS47" s="141"/>
      <c r="BT47" s="42"/>
      <c r="BU47" s="42"/>
      <c r="BV47" s="42"/>
      <c r="BW47" s="4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</row>
    <row r="48" spans="1:214">
      <c r="A48" s="2"/>
      <c r="B48" s="2"/>
      <c r="C48" s="13">
        <v>210057</v>
      </c>
      <c r="D48" s="13" t="s">
        <v>326</v>
      </c>
      <c r="E48" s="14">
        <f>SUMIFS('Final UCC Appr''d FY2022'!M:M,'Final UCC Appr''d FY2022'!A:A,C48)</f>
        <v>502321207.87704998</v>
      </c>
      <c r="F48" s="243">
        <f>(('PDA Schedules FY 2020'!H49+'PDA Schedules FY 2020'!K49)/'PDA Schedules FY 2020'!$E49)</f>
        <v>0.42350605002245428</v>
      </c>
      <c r="G48" s="243">
        <f>'PDA Schedules FY 2020'!L49/'PDA Schedules FY 2020'!$E49</f>
        <v>0.11799334441683987</v>
      </c>
      <c r="H48" s="243">
        <f>'PDA Schedules FY 2020'!M49/'PDA Schedules FY 2020'!$E49</f>
        <v>8.192591485818583E-2</v>
      </c>
      <c r="I48" s="243">
        <f>'PDA Schedules FY 2020'!Q49/'PDA Schedules FY 2020'!$E49</f>
        <v>0.13627763614895</v>
      </c>
      <c r="J48" s="243">
        <f>'PDA Schedules FY 2020'!R49/'PDA Schedules FY 2020'!$E49</f>
        <v>1.493944709051631E-2</v>
      </c>
      <c r="K48" s="251">
        <f>SUMIFS(Input!G:G,Input!$A:$A,$C48)</f>
        <v>5.4501659957042516E-2</v>
      </c>
      <c r="L48" s="243">
        <f t="shared" si="27"/>
        <v>0.18579539459652761</v>
      </c>
      <c r="M48" s="260">
        <f>SUMIFS(Input!F:F,Input!A:A,C48)</f>
        <v>1.1050573495968667</v>
      </c>
      <c r="N48" s="15">
        <f>SUMIFS(Input!I:I,Input!$A:$A,$C48)</f>
        <v>6.152099075081429E-2</v>
      </c>
      <c r="O48" s="243">
        <f t="shared" si="28"/>
        <v>0.17877606380275579</v>
      </c>
      <c r="P48" s="56">
        <f t="shared" si="18"/>
        <v>1.1271314224484885</v>
      </c>
      <c r="Q48" s="422">
        <f t="shared" si="29"/>
        <v>512355325.05806118</v>
      </c>
      <c r="R48" s="2"/>
      <c r="S48" s="57">
        <f t="shared" si="30"/>
        <v>512355325.05806118</v>
      </c>
      <c r="T48" s="346">
        <f t="shared" si="20"/>
        <v>1.1271314224484885</v>
      </c>
      <c r="U48" s="58">
        <f t="shared" si="3"/>
        <v>454565736.39395326</v>
      </c>
      <c r="V48" s="15">
        <f t="shared" si="21"/>
        <v>6.152099075081429E-2</v>
      </c>
      <c r="W48" s="14">
        <f t="shared" si="4"/>
        <v>27965334.464329485</v>
      </c>
      <c r="X48" s="27">
        <f t="shared" si="22"/>
        <v>4.65E-2</v>
      </c>
      <c r="Y48" s="15">
        <f t="shared" si="5"/>
        <v>-1.5020990750814291E-2</v>
      </c>
      <c r="Z48" s="274">
        <f t="shared" si="31"/>
        <v>1.1087352668787616</v>
      </c>
      <c r="AA48" s="14">
        <f t="shared" si="7"/>
        <v>503993063.05469054</v>
      </c>
      <c r="AB48" s="58">
        <f t="shared" si="8"/>
        <v>447146670.75810647</v>
      </c>
      <c r="AC48" s="318">
        <f t="shared" si="9"/>
        <v>-7419065.6358467937</v>
      </c>
      <c r="AD48" s="14">
        <f t="shared" si="10"/>
        <v>0</v>
      </c>
      <c r="AE48" s="318">
        <f t="shared" si="11"/>
        <v>-7419065.6358467937</v>
      </c>
      <c r="AF48" s="8"/>
      <c r="AG48" s="2"/>
      <c r="AH48" s="15">
        <f t="shared" si="23"/>
        <v>6.152099075081429E-2</v>
      </c>
      <c r="AI48" s="56">
        <f t="shared" si="24"/>
        <v>1.1271314224484885</v>
      </c>
      <c r="AJ48" s="59">
        <f t="shared" si="26"/>
        <v>4.65E-2</v>
      </c>
      <c r="AK48" s="22">
        <f t="shared" si="25"/>
        <v>4.65E-2</v>
      </c>
      <c r="AL48" s="60">
        <f t="shared" si="12"/>
        <v>0.10802099075081428</v>
      </c>
      <c r="AM48" s="61">
        <f t="shared" si="32"/>
        <v>1.1271314224484885</v>
      </c>
      <c r="AN48" s="18">
        <f t="shared" si="14"/>
        <v>512355325.05806118</v>
      </c>
      <c r="AO48" s="18">
        <f t="shared" si="15"/>
        <v>503993063.05469054</v>
      </c>
      <c r="AP48" s="22">
        <f>('PDA Schedules FY 2020'!K49+'PDA Schedules FY 2020'!Q49)/'PDA Schedules FY 2020'!E49</f>
        <v>0.23389974983082865</v>
      </c>
      <c r="AQ48" s="18">
        <f t="shared" si="16"/>
        <v>119839782.3555734</v>
      </c>
      <c r="AR48" s="18">
        <f t="shared" si="17"/>
        <v>117883851.36496517</v>
      </c>
      <c r="AT48" s="150"/>
      <c r="BM48"/>
      <c r="BN48" s="141"/>
      <c r="BO48" s="141"/>
      <c r="BP48" s="141"/>
      <c r="BQ48"/>
      <c r="BR48" s="141"/>
      <c r="BS48" s="141"/>
      <c r="BT48" s="42"/>
      <c r="BU48" s="42"/>
      <c r="BV48" s="42"/>
      <c r="BW48" s="4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</row>
    <row r="49" spans="1:214" s="255" customFormat="1">
      <c r="A49" s="246"/>
      <c r="B49" s="246"/>
      <c r="C49" s="279">
        <v>210058</v>
      </c>
      <c r="D49" s="279" t="s">
        <v>347</v>
      </c>
      <c r="E49" s="280">
        <f>SUMIFS('Final UCC Appr''d FY2022'!M:M,'Final UCC Appr''d FY2022'!A:A,C49)</f>
        <v>149215271.68746415</v>
      </c>
      <c r="F49" s="251">
        <f>(('PDA Schedules FY 2020'!H50+'PDA Schedules FY 2020'!K50)/'PDA Schedules FY 2020'!$E50)</f>
        <v>0.35684517854049214</v>
      </c>
      <c r="G49" s="251">
        <f>'PDA Schedules FY 2020'!L50/'PDA Schedules FY 2020'!$E50</f>
        <v>4.7902057715566673E-2</v>
      </c>
      <c r="H49" s="251">
        <f>'PDA Schedules FY 2020'!M50/'PDA Schedules FY 2020'!$E50</f>
        <v>6.9293067979558351E-2</v>
      </c>
      <c r="I49" s="251">
        <f>'PDA Schedules FY 2020'!Q50/'PDA Schedules FY 2020'!$E50</f>
        <v>0.24142742745630566</v>
      </c>
      <c r="J49" s="251">
        <f>'PDA Schedules FY 2020'!R50/'PDA Schedules FY 2020'!$E50</f>
        <v>4.2711089650932944E-3</v>
      </c>
      <c r="K49" s="251">
        <f>SUMIFS(Input!G:G,Input!$A:$A,$C49)</f>
        <v>4.4929172599797396E-2</v>
      </c>
      <c r="L49" s="251">
        <f t="shared" si="27"/>
        <v>0.23960309570827976</v>
      </c>
      <c r="M49" s="260">
        <f>SUMIFS(Input!F:F,Input!A:A,C49)</f>
        <v>1.1074274776874236</v>
      </c>
      <c r="N49" s="253">
        <f>SUMIFS(Input!I:I,Input!$A:$A,$C49)</f>
        <v>3.953183482305582E-2</v>
      </c>
      <c r="O49" s="251">
        <f t="shared" si="28"/>
        <v>0.24500043348502143</v>
      </c>
      <c r="P49" s="262">
        <f t="shared" si="18"/>
        <v>1.1025940790340523</v>
      </c>
      <c r="Q49" s="423">
        <f t="shared" si="29"/>
        <v>148564017.39969563</v>
      </c>
      <c r="R49" s="2"/>
      <c r="S49" s="281">
        <f t="shared" si="30"/>
        <v>148564017.39969563</v>
      </c>
      <c r="T49" s="347">
        <f t="shared" si="20"/>
        <v>1.1025940790340523</v>
      </c>
      <c r="U49" s="282">
        <f>S49/T49</f>
        <v>134740445.48638231</v>
      </c>
      <c r="V49" s="253">
        <f t="shared" si="21"/>
        <v>3.953183482305582E-2</v>
      </c>
      <c r="W49" s="280">
        <f>V49*U49</f>
        <v>5326537.0349526228</v>
      </c>
      <c r="X49" s="283">
        <f t="shared" si="22"/>
        <v>4.65E-2</v>
      </c>
      <c r="Y49" s="253">
        <f>X49-V49</f>
        <v>6.9681651769441799E-3</v>
      </c>
      <c r="Z49" s="274">
        <f t="shared" si="31"/>
        <v>1.1109589293220352</v>
      </c>
      <c r="AA49" s="280">
        <f>S49/T49*Z49</f>
        <v>149691101.05392534</v>
      </c>
      <c r="AB49" s="282">
        <f>AA49/T49</f>
        <v>135762656.35769147</v>
      </c>
      <c r="AC49" s="319">
        <f>(AB49-U49)</f>
        <v>1022210.8713091612</v>
      </c>
      <c r="AD49" s="280">
        <f>IF(AC49&gt;0,AC49,0)</f>
        <v>1022210.8713091612</v>
      </c>
      <c r="AE49" s="319">
        <f>AC49-AD49</f>
        <v>0</v>
      </c>
      <c r="AF49" s="284"/>
      <c r="AG49" s="246"/>
      <c r="AH49" s="253">
        <f t="shared" si="23"/>
        <v>3.953183482305582E-2</v>
      </c>
      <c r="AI49" s="262">
        <f t="shared" si="24"/>
        <v>1.1025940790340523</v>
      </c>
      <c r="AJ49" s="285">
        <f>X49</f>
        <v>4.65E-2</v>
      </c>
      <c r="AK49" s="277">
        <f t="shared" si="25"/>
        <v>4.65E-2</v>
      </c>
      <c r="AL49" s="286">
        <f>AH49+AK49</f>
        <v>8.6031834823055819E-2</v>
      </c>
      <c r="AM49" s="287">
        <f t="shared" si="32"/>
        <v>1.1025940790340523</v>
      </c>
      <c r="AN49" s="256">
        <f>S49</f>
        <v>148564017.39969563</v>
      </c>
      <c r="AO49" s="256">
        <f>AA49</f>
        <v>149691101.05392534</v>
      </c>
      <c r="AP49" s="277">
        <f>('PDA Schedules FY 2020'!K50+'PDA Schedules FY 2020'!Q50)/'PDA Schedules FY 2020'!E50</f>
        <v>0.29539317930681058</v>
      </c>
      <c r="AQ49" s="256">
        <f>AN49*AP49</f>
        <v>43884797.430288419</v>
      </c>
      <c r="AR49" s="256">
        <f>AO49*AP49</f>
        <v>44217730.25425607</v>
      </c>
      <c r="AT49" s="150"/>
      <c r="BM49" s="167"/>
      <c r="BN49" s="288"/>
      <c r="BO49" s="288"/>
      <c r="BP49" s="288"/>
      <c r="BQ49" s="167"/>
      <c r="BR49" s="288"/>
      <c r="BS49" s="288"/>
      <c r="BT49" s="289"/>
      <c r="BU49" s="289"/>
      <c r="BV49" s="289"/>
      <c r="BW49" s="289"/>
      <c r="BX49" s="246"/>
      <c r="BY49" s="246"/>
      <c r="BZ49" s="246"/>
      <c r="CA49" s="246"/>
      <c r="CB49" s="246"/>
      <c r="CC49" s="246"/>
      <c r="CD49" s="246"/>
      <c r="CE49" s="246"/>
      <c r="CF49" s="246"/>
      <c r="CG49" s="246"/>
      <c r="CH49" s="246"/>
      <c r="CI49" s="246"/>
      <c r="CJ49" s="246"/>
      <c r="CK49" s="246"/>
      <c r="CL49" s="246"/>
      <c r="CM49" s="246"/>
      <c r="CN49" s="246"/>
      <c r="CO49" s="246"/>
      <c r="CP49" s="246"/>
      <c r="CQ49" s="246"/>
      <c r="CR49" s="246"/>
      <c r="CS49" s="246"/>
      <c r="CT49" s="246"/>
      <c r="CU49" s="246"/>
      <c r="CV49" s="246"/>
      <c r="CW49" s="246"/>
      <c r="CX49" s="246"/>
      <c r="CY49" s="246"/>
      <c r="CZ49" s="246"/>
      <c r="DA49" s="246"/>
      <c r="DB49" s="246"/>
      <c r="DC49" s="246"/>
      <c r="DD49" s="246"/>
      <c r="DE49" s="246"/>
      <c r="DF49" s="246"/>
      <c r="DG49" s="246"/>
      <c r="DH49" s="246"/>
      <c r="DI49" s="246"/>
      <c r="DJ49" s="246"/>
      <c r="DK49" s="246"/>
      <c r="DL49" s="246"/>
      <c r="DM49" s="246"/>
      <c r="DN49" s="246"/>
      <c r="DO49" s="246"/>
      <c r="DP49" s="246"/>
      <c r="DQ49" s="246"/>
      <c r="DR49" s="246"/>
      <c r="DS49" s="246"/>
      <c r="DT49" s="246"/>
      <c r="DU49" s="246"/>
      <c r="DV49" s="246"/>
      <c r="DW49" s="246"/>
      <c r="DX49" s="246"/>
      <c r="DY49" s="246"/>
      <c r="DZ49" s="246"/>
      <c r="EA49" s="246"/>
      <c r="EB49" s="246"/>
      <c r="EC49" s="246"/>
      <c r="ED49" s="246"/>
      <c r="EE49" s="246"/>
      <c r="EF49" s="246"/>
      <c r="EG49" s="246"/>
      <c r="EH49" s="246"/>
      <c r="EI49" s="246"/>
      <c r="EJ49" s="246"/>
      <c r="EK49" s="246"/>
      <c r="EL49" s="246"/>
      <c r="EM49" s="246"/>
      <c r="EN49" s="246"/>
      <c r="EO49" s="246"/>
      <c r="EP49" s="246"/>
      <c r="EQ49" s="246"/>
      <c r="ER49" s="246"/>
      <c r="ES49" s="246"/>
      <c r="ET49" s="246"/>
      <c r="EU49" s="246"/>
      <c r="EV49" s="246"/>
      <c r="EW49" s="246"/>
      <c r="EX49" s="246"/>
      <c r="EY49" s="246"/>
      <c r="EZ49" s="246"/>
      <c r="FA49" s="246"/>
      <c r="FB49" s="246"/>
      <c r="FC49" s="246"/>
      <c r="FD49" s="246"/>
      <c r="FE49" s="246"/>
      <c r="FF49" s="246"/>
      <c r="FG49" s="246"/>
      <c r="FH49" s="246"/>
      <c r="FI49" s="246"/>
      <c r="FJ49" s="246"/>
      <c r="FK49" s="246"/>
      <c r="FL49" s="246"/>
      <c r="FM49" s="246"/>
      <c r="FN49" s="246"/>
      <c r="FO49" s="246"/>
      <c r="FP49" s="246"/>
      <c r="FQ49" s="246"/>
      <c r="FR49" s="246"/>
      <c r="FS49" s="246"/>
      <c r="FT49" s="246"/>
      <c r="FU49" s="246"/>
      <c r="FV49" s="246"/>
      <c r="FW49" s="246"/>
      <c r="FX49" s="246"/>
      <c r="FY49" s="246"/>
      <c r="FZ49" s="246"/>
      <c r="GA49" s="246"/>
      <c r="GB49" s="246"/>
      <c r="GC49" s="246"/>
      <c r="GD49" s="246"/>
      <c r="GE49" s="246"/>
      <c r="GF49" s="246"/>
      <c r="GG49" s="246"/>
      <c r="GH49" s="246"/>
      <c r="GI49" s="246"/>
      <c r="GJ49" s="246"/>
      <c r="GK49" s="246"/>
      <c r="GL49" s="246"/>
      <c r="GM49" s="246"/>
      <c r="GN49" s="246"/>
      <c r="GO49" s="246"/>
      <c r="GP49" s="246"/>
      <c r="GQ49" s="246"/>
      <c r="GR49" s="246"/>
      <c r="GS49" s="246"/>
      <c r="GT49" s="246"/>
      <c r="GU49" s="246"/>
      <c r="GV49" s="246"/>
      <c r="GW49" s="246"/>
      <c r="GX49" s="246"/>
      <c r="GY49" s="246"/>
      <c r="GZ49" s="246"/>
      <c r="HA49" s="246"/>
      <c r="HB49" s="246"/>
      <c r="HC49" s="246"/>
      <c r="HD49" s="246"/>
      <c r="HE49" s="246"/>
      <c r="HF49" s="246"/>
    </row>
    <row r="50" spans="1:214" s="255" customFormat="1">
      <c r="A50" s="246"/>
      <c r="B50" s="246"/>
      <c r="C50" s="279">
        <v>210060</v>
      </c>
      <c r="D50" s="279" t="s">
        <v>327</v>
      </c>
      <c r="E50" s="280">
        <f>SUMIFS('Final UCC Appr''d FY2022'!M:M,'Final UCC Appr''d FY2022'!A:A,C50)</f>
        <v>60883212.388002254</v>
      </c>
      <c r="F50" s="251">
        <f>(('PDA Schedules FY 2020'!H51+'PDA Schedules FY 2020'!K51)/'PDA Schedules FY 2020'!$E51)</f>
        <v>0.39799530083074602</v>
      </c>
      <c r="G50" s="251">
        <f>'PDA Schedules FY 2020'!L51/'PDA Schedules FY 2020'!$E51</f>
        <v>5.7671505692148468E-2</v>
      </c>
      <c r="H50" s="251">
        <f>'PDA Schedules FY 2020'!M51/'PDA Schedules FY 2020'!$E51</f>
        <v>8.3427167538437152E-2</v>
      </c>
      <c r="I50" s="251">
        <f>'PDA Schedules FY 2020'!Q51/'PDA Schedules FY 2020'!$E51</f>
        <v>0.23372192852414381</v>
      </c>
      <c r="J50" s="251">
        <f>'PDA Schedules FY 2020'!R51/'PDA Schedules FY 2020'!$E51</f>
        <v>8.5258780640168584E-3</v>
      </c>
      <c r="K50" s="251">
        <f>SUMIFS(Input!G:G,Input!$A:$A,$C50)</f>
        <v>8.8398485189205317E-2</v>
      </c>
      <c r="L50" s="251">
        <f t="shared" si="27"/>
        <v>0.13878561222531915</v>
      </c>
      <c r="M50" s="260">
        <f>SUMIFS(Input!F:F,Input!A:A,C50)</f>
        <v>1.1175211412810639</v>
      </c>
      <c r="N50" s="253">
        <f>SUMIFS(Input!I:I,Input!$A:$A,$C50)</f>
        <v>7.9492391683414848E-2</v>
      </c>
      <c r="O50" s="251">
        <f t="shared" si="28"/>
        <v>0.14769170573110968</v>
      </c>
      <c r="P50" s="262">
        <f t="shared" si="18"/>
        <v>1.1550346697481904</v>
      </c>
      <c r="Q50" s="423">
        <f t="shared" si="29"/>
        <v>62926971.594623834</v>
      </c>
      <c r="R50" s="2"/>
      <c r="S50" s="281">
        <f t="shared" si="30"/>
        <v>62926971.594623834</v>
      </c>
      <c r="T50" s="347">
        <f t="shared" si="20"/>
        <v>1.1550346697481904</v>
      </c>
      <c r="U50" s="282">
        <f>S50/T50</f>
        <v>54480591.13960845</v>
      </c>
      <c r="V50" s="253">
        <f t="shared" si="21"/>
        <v>7.9492391683414848E-2</v>
      </c>
      <c r="W50" s="280">
        <f>V50*U50</f>
        <v>4330792.4900137354</v>
      </c>
      <c r="X50" s="283">
        <f t="shared" si="22"/>
        <v>4.65E-2</v>
      </c>
      <c r="Y50" s="253">
        <f>X50-V50</f>
        <v>-3.2992391683414848E-2</v>
      </c>
      <c r="Z50" s="274">
        <f t="shared" si="31"/>
        <v>1.1134525513853033</v>
      </c>
      <c r="AA50" s="280">
        <f>S50/T50*Z50</f>
        <v>60661553.20537658</v>
      </c>
      <c r="AB50" s="282">
        <f>AA50/T50</f>
        <v>52519248.810601875</v>
      </c>
      <c r="AC50" s="319">
        <f>(AB50-U50)</f>
        <v>-1961342.329006575</v>
      </c>
      <c r="AD50" s="280">
        <f>IF(AC50&gt;0,AC50,0)</f>
        <v>0</v>
      </c>
      <c r="AE50" s="319">
        <f>AC50-AD50</f>
        <v>-1961342.329006575</v>
      </c>
      <c r="AF50" s="284"/>
      <c r="AG50" s="246"/>
      <c r="AH50" s="253">
        <f t="shared" si="23"/>
        <v>7.9492391683414848E-2</v>
      </c>
      <c r="AI50" s="262">
        <f t="shared" si="24"/>
        <v>1.1550346697481904</v>
      </c>
      <c r="AJ50" s="285">
        <f>X50</f>
        <v>4.65E-2</v>
      </c>
      <c r="AK50" s="277">
        <f t="shared" si="25"/>
        <v>4.65E-2</v>
      </c>
      <c r="AL50" s="286">
        <f>AH50+AK50</f>
        <v>0.12599239168341486</v>
      </c>
      <c r="AM50" s="287">
        <f t="shared" si="32"/>
        <v>1.1550346697481904</v>
      </c>
      <c r="AN50" s="256">
        <f>S50</f>
        <v>62926971.594623834</v>
      </c>
      <c r="AO50" s="256">
        <f>AA50</f>
        <v>60661553.20537658</v>
      </c>
      <c r="AP50" s="277">
        <f>('PDA Schedules FY 2020'!K51+'PDA Schedules FY 2020'!Q51)/'PDA Schedules FY 2020'!E51</f>
        <v>0.27122666965026615</v>
      </c>
      <c r="AQ50" s="256">
        <f>AN50*AP50</f>
        <v>17067472.936786719</v>
      </c>
      <c r="AR50" s="256">
        <f>AO50*AP50</f>
        <v>16453031.051706718</v>
      </c>
      <c r="AT50" s="150"/>
      <c r="BM50" s="167"/>
      <c r="BN50" s="288"/>
      <c r="BO50" s="288"/>
      <c r="BP50" s="288"/>
      <c r="BQ50" s="167"/>
      <c r="BR50" s="288"/>
      <c r="BS50" s="288"/>
      <c r="BT50" s="289"/>
      <c r="BU50" s="289"/>
      <c r="BV50" s="289"/>
      <c r="BW50" s="289"/>
      <c r="BX50" s="246"/>
      <c r="BY50" s="246"/>
      <c r="BZ50" s="246"/>
      <c r="CA50" s="246"/>
      <c r="CB50" s="246"/>
      <c r="CC50" s="246"/>
      <c r="CD50" s="246"/>
      <c r="CE50" s="246"/>
      <c r="CF50" s="246"/>
      <c r="CG50" s="246"/>
      <c r="CH50" s="246"/>
      <c r="CI50" s="246"/>
      <c r="CJ50" s="246"/>
      <c r="CK50" s="246"/>
      <c r="CL50" s="246"/>
      <c r="CM50" s="246"/>
      <c r="CN50" s="246"/>
      <c r="CO50" s="246"/>
      <c r="CP50" s="246"/>
      <c r="CQ50" s="246"/>
      <c r="CR50" s="246"/>
      <c r="CS50" s="246"/>
      <c r="CT50" s="246"/>
      <c r="CU50" s="246"/>
      <c r="CV50" s="246"/>
      <c r="CW50" s="246"/>
      <c r="CX50" s="246"/>
      <c r="CY50" s="246"/>
      <c r="CZ50" s="246"/>
      <c r="DA50" s="246"/>
      <c r="DB50" s="246"/>
      <c r="DC50" s="246"/>
      <c r="DD50" s="246"/>
      <c r="DE50" s="246"/>
      <c r="DF50" s="246"/>
      <c r="DG50" s="246"/>
      <c r="DH50" s="246"/>
      <c r="DI50" s="246"/>
      <c r="DJ50" s="246"/>
      <c r="DK50" s="246"/>
      <c r="DL50" s="246"/>
      <c r="DM50" s="246"/>
      <c r="DN50" s="246"/>
      <c r="DO50" s="246"/>
      <c r="DP50" s="246"/>
      <c r="DQ50" s="246"/>
      <c r="DR50" s="246"/>
      <c r="DS50" s="246"/>
      <c r="DT50" s="246"/>
      <c r="DU50" s="246"/>
      <c r="DV50" s="246"/>
      <c r="DW50" s="246"/>
      <c r="DX50" s="246"/>
      <c r="DY50" s="246"/>
      <c r="DZ50" s="246"/>
      <c r="EA50" s="246"/>
      <c r="EB50" s="246"/>
      <c r="EC50" s="246"/>
      <c r="ED50" s="246"/>
      <c r="EE50" s="246"/>
      <c r="EF50" s="246"/>
      <c r="EG50" s="246"/>
      <c r="EH50" s="246"/>
      <c r="EI50" s="246"/>
      <c r="EJ50" s="246"/>
      <c r="EK50" s="246"/>
      <c r="EL50" s="246"/>
      <c r="EM50" s="246"/>
      <c r="EN50" s="246"/>
      <c r="EO50" s="246"/>
      <c r="EP50" s="246"/>
      <c r="EQ50" s="246"/>
      <c r="ER50" s="246"/>
      <c r="ES50" s="246"/>
      <c r="ET50" s="246"/>
      <c r="EU50" s="246"/>
      <c r="EV50" s="246"/>
      <c r="EW50" s="246"/>
      <c r="EX50" s="246"/>
      <c r="EY50" s="246"/>
      <c r="EZ50" s="246"/>
      <c r="FA50" s="246"/>
      <c r="FB50" s="246"/>
      <c r="FC50" s="246"/>
      <c r="FD50" s="246"/>
      <c r="FE50" s="246"/>
      <c r="FF50" s="246"/>
      <c r="FG50" s="246"/>
      <c r="FH50" s="246"/>
      <c r="FI50" s="246"/>
      <c r="FJ50" s="246"/>
      <c r="FK50" s="246"/>
      <c r="FL50" s="246"/>
      <c r="FM50" s="246"/>
      <c r="FN50" s="246"/>
      <c r="FO50" s="246"/>
      <c r="FP50" s="246"/>
      <c r="FQ50" s="246"/>
      <c r="FR50" s="246"/>
      <c r="FS50" s="246"/>
      <c r="FT50" s="246"/>
      <c r="FU50" s="246"/>
      <c r="FV50" s="246"/>
      <c r="FW50" s="246"/>
      <c r="FX50" s="246"/>
      <c r="FY50" s="246"/>
      <c r="FZ50" s="246"/>
      <c r="GA50" s="246"/>
      <c r="GB50" s="246"/>
      <c r="GC50" s="246"/>
      <c r="GD50" s="246"/>
      <c r="GE50" s="246"/>
      <c r="GF50" s="246"/>
      <c r="GG50" s="246"/>
      <c r="GH50" s="246"/>
      <c r="GI50" s="246"/>
      <c r="GJ50" s="246"/>
      <c r="GK50" s="246"/>
      <c r="GL50" s="246"/>
      <c r="GM50" s="246"/>
      <c r="GN50" s="246"/>
      <c r="GO50" s="246"/>
      <c r="GP50" s="246"/>
      <c r="GQ50" s="246"/>
      <c r="GR50" s="246"/>
      <c r="GS50" s="246"/>
      <c r="GT50" s="246"/>
      <c r="GU50" s="246"/>
      <c r="GV50" s="246"/>
      <c r="GW50" s="246"/>
      <c r="GX50" s="246"/>
      <c r="GY50" s="246"/>
      <c r="GZ50" s="246"/>
      <c r="HA50" s="246"/>
      <c r="HB50" s="246"/>
      <c r="HC50" s="246"/>
      <c r="HD50" s="246"/>
      <c r="HE50" s="246"/>
      <c r="HF50" s="246"/>
    </row>
    <row r="51" spans="1:214" s="255" customFormat="1">
      <c r="A51" s="246"/>
      <c r="B51" s="246"/>
      <c r="C51" s="279">
        <v>210061</v>
      </c>
      <c r="D51" s="279" t="s">
        <v>161</v>
      </c>
      <c r="E51" s="280">
        <f>SUMIFS('Final UCC Appr''d FY2022'!M:M,'Final UCC Appr''d FY2022'!A:A,C51)</f>
        <v>126080599.30532348</v>
      </c>
      <c r="F51" s="251">
        <f>(('PDA Schedules FY 2020'!H52+'PDA Schedules FY 2020'!K52)/'PDA Schedules FY 2020'!$E52)</f>
        <v>0.51051862912068691</v>
      </c>
      <c r="G51" s="251">
        <f>'PDA Schedules FY 2020'!L52/'PDA Schedules FY 2020'!$E52</f>
        <v>3.8127989174812776E-2</v>
      </c>
      <c r="H51" s="251">
        <f>'PDA Schedules FY 2020'!M52/'PDA Schedules FY 2020'!$E52</f>
        <v>0.1244747217880223</v>
      </c>
      <c r="I51" s="251">
        <f>'PDA Schedules FY 2020'!Q52/'PDA Schedules FY 2020'!$E52</f>
        <v>0.11449968504304411</v>
      </c>
      <c r="J51" s="251">
        <f>'PDA Schedules FY 2020'!R52/'PDA Schedules FY 2020'!$E52</f>
        <v>1.4807400321955998E-2</v>
      </c>
      <c r="K51" s="251">
        <f>SUMIFS(Input!G:G,Input!$A:$A,$C51)</f>
        <v>5.122530912421789E-2</v>
      </c>
      <c r="L51" s="251">
        <f t="shared" si="27"/>
        <v>0.16115366574921608</v>
      </c>
      <c r="M51" s="260">
        <f>SUMIFS(Input!F:F,Input!A:A,C51)</f>
        <v>1.1101746119123399</v>
      </c>
      <c r="N51" s="253">
        <f>SUMIFS(Input!I:I,Input!$A:$A,$C51)</f>
        <v>5.7991371955233129E-2</v>
      </c>
      <c r="O51" s="251">
        <f t="shared" si="28"/>
        <v>0.15438760291820075</v>
      </c>
      <c r="P51" s="262">
        <f t="shared" si="18"/>
        <v>1.1272038960419342</v>
      </c>
      <c r="Q51" s="423">
        <f t="shared" si="29"/>
        <v>128014585.47809449</v>
      </c>
      <c r="R51" s="2"/>
      <c r="S51" s="281">
        <f t="shared" si="30"/>
        <v>128014585.47809449</v>
      </c>
      <c r="T51" s="347">
        <f t="shared" si="20"/>
        <v>1.1272038960419342</v>
      </c>
      <c r="U51" s="282">
        <f t="shared" si="3"/>
        <v>113568260.30109116</v>
      </c>
      <c r="V51" s="253">
        <f t="shared" si="21"/>
        <v>5.7991371955233129E-2</v>
      </c>
      <c r="W51" s="280">
        <f t="shared" si="4"/>
        <v>6585979.2254293142</v>
      </c>
      <c r="X51" s="283">
        <f t="shared" si="22"/>
        <v>4.65E-2</v>
      </c>
      <c r="Y51" s="253">
        <f t="shared" si="5"/>
        <v>-1.1491371955233129E-2</v>
      </c>
      <c r="Z51" s="274">
        <f t="shared" si="31"/>
        <v>1.1130744654941822</v>
      </c>
      <c r="AA51" s="280">
        <f t="shared" si="7"/>
        <v>126409930.6317412</v>
      </c>
      <c r="AB51" s="282">
        <f t="shared" si="8"/>
        <v>112144689.24000108</v>
      </c>
      <c r="AC51" s="319">
        <f t="shared" si="9"/>
        <v>-1423571.0610900819</v>
      </c>
      <c r="AD51" s="280">
        <f t="shared" si="10"/>
        <v>0</v>
      </c>
      <c r="AE51" s="319">
        <f t="shared" si="11"/>
        <v>-1423571.0610900819</v>
      </c>
      <c r="AF51" s="284"/>
      <c r="AG51" s="246"/>
      <c r="AH51" s="253">
        <f t="shared" si="23"/>
        <v>5.7991371955233129E-2</v>
      </c>
      <c r="AI51" s="262">
        <f t="shared" si="24"/>
        <v>1.1272038960419342</v>
      </c>
      <c r="AJ51" s="285">
        <f t="shared" si="26"/>
        <v>4.65E-2</v>
      </c>
      <c r="AK51" s="277">
        <f t="shared" si="25"/>
        <v>4.65E-2</v>
      </c>
      <c r="AL51" s="286">
        <f t="shared" si="12"/>
        <v>0.10449137195523313</v>
      </c>
      <c r="AM51" s="287">
        <f t="shared" si="32"/>
        <v>1.1272038960419342</v>
      </c>
      <c r="AN51" s="256">
        <f t="shared" si="14"/>
        <v>128014585.47809449</v>
      </c>
      <c r="AO51" s="256">
        <f t="shared" si="15"/>
        <v>126409930.6317412</v>
      </c>
      <c r="AP51" s="277">
        <f>('PDA Schedules FY 2020'!K52+'PDA Schedules FY 2020'!Q52)/'PDA Schedules FY 2020'!E52</f>
        <v>0.13143830343186433</v>
      </c>
      <c r="AQ51" s="256">
        <f t="shared" si="16"/>
        <v>16826019.929774117</v>
      </c>
      <c r="AR51" s="256">
        <f t="shared" si="17"/>
        <v>16615106.81917572</v>
      </c>
      <c r="AT51" s="174"/>
      <c r="BM51" s="167"/>
      <c r="BN51" s="288"/>
      <c r="BO51" s="288"/>
      <c r="BP51" s="288"/>
      <c r="BQ51" s="167"/>
      <c r="BR51" s="288"/>
      <c r="BS51" s="288"/>
      <c r="BT51" s="289"/>
      <c r="BU51" s="289"/>
      <c r="BV51" s="289"/>
      <c r="BW51" s="289"/>
      <c r="BX51" s="246"/>
      <c r="BY51" s="246"/>
      <c r="BZ51" s="246"/>
      <c r="CA51" s="246"/>
      <c r="CB51" s="246"/>
      <c r="CC51" s="246"/>
      <c r="CD51" s="246"/>
      <c r="CE51" s="246"/>
      <c r="CF51" s="246"/>
      <c r="CG51" s="246"/>
      <c r="CH51" s="246"/>
      <c r="CI51" s="246"/>
      <c r="CJ51" s="246"/>
      <c r="CK51" s="246"/>
      <c r="CL51" s="246"/>
      <c r="CM51" s="246"/>
      <c r="CN51" s="246"/>
      <c r="CO51" s="246"/>
      <c r="CP51" s="246"/>
      <c r="CQ51" s="246"/>
      <c r="CR51" s="246"/>
      <c r="CS51" s="246"/>
      <c r="CT51" s="246"/>
      <c r="CU51" s="246"/>
      <c r="CV51" s="246"/>
      <c r="CW51" s="246"/>
      <c r="CX51" s="246"/>
      <c r="CY51" s="246"/>
      <c r="CZ51" s="246"/>
      <c r="DA51" s="246"/>
      <c r="DB51" s="246"/>
      <c r="DC51" s="246"/>
      <c r="DD51" s="246"/>
      <c r="DE51" s="246"/>
      <c r="DF51" s="246"/>
      <c r="DG51" s="246"/>
      <c r="DH51" s="246"/>
      <c r="DI51" s="246"/>
      <c r="DJ51" s="246"/>
      <c r="DK51" s="246"/>
      <c r="DL51" s="246"/>
      <c r="DM51" s="246"/>
      <c r="DN51" s="246"/>
      <c r="DO51" s="246"/>
      <c r="DP51" s="246"/>
      <c r="DQ51" s="246"/>
      <c r="DR51" s="246"/>
      <c r="DS51" s="246"/>
      <c r="DT51" s="246"/>
      <c r="DU51" s="246"/>
      <c r="DV51" s="246"/>
      <c r="DW51" s="246"/>
      <c r="DX51" s="246"/>
      <c r="DY51" s="246"/>
      <c r="DZ51" s="246"/>
      <c r="EA51" s="246"/>
      <c r="EB51" s="246"/>
      <c r="EC51" s="246"/>
      <c r="ED51" s="246"/>
      <c r="EE51" s="246"/>
      <c r="EF51" s="246"/>
      <c r="EG51" s="246"/>
      <c r="EH51" s="246"/>
      <c r="EI51" s="246"/>
      <c r="EJ51" s="246"/>
      <c r="EK51" s="246"/>
      <c r="EL51" s="246"/>
      <c r="EM51" s="246"/>
      <c r="EN51" s="246"/>
      <c r="EO51" s="246"/>
      <c r="EP51" s="246"/>
      <c r="EQ51" s="246"/>
      <c r="ER51" s="246"/>
      <c r="ES51" s="246"/>
      <c r="ET51" s="246"/>
      <c r="EU51" s="246"/>
      <c r="EV51" s="246"/>
      <c r="EW51" s="246"/>
      <c r="EX51" s="246"/>
      <c r="EY51" s="246"/>
      <c r="EZ51" s="246"/>
      <c r="FA51" s="246"/>
      <c r="FB51" s="246"/>
      <c r="FC51" s="246"/>
      <c r="FD51" s="246"/>
      <c r="FE51" s="246"/>
      <c r="FF51" s="246"/>
      <c r="FG51" s="246"/>
      <c r="FH51" s="246"/>
      <c r="FI51" s="246"/>
      <c r="FJ51" s="246"/>
      <c r="FK51" s="246"/>
      <c r="FL51" s="246"/>
      <c r="FM51" s="246"/>
      <c r="FN51" s="246"/>
      <c r="FO51" s="246"/>
      <c r="FP51" s="246"/>
      <c r="FQ51" s="246"/>
      <c r="FR51" s="246"/>
      <c r="FS51" s="246"/>
      <c r="FT51" s="246"/>
      <c r="FU51" s="246"/>
      <c r="FV51" s="246"/>
      <c r="FW51" s="246"/>
      <c r="FX51" s="246"/>
      <c r="FY51" s="246"/>
      <c r="FZ51" s="246"/>
      <c r="GA51" s="246"/>
      <c r="GB51" s="246"/>
      <c r="GC51" s="246"/>
      <c r="GD51" s="246"/>
      <c r="GE51" s="246"/>
      <c r="GF51" s="246"/>
      <c r="GG51" s="246"/>
      <c r="GH51" s="246"/>
      <c r="GI51" s="246"/>
      <c r="GJ51" s="246"/>
      <c r="GK51" s="246"/>
      <c r="GL51" s="246"/>
      <c r="GM51" s="246"/>
      <c r="GN51" s="246"/>
      <c r="GO51" s="246"/>
      <c r="GP51" s="246"/>
      <c r="GQ51" s="246"/>
      <c r="GR51" s="246"/>
      <c r="GS51" s="246"/>
      <c r="GT51" s="246"/>
      <c r="GU51" s="246"/>
      <c r="GV51" s="246"/>
      <c r="GW51" s="246"/>
      <c r="GX51" s="246"/>
      <c r="GY51" s="246"/>
      <c r="GZ51" s="246"/>
      <c r="HA51" s="246"/>
      <c r="HB51" s="246"/>
      <c r="HC51" s="246"/>
      <c r="HD51" s="246"/>
      <c r="HE51" s="246"/>
      <c r="HF51" s="246"/>
    </row>
    <row r="52" spans="1:214" s="255" customFormat="1">
      <c r="A52" s="246"/>
      <c r="B52" s="246"/>
      <c r="C52" s="279">
        <v>210062</v>
      </c>
      <c r="D52" s="279" t="s">
        <v>328</v>
      </c>
      <c r="E52" s="280">
        <f>SUMIFS('Final UCC Appr''d FY2022'!M:M,'Final UCC Appr''d FY2022'!A:A,C52)</f>
        <v>299258466.0040862</v>
      </c>
      <c r="F52" s="251">
        <f>(('PDA Schedules FY 2020'!H53+'PDA Schedules FY 2020'!K53)/'PDA Schedules FY 2020'!$E53)</f>
        <v>0.39960951976173759</v>
      </c>
      <c r="G52" s="251">
        <f>'PDA Schedules FY 2020'!L53/'PDA Schedules FY 2020'!$E53</f>
        <v>4.8049116813304434E-2</v>
      </c>
      <c r="H52" s="251">
        <f>'PDA Schedules FY 2020'!M53/'PDA Schedules FY 2020'!$E53</f>
        <v>3.8940740164203055E-2</v>
      </c>
      <c r="I52" s="251">
        <f>'PDA Schedules FY 2020'!Q53/'PDA Schedules FY 2020'!$E53</f>
        <v>0.23338823669248132</v>
      </c>
      <c r="J52" s="251">
        <f>'PDA Schedules FY 2020'!R53/'PDA Schedules FY 2020'!$E53</f>
        <v>6.6270532128172698E-3</v>
      </c>
      <c r="K52" s="251">
        <f>SUMIFS(Input!G:G,Input!$A:$A,$C52)</f>
        <v>4.7655229771582222E-2</v>
      </c>
      <c r="L52" s="251">
        <f t="shared" si="27"/>
        <v>0.23235715679669133</v>
      </c>
      <c r="M52" s="260">
        <f>SUMIFS(Input!F:F,Input!A:A,C52)</f>
        <v>1.1119327545391331</v>
      </c>
      <c r="N52" s="253">
        <f>SUMIFS(Input!I:I,Input!$A:$A,$C52)</f>
        <v>4.8910441153642986E-2</v>
      </c>
      <c r="O52" s="251">
        <f t="shared" si="28"/>
        <v>0.23110194541463058</v>
      </c>
      <c r="P52" s="262">
        <f t="shared" si="18"/>
        <v>1.1164025718961512</v>
      </c>
      <c r="Q52" s="423">
        <f t="shared" si="29"/>
        <v>300461444.04400736</v>
      </c>
      <c r="R52" s="2"/>
      <c r="S52" s="281">
        <f t="shared" si="30"/>
        <v>300461444.04400736</v>
      </c>
      <c r="T52" s="347">
        <f t="shared" si="20"/>
        <v>1.1164025718961512</v>
      </c>
      <c r="U52" s="282">
        <f t="shared" si="3"/>
        <v>269133600.73480427</v>
      </c>
      <c r="V52" s="253">
        <f t="shared" si="21"/>
        <v>4.8910441153642986E-2</v>
      </c>
      <c r="W52" s="280">
        <f t="shared" si="4"/>
        <v>13163443.141207691</v>
      </c>
      <c r="X52" s="283">
        <f t="shared" si="22"/>
        <v>4.65E-2</v>
      </c>
      <c r="Y52" s="253">
        <f t="shared" si="5"/>
        <v>-2.4104411536429865E-3</v>
      </c>
      <c r="Z52" s="274">
        <f t="shared" si="31"/>
        <v>1.1134661364965026</v>
      </c>
      <c r="AA52" s="280">
        <f t="shared" si="7"/>
        <v>299671150.61157483</v>
      </c>
      <c r="AB52" s="282">
        <f t="shared" si="8"/>
        <v>268425707.85429049</v>
      </c>
      <c r="AC52" s="319">
        <f t="shared" si="9"/>
        <v>-707892.88051378727</v>
      </c>
      <c r="AD52" s="280">
        <f t="shared" si="10"/>
        <v>0</v>
      </c>
      <c r="AE52" s="319">
        <f t="shared" si="11"/>
        <v>-707892.88051378727</v>
      </c>
      <c r="AF52" s="284"/>
      <c r="AG52" s="246"/>
      <c r="AH52" s="253">
        <f t="shared" si="23"/>
        <v>4.8910441153642986E-2</v>
      </c>
      <c r="AI52" s="262">
        <f t="shared" si="24"/>
        <v>1.1164025718961512</v>
      </c>
      <c r="AJ52" s="285">
        <f t="shared" si="26"/>
        <v>4.65E-2</v>
      </c>
      <c r="AK52" s="277">
        <f t="shared" si="25"/>
        <v>4.65E-2</v>
      </c>
      <c r="AL52" s="286">
        <f t="shared" si="12"/>
        <v>9.5410441153642986E-2</v>
      </c>
      <c r="AM52" s="287">
        <f t="shared" si="32"/>
        <v>1.1164025718961512</v>
      </c>
      <c r="AN52" s="256">
        <f t="shared" si="14"/>
        <v>300461444.04400736</v>
      </c>
      <c r="AO52" s="256">
        <f t="shared" si="15"/>
        <v>299671150.61157483</v>
      </c>
      <c r="AP52" s="277">
        <f>('PDA Schedules FY 2020'!K53+'PDA Schedules FY 2020'!Q53)/'PDA Schedules FY 2020'!E53</f>
        <v>0.27110365423222466</v>
      </c>
      <c r="AQ52" s="256">
        <f t="shared" si="16"/>
        <v>81456195.43622148</v>
      </c>
      <c r="AR52" s="256">
        <f t="shared" si="17"/>
        <v>81241943.998773307</v>
      </c>
      <c r="AT52" s="150"/>
      <c r="BM52" s="167"/>
      <c r="BN52" s="288"/>
      <c r="BO52" s="288"/>
      <c r="BP52" s="288"/>
      <c r="BQ52" s="167"/>
      <c r="BR52" s="288"/>
      <c r="BS52" s="288"/>
      <c r="BT52" s="289"/>
      <c r="BU52" s="289"/>
      <c r="BV52" s="289"/>
      <c r="BW52" s="289"/>
      <c r="BX52" s="246"/>
      <c r="BY52" s="246"/>
      <c r="BZ52" s="246"/>
      <c r="CA52" s="246"/>
      <c r="CB52" s="246"/>
      <c r="CC52" s="246"/>
      <c r="CD52" s="246"/>
      <c r="CE52" s="246"/>
      <c r="CF52" s="246"/>
      <c r="CG52" s="246"/>
      <c r="CH52" s="246"/>
      <c r="CI52" s="246"/>
      <c r="CJ52" s="246"/>
      <c r="CK52" s="246"/>
      <c r="CL52" s="246"/>
      <c r="CM52" s="246"/>
      <c r="CN52" s="246"/>
      <c r="CO52" s="246"/>
      <c r="CP52" s="246"/>
      <c r="CQ52" s="246"/>
      <c r="CR52" s="246"/>
      <c r="CS52" s="246"/>
      <c r="CT52" s="246"/>
      <c r="CU52" s="246"/>
      <c r="CV52" s="246"/>
      <c r="CW52" s="246"/>
      <c r="CX52" s="246"/>
      <c r="CY52" s="246"/>
      <c r="CZ52" s="246"/>
      <c r="DA52" s="246"/>
      <c r="DB52" s="246"/>
      <c r="DC52" s="246"/>
      <c r="DD52" s="246"/>
      <c r="DE52" s="246"/>
      <c r="DF52" s="246"/>
      <c r="DG52" s="246"/>
      <c r="DH52" s="246"/>
      <c r="DI52" s="246"/>
      <c r="DJ52" s="246"/>
      <c r="DK52" s="246"/>
      <c r="DL52" s="246"/>
      <c r="DM52" s="246"/>
      <c r="DN52" s="246"/>
      <c r="DO52" s="246"/>
      <c r="DP52" s="246"/>
      <c r="DQ52" s="246"/>
      <c r="DR52" s="246"/>
      <c r="DS52" s="246"/>
      <c r="DT52" s="246"/>
      <c r="DU52" s="246"/>
      <c r="DV52" s="246"/>
      <c r="DW52" s="246"/>
      <c r="DX52" s="246"/>
      <c r="DY52" s="246"/>
      <c r="DZ52" s="246"/>
      <c r="EA52" s="246"/>
      <c r="EB52" s="246"/>
      <c r="EC52" s="246"/>
      <c r="ED52" s="246"/>
      <c r="EE52" s="246"/>
      <c r="EF52" s="246"/>
      <c r="EG52" s="246"/>
      <c r="EH52" s="246"/>
      <c r="EI52" s="246"/>
      <c r="EJ52" s="246"/>
      <c r="EK52" s="246"/>
      <c r="EL52" s="246"/>
      <c r="EM52" s="246"/>
      <c r="EN52" s="246"/>
      <c r="EO52" s="246"/>
      <c r="EP52" s="246"/>
      <c r="EQ52" s="246"/>
      <c r="ER52" s="246"/>
      <c r="ES52" s="246"/>
      <c r="ET52" s="246"/>
      <c r="EU52" s="246"/>
      <c r="EV52" s="246"/>
      <c r="EW52" s="246"/>
      <c r="EX52" s="246"/>
      <c r="EY52" s="246"/>
      <c r="EZ52" s="246"/>
      <c r="FA52" s="246"/>
      <c r="FB52" s="246"/>
      <c r="FC52" s="246"/>
      <c r="FD52" s="246"/>
      <c r="FE52" s="246"/>
      <c r="FF52" s="246"/>
      <c r="FG52" s="246"/>
      <c r="FH52" s="246"/>
      <c r="FI52" s="246"/>
      <c r="FJ52" s="246"/>
      <c r="FK52" s="246"/>
      <c r="FL52" s="246"/>
      <c r="FM52" s="246"/>
      <c r="FN52" s="246"/>
      <c r="FO52" s="246"/>
      <c r="FP52" s="246"/>
      <c r="FQ52" s="246"/>
      <c r="FR52" s="246"/>
      <c r="FS52" s="246"/>
      <c r="FT52" s="246"/>
      <c r="FU52" s="246"/>
      <c r="FV52" s="246"/>
      <c r="FW52" s="246"/>
      <c r="FX52" s="246"/>
      <c r="FY52" s="246"/>
      <c r="FZ52" s="246"/>
      <c r="GA52" s="246"/>
      <c r="GB52" s="246"/>
      <c r="GC52" s="246"/>
      <c r="GD52" s="246"/>
      <c r="GE52" s="246"/>
      <c r="GF52" s="246"/>
      <c r="GG52" s="246"/>
      <c r="GH52" s="246"/>
      <c r="GI52" s="246"/>
      <c r="GJ52" s="246"/>
      <c r="GK52" s="246"/>
      <c r="GL52" s="246"/>
      <c r="GM52" s="246"/>
      <c r="GN52" s="246"/>
      <c r="GO52" s="246"/>
      <c r="GP52" s="246"/>
      <c r="GQ52" s="246"/>
      <c r="GR52" s="246"/>
      <c r="GS52" s="246"/>
      <c r="GT52" s="246"/>
      <c r="GU52" s="246"/>
      <c r="GV52" s="246"/>
      <c r="GW52" s="246"/>
      <c r="GX52" s="246"/>
      <c r="GY52" s="246"/>
      <c r="GZ52" s="246"/>
      <c r="HA52" s="246"/>
      <c r="HB52" s="246"/>
      <c r="HC52" s="246"/>
      <c r="HD52" s="246"/>
      <c r="HE52" s="246"/>
      <c r="HF52" s="246"/>
    </row>
    <row r="53" spans="1:214" s="255" customFormat="1">
      <c r="A53" s="246"/>
      <c r="B53" s="246"/>
      <c r="C53" s="279">
        <v>210063</v>
      </c>
      <c r="D53" s="279" t="s">
        <v>329</v>
      </c>
      <c r="E53" s="280">
        <f>SUMIFS('Final UCC Appr''d FY2022'!M:M,'Final UCC Appr''d FY2022'!A:A,C53)</f>
        <v>444114315.98407722</v>
      </c>
      <c r="F53" s="251">
        <f>(('PDA Schedules FY 2020'!H54+'PDA Schedules FY 2020'!K54)/'PDA Schedules FY 2020'!$E54)</f>
        <v>0.46697506446258846</v>
      </c>
      <c r="G53" s="251">
        <f>'PDA Schedules FY 2020'!L54/'PDA Schedules FY 2020'!$E54</f>
        <v>6.0041070931987593E-2</v>
      </c>
      <c r="H53" s="251">
        <f>'PDA Schedules FY 2020'!M54/'PDA Schedules FY 2020'!$E54</f>
        <v>4.6362496472885296E-2</v>
      </c>
      <c r="I53" s="251">
        <f>'PDA Schedules FY 2020'!Q54/'PDA Schedules FY 2020'!$E54</f>
        <v>0.13550276075410309</v>
      </c>
      <c r="J53" s="251">
        <f>'PDA Schedules FY 2020'!R54/'PDA Schedules FY 2020'!$E54</f>
        <v>2.5914095243338535E-3</v>
      </c>
      <c r="K53" s="251">
        <f>SUMIFS(Input!G:G,Input!$A:$A,$C53)</f>
        <v>4.1006078212364072E-2</v>
      </c>
      <c r="L53" s="251">
        <f t="shared" si="27"/>
        <v>0.25011252916607152</v>
      </c>
      <c r="M53" s="260">
        <f>SUMIFS(Input!F:F,Input!A:A,C53)</f>
        <v>1.1069411425391098</v>
      </c>
      <c r="N53" s="253">
        <f>SUMIFS(Input!I:I,Input!$A:$A,$C53)</f>
        <v>3.8138447126446519E-2</v>
      </c>
      <c r="O53" s="251">
        <f t="shared" si="28"/>
        <v>0.25298016025198911</v>
      </c>
      <c r="P53" s="262">
        <f t="shared" si="18"/>
        <v>1.1012231611590961</v>
      </c>
      <c r="Q53" s="423">
        <f t="shared" si="29"/>
        <v>441820212.62861836</v>
      </c>
      <c r="R53" s="2"/>
      <c r="S53" s="281">
        <f t="shared" si="30"/>
        <v>441820212.62861836</v>
      </c>
      <c r="T53" s="347">
        <f t="shared" si="20"/>
        <v>1.1012231611590961</v>
      </c>
      <c r="U53" s="282">
        <f t="shared" si="3"/>
        <v>401208608.94678152</v>
      </c>
      <c r="V53" s="253">
        <f t="shared" si="21"/>
        <v>3.8138447126446519E-2</v>
      </c>
      <c r="W53" s="280">
        <f t="shared" si="4"/>
        <v>15301473.318991985</v>
      </c>
      <c r="X53" s="283">
        <f t="shared" si="22"/>
        <v>4.65E-2</v>
      </c>
      <c r="Y53" s="253">
        <f t="shared" si="5"/>
        <v>8.3615528735534808E-3</v>
      </c>
      <c r="Z53" s="274">
        <f t="shared" si="31"/>
        <v>1.111250840909479</v>
      </c>
      <c r="AA53" s="280">
        <f t="shared" si="7"/>
        <v>445843404.07223326</v>
      </c>
      <c r="AB53" s="282">
        <f t="shared" si="8"/>
        <v>404861993.27932703</v>
      </c>
      <c r="AC53" s="319">
        <f t="shared" si="9"/>
        <v>3653384.3325455189</v>
      </c>
      <c r="AD53" s="280">
        <f t="shared" si="10"/>
        <v>3653384.3325455189</v>
      </c>
      <c r="AE53" s="319">
        <f t="shared" si="11"/>
        <v>0</v>
      </c>
      <c r="AF53" s="284"/>
      <c r="AG53" s="246"/>
      <c r="AH53" s="253">
        <f t="shared" si="23"/>
        <v>3.8138447126446519E-2</v>
      </c>
      <c r="AI53" s="262">
        <f t="shared" si="24"/>
        <v>1.1012231611590961</v>
      </c>
      <c r="AJ53" s="285">
        <f t="shared" si="26"/>
        <v>4.65E-2</v>
      </c>
      <c r="AK53" s="277">
        <f t="shared" si="25"/>
        <v>4.65E-2</v>
      </c>
      <c r="AL53" s="286">
        <f t="shared" si="12"/>
        <v>8.4638447126446525E-2</v>
      </c>
      <c r="AM53" s="287">
        <f t="shared" si="32"/>
        <v>1.1012231611590961</v>
      </c>
      <c r="AN53" s="256">
        <f t="shared" si="14"/>
        <v>441820212.62861836</v>
      </c>
      <c r="AO53" s="256">
        <f t="shared" si="15"/>
        <v>445843404.07223326</v>
      </c>
      <c r="AP53" s="277">
        <f>('PDA Schedules FY 2020'!K54+'PDA Schedules FY 2020'!Q54)/'PDA Schedules FY 2020'!E54</f>
        <v>0.16497811365269172</v>
      </c>
      <c r="AQ53" s="256">
        <f t="shared" si="16"/>
        <v>72890665.253100619</v>
      </c>
      <c r="AR53" s="256">
        <f t="shared" si="17"/>
        <v>73554403.788331851</v>
      </c>
      <c r="AT53" s="150"/>
      <c r="BM53" s="167"/>
      <c r="BN53" s="288"/>
      <c r="BO53" s="288"/>
      <c r="BP53" s="288"/>
      <c r="BQ53" s="167"/>
      <c r="BR53" s="288"/>
      <c r="BS53" s="288"/>
      <c r="BT53" s="289"/>
      <c r="BU53" s="289"/>
      <c r="BV53" s="289"/>
      <c r="BW53" s="289"/>
      <c r="BX53" s="246"/>
      <c r="BY53" s="246"/>
      <c r="BZ53" s="246"/>
      <c r="CA53" s="246"/>
      <c r="CB53" s="246"/>
      <c r="CC53" s="246"/>
      <c r="CD53" s="246"/>
      <c r="CE53" s="246"/>
      <c r="CF53" s="246"/>
      <c r="CG53" s="246"/>
      <c r="CH53" s="246"/>
      <c r="CI53" s="246"/>
      <c r="CJ53" s="246"/>
      <c r="CK53" s="246"/>
      <c r="CL53" s="246"/>
      <c r="CM53" s="246"/>
      <c r="CN53" s="246"/>
      <c r="CO53" s="246"/>
      <c r="CP53" s="246"/>
      <c r="CQ53" s="246"/>
      <c r="CR53" s="246"/>
      <c r="CS53" s="246"/>
      <c r="CT53" s="246"/>
      <c r="CU53" s="246"/>
      <c r="CV53" s="246"/>
      <c r="CW53" s="246"/>
      <c r="CX53" s="246"/>
      <c r="CY53" s="246"/>
      <c r="CZ53" s="246"/>
      <c r="DA53" s="246"/>
      <c r="DB53" s="246"/>
      <c r="DC53" s="246"/>
      <c r="DD53" s="246"/>
      <c r="DE53" s="246"/>
      <c r="DF53" s="246"/>
      <c r="DG53" s="246"/>
      <c r="DH53" s="246"/>
      <c r="DI53" s="246"/>
      <c r="DJ53" s="246"/>
      <c r="DK53" s="246"/>
      <c r="DL53" s="246"/>
      <c r="DM53" s="246"/>
      <c r="DN53" s="246"/>
      <c r="DO53" s="246"/>
      <c r="DP53" s="246"/>
      <c r="DQ53" s="246"/>
      <c r="DR53" s="246"/>
      <c r="DS53" s="246"/>
      <c r="DT53" s="246"/>
      <c r="DU53" s="246"/>
      <c r="DV53" s="246"/>
      <c r="DW53" s="246"/>
      <c r="DX53" s="246"/>
      <c r="DY53" s="246"/>
      <c r="DZ53" s="246"/>
      <c r="EA53" s="246"/>
      <c r="EB53" s="246"/>
      <c r="EC53" s="246"/>
      <c r="ED53" s="246"/>
      <c r="EE53" s="246"/>
      <c r="EF53" s="246"/>
      <c r="EG53" s="246"/>
      <c r="EH53" s="246"/>
      <c r="EI53" s="246"/>
      <c r="EJ53" s="246"/>
      <c r="EK53" s="246"/>
      <c r="EL53" s="246"/>
      <c r="EM53" s="246"/>
      <c r="EN53" s="246"/>
      <c r="EO53" s="246"/>
      <c r="EP53" s="246"/>
      <c r="EQ53" s="246"/>
      <c r="ER53" s="246"/>
      <c r="ES53" s="246"/>
      <c r="ET53" s="246"/>
      <c r="EU53" s="246"/>
      <c r="EV53" s="246"/>
      <c r="EW53" s="246"/>
      <c r="EX53" s="246"/>
      <c r="EY53" s="246"/>
      <c r="EZ53" s="246"/>
      <c r="FA53" s="246"/>
      <c r="FB53" s="246"/>
      <c r="FC53" s="246"/>
      <c r="FD53" s="246"/>
      <c r="FE53" s="246"/>
      <c r="FF53" s="246"/>
      <c r="FG53" s="246"/>
      <c r="FH53" s="246"/>
      <c r="FI53" s="246"/>
      <c r="FJ53" s="246"/>
      <c r="FK53" s="246"/>
      <c r="FL53" s="246"/>
      <c r="FM53" s="246"/>
      <c r="FN53" s="246"/>
      <c r="FO53" s="246"/>
      <c r="FP53" s="246"/>
      <c r="FQ53" s="246"/>
      <c r="FR53" s="246"/>
      <c r="FS53" s="246"/>
      <c r="FT53" s="246"/>
      <c r="FU53" s="246"/>
      <c r="FV53" s="246"/>
      <c r="FW53" s="246"/>
      <c r="FX53" s="246"/>
      <c r="FY53" s="246"/>
      <c r="FZ53" s="246"/>
      <c r="GA53" s="246"/>
      <c r="GB53" s="246"/>
      <c r="GC53" s="246"/>
      <c r="GD53" s="246"/>
      <c r="GE53" s="246"/>
      <c r="GF53" s="246"/>
      <c r="GG53" s="246"/>
      <c r="GH53" s="246"/>
      <c r="GI53" s="246"/>
      <c r="GJ53" s="246"/>
      <c r="GK53" s="246"/>
      <c r="GL53" s="246"/>
      <c r="GM53" s="246"/>
      <c r="GN53" s="246"/>
      <c r="GO53" s="246"/>
      <c r="GP53" s="246"/>
      <c r="GQ53" s="246"/>
      <c r="GR53" s="246"/>
      <c r="GS53" s="246"/>
      <c r="GT53" s="246"/>
      <c r="GU53" s="246"/>
      <c r="GV53" s="246"/>
      <c r="GW53" s="246"/>
      <c r="GX53" s="246"/>
      <c r="GY53" s="246"/>
      <c r="GZ53" s="246"/>
      <c r="HA53" s="246"/>
      <c r="HB53" s="246"/>
      <c r="HC53" s="246"/>
      <c r="HD53" s="246"/>
      <c r="HE53" s="246"/>
      <c r="HF53" s="246"/>
    </row>
    <row r="54" spans="1:214" s="255" customFormat="1">
      <c r="A54" s="246"/>
      <c r="B54" s="246"/>
      <c r="C54" s="279">
        <v>210064</v>
      </c>
      <c r="D54" s="279" t="s">
        <v>349</v>
      </c>
      <c r="E54" s="280">
        <f>SUMIFS('Final UCC Appr''d FY2022'!M:M,'Final UCC Appr''d FY2022'!A:A,C54)</f>
        <v>68788100.633081362</v>
      </c>
      <c r="F54" s="251">
        <f>(('PDA Schedules FY 2020'!H55+'PDA Schedules FY 2020'!K55)/'PDA Schedules FY 2020'!$E55)</f>
        <v>0.83605234883525403</v>
      </c>
      <c r="G54" s="251">
        <f>'PDA Schedules FY 2020'!L55/'PDA Schedules FY 2020'!$E55</f>
        <v>3.6054765550471109E-2</v>
      </c>
      <c r="H54" s="251">
        <f>'PDA Schedules FY 2020'!M55/'PDA Schedules FY 2020'!$E55</f>
        <v>7.1868808551173527E-4</v>
      </c>
      <c r="I54" s="251">
        <f>'PDA Schedules FY 2020'!Q55/'PDA Schedules FY 2020'!$E55</f>
        <v>7.1543469336407317E-2</v>
      </c>
      <c r="J54" s="251">
        <f>'PDA Schedules FY 2020'!R55/'PDA Schedules FY 2020'!$E55</f>
        <v>0</v>
      </c>
      <c r="K54" s="251">
        <f>SUMIFS(Input!G:G,Input!$A:$A,$C54)</f>
        <v>4.6757047549308088E-2</v>
      </c>
      <c r="L54" s="251">
        <f t="shared" si="27"/>
        <v>8.8736806430476101E-3</v>
      </c>
      <c r="M54" s="260">
        <f>SUMIFS(Input!F:F,Input!A:A,C54)</f>
        <v>1.1307207032453601</v>
      </c>
      <c r="N54" s="253">
        <f>SUMIFS(Input!I:I,Input!$A:$A,$C54)</f>
        <v>4.7972050119130777E-2</v>
      </c>
      <c r="O54" s="251">
        <f t="shared" si="28"/>
        <v>7.658678073224956E-3</v>
      </c>
      <c r="P54" s="262">
        <f t="shared" si="18"/>
        <v>1.1348621462539021</v>
      </c>
      <c r="Q54" s="423">
        <f t="shared" si="29"/>
        <v>69040047.906727359</v>
      </c>
      <c r="R54" s="2"/>
      <c r="S54" s="281">
        <f t="shared" si="30"/>
        <v>69040047.906727359</v>
      </c>
      <c r="T54" s="347">
        <f t="shared" si="20"/>
        <v>1.1348621462539021</v>
      </c>
      <c r="U54" s="282">
        <f>S54/T54</f>
        <v>60835624.956408635</v>
      </c>
      <c r="V54" s="253">
        <f t="shared" si="21"/>
        <v>4.7972050119130777E-2</v>
      </c>
      <c r="W54" s="280">
        <f>V54*U54</f>
        <v>2918409.6494374783</v>
      </c>
      <c r="X54" s="283">
        <f t="shared" si="22"/>
        <v>4.65E-2</v>
      </c>
      <c r="Y54" s="253">
        <f>X54-V54</f>
        <v>-1.4720501191307772E-3</v>
      </c>
      <c r="Z54" s="274">
        <f t="shared" si="31"/>
        <v>1.1330072293302433</v>
      </c>
      <c r="AA54" s="280">
        <f>S54/T54*Z54</f>
        <v>68927202.876434356</v>
      </c>
      <c r="AB54" s="282">
        <f>AA54/T54</f>
        <v>60736189.945147142</v>
      </c>
      <c r="AC54" s="319">
        <f>(AB54-U54)</f>
        <v>-99435.011261492968</v>
      </c>
      <c r="AD54" s="280">
        <f>IF(AC54&gt;0,AC54,0)</f>
        <v>0</v>
      </c>
      <c r="AE54" s="319">
        <f>AC54-AD54</f>
        <v>-99435.011261492968</v>
      </c>
      <c r="AF54" s="284"/>
      <c r="AG54" s="246"/>
      <c r="AH54" s="253">
        <f t="shared" si="23"/>
        <v>4.7972050119130777E-2</v>
      </c>
      <c r="AI54" s="262">
        <f t="shared" si="24"/>
        <v>1.1348621462539021</v>
      </c>
      <c r="AJ54" s="285">
        <f>X54</f>
        <v>4.65E-2</v>
      </c>
      <c r="AK54" s="277">
        <f t="shared" si="25"/>
        <v>4.65E-2</v>
      </c>
      <c r="AL54" s="286">
        <f>AH54+AK54</f>
        <v>9.4472050119130777E-2</v>
      </c>
      <c r="AM54" s="287">
        <f t="shared" si="32"/>
        <v>1.1348621462539021</v>
      </c>
      <c r="AN54" s="256">
        <f>S54</f>
        <v>69040047.906727359</v>
      </c>
      <c r="AO54" s="256">
        <f>AA54</f>
        <v>68927202.876434356</v>
      </c>
      <c r="AP54" s="277">
        <f>('PDA Schedules FY 2020'!K55+'PDA Schedules FY 2020'!Q55)/'PDA Schedules FY 2020'!E55</f>
        <v>0.10418383383273509</v>
      </c>
      <c r="AQ54" s="256">
        <f>AN54*AP54</f>
        <v>7192856.8789185537</v>
      </c>
      <c r="AR54" s="256">
        <f>AO54*AP54</f>
        <v>7181100.2510336572</v>
      </c>
      <c r="AT54" s="150"/>
      <c r="BM54" s="167"/>
      <c r="BN54" s="288"/>
      <c r="BO54" s="288"/>
      <c r="BP54" s="288"/>
      <c r="BQ54" s="167"/>
      <c r="BR54" s="288"/>
      <c r="BS54" s="288"/>
      <c r="BT54" s="289"/>
      <c r="BU54" s="289"/>
      <c r="BV54" s="289"/>
      <c r="BW54" s="289"/>
      <c r="BX54" s="246"/>
      <c r="BY54" s="246"/>
      <c r="BZ54" s="246"/>
      <c r="CA54" s="246"/>
      <c r="CB54" s="246"/>
      <c r="CC54" s="246"/>
      <c r="CD54" s="246"/>
      <c r="CE54" s="246"/>
      <c r="CF54" s="246"/>
      <c r="CG54" s="246"/>
      <c r="CH54" s="246"/>
      <c r="CI54" s="246"/>
      <c r="CJ54" s="246"/>
      <c r="CK54" s="246"/>
      <c r="CL54" s="246"/>
      <c r="CM54" s="246"/>
      <c r="CN54" s="246"/>
      <c r="CO54" s="246"/>
      <c r="CP54" s="246"/>
      <c r="CQ54" s="246"/>
      <c r="CR54" s="246"/>
      <c r="CS54" s="246"/>
      <c r="CT54" s="246"/>
      <c r="CU54" s="246"/>
      <c r="CV54" s="246"/>
      <c r="CW54" s="246"/>
      <c r="CX54" s="246"/>
      <c r="CY54" s="246"/>
      <c r="CZ54" s="246"/>
      <c r="DA54" s="246"/>
      <c r="DB54" s="246"/>
      <c r="DC54" s="246"/>
      <c r="DD54" s="246"/>
      <c r="DE54" s="246"/>
      <c r="DF54" s="246"/>
      <c r="DG54" s="246"/>
      <c r="DH54" s="246"/>
      <c r="DI54" s="246"/>
      <c r="DJ54" s="246"/>
      <c r="DK54" s="246"/>
      <c r="DL54" s="246"/>
      <c r="DM54" s="246"/>
      <c r="DN54" s="246"/>
      <c r="DO54" s="246"/>
      <c r="DP54" s="246"/>
      <c r="DQ54" s="246"/>
      <c r="DR54" s="246"/>
      <c r="DS54" s="246"/>
      <c r="DT54" s="246"/>
      <c r="DU54" s="246"/>
      <c r="DV54" s="246"/>
      <c r="DW54" s="246"/>
      <c r="DX54" s="246"/>
      <c r="DY54" s="246"/>
      <c r="DZ54" s="246"/>
      <c r="EA54" s="246"/>
      <c r="EB54" s="246"/>
      <c r="EC54" s="246"/>
      <c r="ED54" s="246"/>
      <c r="EE54" s="246"/>
      <c r="EF54" s="246"/>
      <c r="EG54" s="246"/>
      <c r="EH54" s="246"/>
      <c r="EI54" s="246"/>
      <c r="EJ54" s="246"/>
      <c r="EK54" s="246"/>
      <c r="EL54" s="246"/>
      <c r="EM54" s="246"/>
      <c r="EN54" s="246"/>
      <c r="EO54" s="246"/>
      <c r="EP54" s="246"/>
      <c r="EQ54" s="246"/>
      <c r="ER54" s="246"/>
      <c r="ES54" s="246"/>
      <c r="ET54" s="246"/>
      <c r="EU54" s="246"/>
      <c r="EV54" s="246"/>
      <c r="EW54" s="246"/>
      <c r="EX54" s="246"/>
      <c r="EY54" s="246"/>
      <c r="EZ54" s="246"/>
      <c r="FA54" s="246"/>
      <c r="FB54" s="246"/>
      <c r="FC54" s="246"/>
      <c r="FD54" s="246"/>
      <c r="FE54" s="246"/>
      <c r="FF54" s="246"/>
      <c r="FG54" s="246"/>
      <c r="FH54" s="246"/>
      <c r="FI54" s="246"/>
      <c r="FJ54" s="246"/>
      <c r="FK54" s="246"/>
      <c r="FL54" s="246"/>
      <c r="FM54" s="246"/>
      <c r="FN54" s="246"/>
      <c r="FO54" s="246"/>
      <c r="FP54" s="246"/>
      <c r="FQ54" s="246"/>
      <c r="FR54" s="246"/>
      <c r="FS54" s="246"/>
      <c r="FT54" s="246"/>
      <c r="FU54" s="246"/>
      <c r="FV54" s="246"/>
      <c r="FW54" s="246"/>
      <c r="FX54" s="246"/>
      <c r="FY54" s="246"/>
      <c r="FZ54" s="246"/>
      <c r="GA54" s="246"/>
      <c r="GB54" s="246"/>
      <c r="GC54" s="246"/>
      <c r="GD54" s="246"/>
      <c r="GE54" s="246"/>
      <c r="GF54" s="246"/>
      <c r="GG54" s="246"/>
      <c r="GH54" s="246"/>
      <c r="GI54" s="246"/>
      <c r="GJ54" s="246"/>
      <c r="GK54" s="246"/>
      <c r="GL54" s="246"/>
      <c r="GM54" s="246"/>
      <c r="GN54" s="246"/>
      <c r="GO54" s="246"/>
      <c r="GP54" s="246"/>
      <c r="GQ54" s="246"/>
      <c r="GR54" s="246"/>
      <c r="GS54" s="246"/>
      <c r="GT54" s="246"/>
      <c r="GU54" s="246"/>
      <c r="GV54" s="246"/>
      <c r="GW54" s="246"/>
      <c r="GX54" s="246"/>
      <c r="GY54" s="246"/>
      <c r="GZ54" s="246"/>
      <c r="HA54" s="246"/>
      <c r="HB54" s="246"/>
      <c r="HC54" s="246"/>
      <c r="HD54" s="246"/>
      <c r="HE54" s="246"/>
      <c r="HF54" s="246"/>
    </row>
    <row r="55" spans="1:214" s="255" customFormat="1">
      <c r="A55" s="246"/>
      <c r="B55" s="246"/>
      <c r="C55" s="279">
        <v>210065</v>
      </c>
      <c r="D55" s="279" t="s">
        <v>330</v>
      </c>
      <c r="E55" s="280">
        <f>SUMIFS('Final UCC Appr''d FY2022'!M:M,'Final UCC Appr''d FY2022'!A:A,C55)</f>
        <v>143801564.67097867</v>
      </c>
      <c r="F55" s="251">
        <f>(('PDA Schedules FY 2020'!H56+'PDA Schedules FY 2020'!K56)/'PDA Schedules FY 2020'!$E56)</f>
        <v>0.3550999010721243</v>
      </c>
      <c r="G55" s="251">
        <f>'PDA Schedules FY 2020'!L56/'PDA Schedules FY 2020'!$E56</f>
        <v>8.2727073350501848E-2</v>
      </c>
      <c r="H55" s="251">
        <f>'PDA Schedules FY 2020'!M56/'PDA Schedules FY 2020'!$E56</f>
        <v>5.6082559802352237E-2</v>
      </c>
      <c r="I55" s="251">
        <f>'PDA Schedules FY 2020'!Q56/'PDA Schedules FY 2020'!$E56</f>
        <v>0.19689739921356625</v>
      </c>
      <c r="J55" s="251">
        <f>'PDA Schedules FY 2020'!R56/'PDA Schedules FY 2020'!$E56</f>
        <v>1.1963425734069728E-2</v>
      </c>
      <c r="K55" s="251">
        <f>SUMIFS(Input!G:G,Input!$A:$A,$C55)</f>
        <v>8.7433342300794692E-2</v>
      </c>
      <c r="L55" s="251">
        <f t="shared" si="27"/>
        <v>0.22175972426066071</v>
      </c>
      <c r="M55" s="260">
        <f>SUMIFS(Input!F:F,Input!A:A,C55)</f>
        <v>1.1064628607607305</v>
      </c>
      <c r="N55" s="253">
        <f>SUMIFS(Input!I:I,Input!$A:$A,$C55)</f>
        <v>8.7366237547161524E-2</v>
      </c>
      <c r="O55" s="251">
        <f t="shared" si="28"/>
        <v>0.22182682901429385</v>
      </c>
      <c r="P55" s="262">
        <f t="shared" si="18"/>
        <v>1.1594590663477784</v>
      </c>
      <c r="Q55" s="423">
        <f t="shared" si="29"/>
        <v>150689222.22850636</v>
      </c>
      <c r="R55" s="2"/>
      <c r="S55" s="281">
        <f t="shared" si="30"/>
        <v>150689222.22850636</v>
      </c>
      <c r="T55" s="347">
        <f t="shared" si="20"/>
        <v>1.1594590663477784</v>
      </c>
      <c r="U55" s="282">
        <f t="shared" si="3"/>
        <v>129965107.52481131</v>
      </c>
      <c r="V55" s="253">
        <f t="shared" si="21"/>
        <v>8.7366237547161524E-2</v>
      </c>
      <c r="W55" s="280">
        <f t="shared" si="4"/>
        <v>11354562.456855055</v>
      </c>
      <c r="X55" s="283">
        <f t="shared" si="22"/>
        <v>4.65E-2</v>
      </c>
      <c r="Y55" s="253">
        <f t="shared" si="5"/>
        <v>-4.0866237547161524E-2</v>
      </c>
      <c r="Z55" s="274">
        <f t="shared" si="31"/>
        <v>1.108008603691562</v>
      </c>
      <c r="AA55" s="280">
        <f t="shared" si="7"/>
        <v>144002457.3171899</v>
      </c>
      <c r="AB55" s="282">
        <f t="shared" si="8"/>
        <v>124197965.66927403</v>
      </c>
      <c r="AC55" s="319">
        <f t="shared" si="9"/>
        <v>-5767141.8555372804</v>
      </c>
      <c r="AD55" s="280">
        <f t="shared" si="10"/>
        <v>0</v>
      </c>
      <c r="AE55" s="319">
        <f t="shared" si="11"/>
        <v>-5767141.8555372804</v>
      </c>
      <c r="AF55" s="284"/>
      <c r="AG55" s="246"/>
      <c r="AH55" s="253">
        <f t="shared" si="23"/>
        <v>8.7366237547161524E-2</v>
      </c>
      <c r="AI55" s="262">
        <f t="shared" si="24"/>
        <v>1.1594590663477784</v>
      </c>
      <c r="AJ55" s="285">
        <f t="shared" si="26"/>
        <v>4.65E-2</v>
      </c>
      <c r="AK55" s="277">
        <f t="shared" si="25"/>
        <v>4.65E-2</v>
      </c>
      <c r="AL55" s="286">
        <f t="shared" si="12"/>
        <v>0.13386623754716154</v>
      </c>
      <c r="AM55" s="287">
        <f t="shared" si="32"/>
        <v>1.1594590663477784</v>
      </c>
      <c r="AN55" s="256">
        <f t="shared" si="14"/>
        <v>150689222.22850636</v>
      </c>
      <c r="AO55" s="256">
        <f t="shared" si="15"/>
        <v>144002457.3171899</v>
      </c>
      <c r="AP55" s="277">
        <f>('PDA Schedules FY 2020'!K56+'PDA Schedules FY 2020'!Q56)/'PDA Schedules FY 2020'!E56</f>
        <v>0.28178597584730314</v>
      </c>
      <c r="AQ55" s="256">
        <f t="shared" si="16"/>
        <v>42462109.535330787</v>
      </c>
      <c r="AR55" s="256">
        <f t="shared" si="17"/>
        <v>40577872.959533975</v>
      </c>
      <c r="AT55" s="174"/>
      <c r="BM55" s="288"/>
      <c r="BN55" s="288"/>
      <c r="BO55" s="288"/>
      <c r="BP55" s="288"/>
      <c r="BQ55" s="167"/>
      <c r="BR55" s="288"/>
      <c r="BS55" s="288"/>
      <c r="BT55" s="289"/>
      <c r="BU55" s="289"/>
      <c r="BV55" s="289"/>
      <c r="BW55" s="289"/>
      <c r="BX55" s="246"/>
      <c r="BY55" s="246"/>
      <c r="BZ55" s="246"/>
      <c r="CA55" s="246"/>
      <c r="CB55" s="246"/>
      <c r="CC55" s="246"/>
      <c r="CD55" s="246"/>
      <c r="CE55" s="246"/>
      <c r="CF55" s="246"/>
      <c r="CG55" s="246"/>
      <c r="CH55" s="246"/>
      <c r="CI55" s="246"/>
      <c r="CJ55" s="246"/>
      <c r="CK55" s="246"/>
      <c r="CL55" s="246"/>
      <c r="CM55" s="246"/>
      <c r="CN55" s="246"/>
      <c r="CO55" s="246"/>
      <c r="CP55" s="246"/>
      <c r="CQ55" s="246"/>
      <c r="CR55" s="246"/>
      <c r="CS55" s="246"/>
      <c r="CT55" s="246"/>
      <c r="CU55" s="246"/>
      <c r="CV55" s="246"/>
      <c r="CW55" s="246"/>
      <c r="CX55" s="246"/>
      <c r="CY55" s="246"/>
      <c r="CZ55" s="246"/>
      <c r="DA55" s="246"/>
      <c r="DB55" s="246"/>
      <c r="DC55" s="246"/>
      <c r="DD55" s="246"/>
      <c r="DE55" s="246"/>
      <c r="DF55" s="246"/>
      <c r="DG55" s="246"/>
      <c r="DH55" s="246"/>
      <c r="DI55" s="246"/>
      <c r="DJ55" s="246"/>
      <c r="DK55" s="246"/>
      <c r="DL55" s="246"/>
      <c r="DM55" s="246"/>
      <c r="DN55" s="246"/>
      <c r="DO55" s="246"/>
      <c r="DP55" s="246"/>
      <c r="DQ55" s="246"/>
      <c r="DR55" s="246"/>
      <c r="DS55" s="246"/>
      <c r="DT55" s="246"/>
      <c r="DU55" s="246"/>
      <c r="DV55" s="246"/>
      <c r="DW55" s="246"/>
      <c r="DX55" s="246"/>
      <c r="DY55" s="246"/>
      <c r="DZ55" s="246"/>
      <c r="EA55" s="246"/>
      <c r="EB55" s="246"/>
      <c r="EC55" s="246"/>
      <c r="ED55" s="246"/>
      <c r="EE55" s="246"/>
      <c r="EF55" s="246"/>
      <c r="EG55" s="246"/>
      <c r="EH55" s="246"/>
      <c r="EI55" s="246"/>
      <c r="EJ55" s="246"/>
      <c r="EK55" s="246"/>
      <c r="EL55" s="246"/>
      <c r="EM55" s="246"/>
      <c r="EN55" s="246"/>
      <c r="EO55" s="246"/>
      <c r="EP55" s="246"/>
      <c r="EQ55" s="246"/>
      <c r="ER55" s="246"/>
      <c r="ES55" s="246"/>
      <c r="ET55" s="246"/>
      <c r="EU55" s="246"/>
      <c r="EV55" s="246"/>
      <c r="EW55" s="246"/>
      <c r="EX55" s="246"/>
      <c r="EY55" s="246"/>
      <c r="EZ55" s="246"/>
      <c r="FA55" s="246"/>
      <c r="FB55" s="246"/>
      <c r="FC55" s="246"/>
      <c r="FD55" s="246"/>
      <c r="FE55" s="246"/>
      <c r="FF55" s="246"/>
      <c r="FG55" s="246"/>
      <c r="FH55" s="246"/>
      <c r="FI55" s="246"/>
      <c r="FJ55" s="246"/>
      <c r="FK55" s="246"/>
      <c r="FL55" s="246"/>
      <c r="FM55" s="246"/>
      <c r="FN55" s="246"/>
      <c r="FO55" s="246"/>
      <c r="FP55" s="246"/>
      <c r="FQ55" s="246"/>
      <c r="FR55" s="246"/>
      <c r="FS55" s="246"/>
      <c r="FT55" s="246"/>
      <c r="FU55" s="246"/>
      <c r="FV55" s="246"/>
      <c r="FW55" s="246"/>
      <c r="FX55" s="246"/>
      <c r="FY55" s="246"/>
      <c r="FZ55" s="246"/>
      <c r="GA55" s="246"/>
      <c r="GB55" s="246"/>
      <c r="GC55" s="246"/>
      <c r="GD55" s="246"/>
      <c r="GE55" s="246"/>
      <c r="GF55" s="246"/>
      <c r="GG55" s="246"/>
      <c r="GH55" s="246"/>
      <c r="GI55" s="246"/>
      <c r="GJ55" s="246"/>
      <c r="GK55" s="246"/>
      <c r="GL55" s="246"/>
      <c r="GM55" s="246"/>
      <c r="GN55" s="246"/>
      <c r="GO55" s="246"/>
      <c r="GP55" s="246"/>
      <c r="GQ55" s="246"/>
      <c r="GR55" s="246"/>
      <c r="GS55" s="246"/>
      <c r="GT55" s="246"/>
      <c r="GU55" s="246"/>
      <c r="GV55" s="246"/>
      <c r="GW55" s="246"/>
      <c r="GX55" s="246"/>
      <c r="GY55" s="246"/>
      <c r="GZ55" s="246"/>
      <c r="HA55" s="246"/>
      <c r="HB55" s="246"/>
      <c r="HC55" s="246"/>
      <c r="HD55" s="246"/>
      <c r="HE55" s="246"/>
      <c r="HF55" s="246"/>
    </row>
    <row r="56" spans="1:214" s="255" customFormat="1">
      <c r="A56" s="246"/>
      <c r="B56" s="246"/>
      <c r="C56" s="279">
        <v>218992</v>
      </c>
      <c r="D56" s="279" t="s">
        <v>348</v>
      </c>
      <c r="E56" s="280">
        <f>SUMIFS('Final UCC Appr''d FY2022'!M:M,'Final UCC Appr''d FY2022'!A:A,C56)</f>
        <v>255823907.08843413</v>
      </c>
      <c r="F56" s="251">
        <f>(('PDA Schedules FY 2020'!H57+'PDA Schedules FY 2020'!K57)/'PDA Schedules FY 2020'!$E57)</f>
        <v>0.3815995473018518</v>
      </c>
      <c r="G56" s="251">
        <f>'PDA Schedules FY 2020'!L57/'PDA Schedules FY 2020'!$E57</f>
        <v>6.2664144506112782E-2</v>
      </c>
      <c r="H56" s="251">
        <f>'PDA Schedules FY 2020'!M57/'PDA Schedules FY 2020'!$E57</f>
        <v>1.0058732130715954E-2</v>
      </c>
      <c r="I56" s="251">
        <f>'PDA Schedules FY 2020'!Q57/'PDA Schedules FY 2020'!$E57</f>
        <v>0.26935047908037235</v>
      </c>
      <c r="J56" s="251">
        <f>'PDA Schedules FY 2020'!R57/'PDA Schedules FY 2020'!$E57</f>
        <v>1.6303229711116466E-3</v>
      </c>
      <c r="K56" s="251">
        <f>SUMIFS(Input!G:G,Input!$A:$A,$C56)</f>
        <v>6.2553287298862489E-2</v>
      </c>
      <c r="L56" s="251">
        <f t="shared" si="27"/>
        <v>0.21377380968208459</v>
      </c>
      <c r="M56" s="260">
        <f>SUMIFS(Input!F:F,Input!A:A,C56)</f>
        <v>1.1102961842696528</v>
      </c>
      <c r="N56" s="253">
        <f>SUMIFS(Input!I:I,Input!$A:$A,$C56)</f>
        <v>6.282427808490583E-2</v>
      </c>
      <c r="O56" s="251">
        <f t="shared" si="28"/>
        <v>0.21350281889604117</v>
      </c>
      <c r="P56" s="262">
        <f t="shared" si="18"/>
        <v>1.1348949930600944</v>
      </c>
      <c r="Q56" s="424">
        <f t="shared" si="29"/>
        <v>261491731.10120562</v>
      </c>
      <c r="R56" s="2"/>
      <c r="S56" s="281">
        <f t="shared" si="30"/>
        <v>261491731.10120562</v>
      </c>
      <c r="T56" s="347">
        <f t="shared" si="20"/>
        <v>1.1348949930600944</v>
      </c>
      <c r="U56" s="282">
        <f>S56/T56</f>
        <v>230410507.31585985</v>
      </c>
      <c r="V56" s="253">
        <f t="shared" si="21"/>
        <v>6.282427808490583E-2</v>
      </c>
      <c r="W56" s="280">
        <f>V56*U56</f>
        <v>14475373.785295809</v>
      </c>
      <c r="X56" s="283">
        <f t="shared" si="22"/>
        <v>4.65E-2</v>
      </c>
      <c r="Y56" s="253">
        <f>X56-V56</f>
        <v>-1.632427808490583E-2</v>
      </c>
      <c r="Z56" s="274">
        <f t="shared" si="31"/>
        <v>1.1146574784993861</v>
      </c>
      <c r="AA56" s="280">
        <f>S56/T56*Z56</f>
        <v>256828795.10446072</v>
      </c>
      <c r="AB56" s="282">
        <f>AA56/T56</f>
        <v>226301813.53779331</v>
      </c>
      <c r="AC56" s="319">
        <f>(AB56-U56)</f>
        <v>-4108693.7780665457</v>
      </c>
      <c r="AD56" s="280">
        <f>IF(AC56&gt;0,AC56,0)</f>
        <v>0</v>
      </c>
      <c r="AE56" s="319">
        <f t="shared" si="11"/>
        <v>-4108693.7780665457</v>
      </c>
      <c r="AF56" s="284"/>
      <c r="AG56" s="246"/>
      <c r="AH56" s="253">
        <f t="shared" si="23"/>
        <v>6.282427808490583E-2</v>
      </c>
      <c r="AI56" s="262">
        <f t="shared" si="24"/>
        <v>1.1348949930600944</v>
      </c>
      <c r="AJ56" s="285">
        <f t="shared" si="26"/>
        <v>4.65E-2</v>
      </c>
      <c r="AK56" s="277">
        <f t="shared" si="25"/>
        <v>4.65E-2</v>
      </c>
      <c r="AL56" s="286">
        <f>AH56+AK56</f>
        <v>0.10932427808490583</v>
      </c>
      <c r="AM56" s="287">
        <f t="shared" si="32"/>
        <v>1.1348949930600944</v>
      </c>
      <c r="AN56" s="256">
        <f>S56</f>
        <v>261491731.10120562</v>
      </c>
      <c r="AO56" s="256">
        <f>AA56</f>
        <v>256828795.10446072</v>
      </c>
      <c r="AP56" s="277">
        <f>('PDA Schedules FY 2020'!K57+'PDA Schedules FY 2020'!Q57)/'PDA Schedules FY 2020'!E57</f>
        <v>0.3648264057533166</v>
      </c>
      <c r="AQ56" s="256">
        <f>AN56*AP56</f>
        <v>95399088.391865596</v>
      </c>
      <c r="AR56" s="256">
        <f>AO56*AP56</f>
        <v>93697926.211915404</v>
      </c>
      <c r="AT56" s="174"/>
      <c r="BM56" s="288"/>
      <c r="BN56" s="288"/>
      <c r="BO56" s="288"/>
      <c r="BP56" s="288"/>
      <c r="BQ56" s="167"/>
      <c r="BR56" s="288"/>
      <c r="BS56" s="288"/>
      <c r="BT56" s="289"/>
      <c r="BU56" s="289"/>
      <c r="BV56" s="289"/>
      <c r="BW56" s="289"/>
      <c r="BX56" s="246"/>
      <c r="BY56" s="246"/>
      <c r="BZ56" s="246"/>
      <c r="CA56" s="246"/>
      <c r="CB56" s="246"/>
      <c r="CC56" s="246"/>
      <c r="CD56" s="246"/>
      <c r="CE56" s="246"/>
      <c r="CF56" s="246"/>
      <c r="CG56" s="246"/>
      <c r="CH56" s="246"/>
      <c r="CI56" s="246"/>
      <c r="CJ56" s="246"/>
      <c r="CK56" s="246"/>
      <c r="CL56" s="246"/>
      <c r="CM56" s="246"/>
      <c r="CN56" s="246"/>
      <c r="CO56" s="246"/>
      <c r="CP56" s="246"/>
      <c r="CQ56" s="246"/>
      <c r="CR56" s="246"/>
      <c r="CS56" s="246"/>
      <c r="CT56" s="246"/>
      <c r="CU56" s="246"/>
      <c r="CV56" s="246"/>
      <c r="CW56" s="246"/>
      <c r="CX56" s="246"/>
      <c r="CY56" s="246"/>
      <c r="CZ56" s="246"/>
      <c r="DA56" s="246"/>
      <c r="DB56" s="246"/>
      <c r="DC56" s="246"/>
      <c r="DD56" s="246"/>
      <c r="DE56" s="246"/>
      <c r="DF56" s="246"/>
      <c r="DG56" s="246"/>
      <c r="DH56" s="246"/>
      <c r="DI56" s="246"/>
      <c r="DJ56" s="246"/>
      <c r="DK56" s="246"/>
      <c r="DL56" s="246"/>
      <c r="DM56" s="246"/>
      <c r="DN56" s="246"/>
      <c r="DO56" s="246"/>
      <c r="DP56" s="246"/>
      <c r="DQ56" s="246"/>
      <c r="DR56" s="246"/>
      <c r="DS56" s="246"/>
      <c r="DT56" s="246"/>
      <c r="DU56" s="246"/>
      <c r="DV56" s="246"/>
      <c r="DW56" s="246"/>
      <c r="DX56" s="246"/>
      <c r="DY56" s="246"/>
      <c r="DZ56" s="246"/>
      <c r="EA56" s="246"/>
      <c r="EB56" s="246"/>
      <c r="EC56" s="246"/>
      <c r="ED56" s="246"/>
      <c r="EE56" s="246"/>
      <c r="EF56" s="246"/>
      <c r="EG56" s="246"/>
      <c r="EH56" s="246"/>
      <c r="EI56" s="246"/>
      <c r="EJ56" s="246"/>
      <c r="EK56" s="246"/>
      <c r="EL56" s="246"/>
      <c r="EM56" s="246"/>
      <c r="EN56" s="246"/>
      <c r="EO56" s="246"/>
      <c r="EP56" s="246"/>
      <c r="EQ56" s="246"/>
      <c r="ER56" s="246"/>
      <c r="ES56" s="246"/>
      <c r="ET56" s="246"/>
      <c r="EU56" s="246"/>
      <c r="EV56" s="246"/>
      <c r="EW56" s="246"/>
      <c r="EX56" s="246"/>
      <c r="EY56" s="246"/>
      <c r="EZ56" s="246"/>
      <c r="FA56" s="246"/>
      <c r="FB56" s="246"/>
      <c r="FC56" s="246"/>
      <c r="FD56" s="246"/>
      <c r="FE56" s="246"/>
      <c r="FF56" s="246"/>
      <c r="FG56" s="246"/>
      <c r="FH56" s="246"/>
      <c r="FI56" s="246"/>
      <c r="FJ56" s="246"/>
      <c r="FK56" s="246"/>
      <c r="FL56" s="246"/>
      <c r="FM56" s="246"/>
      <c r="FN56" s="246"/>
      <c r="FO56" s="246"/>
      <c r="FP56" s="246"/>
      <c r="FQ56" s="246"/>
      <c r="FR56" s="246"/>
      <c r="FS56" s="246"/>
      <c r="FT56" s="246"/>
      <c r="FU56" s="246"/>
      <c r="FV56" s="246"/>
      <c r="FW56" s="246"/>
      <c r="FX56" s="246"/>
      <c r="FY56" s="246"/>
      <c r="FZ56" s="246"/>
      <c r="GA56" s="246"/>
      <c r="GB56" s="246"/>
      <c r="GC56" s="246"/>
      <c r="GD56" s="246"/>
      <c r="GE56" s="246"/>
      <c r="GF56" s="246"/>
      <c r="GG56" s="246"/>
      <c r="GH56" s="246"/>
      <c r="GI56" s="246"/>
      <c r="GJ56" s="246"/>
      <c r="GK56" s="246"/>
      <c r="GL56" s="246"/>
      <c r="GM56" s="246"/>
      <c r="GN56" s="246"/>
      <c r="GO56" s="246"/>
      <c r="GP56" s="246"/>
      <c r="GQ56" s="246"/>
      <c r="GR56" s="246"/>
      <c r="GS56" s="246"/>
      <c r="GT56" s="246"/>
      <c r="GU56" s="246"/>
      <c r="GV56" s="246"/>
      <c r="GW56" s="246"/>
      <c r="GX56" s="246"/>
      <c r="GY56" s="246"/>
      <c r="GZ56" s="246"/>
      <c r="HA56" s="246"/>
      <c r="HB56" s="246"/>
      <c r="HC56" s="246"/>
      <c r="HD56" s="246"/>
      <c r="HE56" s="246"/>
      <c r="HF56" s="246"/>
    </row>
    <row r="57" spans="1:214">
      <c r="A57" s="2"/>
      <c r="B57" s="2"/>
      <c r="C57" s="23"/>
      <c r="D57" s="23"/>
      <c r="E57" s="23"/>
      <c r="F57" s="15"/>
      <c r="G57" s="15"/>
      <c r="H57" s="15"/>
      <c r="I57" s="15"/>
      <c r="J57" s="15"/>
      <c r="K57" s="253"/>
      <c r="L57" s="23"/>
      <c r="M57" s="261"/>
      <c r="N57" s="15"/>
      <c r="O57" s="63"/>
      <c r="P57" s="23"/>
      <c r="Q57" s="14"/>
      <c r="R57" s="2"/>
      <c r="S57" s="63"/>
      <c r="T57" s="23"/>
      <c r="U57" s="25"/>
      <c r="V57" s="23"/>
      <c r="W57" s="23"/>
      <c r="X57" s="23"/>
      <c r="Y57" s="23"/>
      <c r="Z57" s="275"/>
      <c r="AA57" s="23"/>
      <c r="AB57" s="25"/>
      <c r="AC57" s="23"/>
      <c r="AD57" s="23"/>
      <c r="AE57" s="23"/>
      <c r="AF57" s="2"/>
      <c r="AG57" s="2"/>
      <c r="AH57" s="15"/>
      <c r="AI57" s="56"/>
      <c r="AJ57" s="2"/>
      <c r="AK57" s="22"/>
      <c r="AL57" s="2"/>
      <c r="AM57" s="2"/>
      <c r="AN57" s="2"/>
      <c r="AO57" s="2"/>
      <c r="AP57" s="2"/>
      <c r="AQ57" s="2"/>
      <c r="AR57" s="2"/>
      <c r="BM57" s="141"/>
      <c r="BN57" s="141"/>
      <c r="BO57" s="141"/>
      <c r="BP57" s="145"/>
      <c r="BQ57" s="144"/>
      <c r="BR57" s="145"/>
      <c r="BS57" s="145"/>
      <c r="BT57" s="42"/>
      <c r="BU57" s="42"/>
      <c r="BV57" s="42"/>
      <c r="BW57" s="4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</row>
    <row r="58" spans="1:214">
      <c r="A58" s="2"/>
      <c r="B58" s="2"/>
      <c r="C58" s="13">
        <v>219999</v>
      </c>
      <c r="D58" s="13" t="s">
        <v>404</v>
      </c>
      <c r="E58" s="14">
        <f>SUM(E9:E56)</f>
        <v>19349313229.622513</v>
      </c>
      <c r="F58" s="15" t="e">
        <f>(('PDA Schedules FY 2020'!H59+'PDA Schedules FY 2020'!K59)/'PDA Schedules FY 2020'!$E59)</f>
        <v>#REF!</v>
      </c>
      <c r="G58" s="15" t="e">
        <f>'PDA Schedules FY 2020'!L59/'PDA Schedules FY 2020'!$E59</f>
        <v>#REF!</v>
      </c>
      <c r="H58" s="15" t="e">
        <f>'PDA Schedules FY 2020'!M59/'PDA Schedules FY 2020'!$E59</f>
        <v>#REF!</v>
      </c>
      <c r="I58" s="15" t="e">
        <f>'PDA Schedules FY 2020'!Q59/'PDA Schedules FY 2020'!$E59</f>
        <v>#REF!</v>
      </c>
      <c r="J58" s="15" t="e">
        <f>'PDA Schedules FY 2020'!R59/'PDA Schedules FY 2020'!$E59</f>
        <v>#REF!</v>
      </c>
      <c r="K58" s="254">
        <f>+'Final UCC Appr''d FY2022'!I8</f>
        <v>1.723315650464885E-2</v>
      </c>
      <c r="L58" s="15" t="e">
        <f>1-(F58+G58+H58+I58+K58)</f>
        <v>#REF!</v>
      </c>
      <c r="M58" s="262">
        <f>SUMIFS(Input!F:F,Input!A:A,C58)</f>
        <v>1.1100607628333776</v>
      </c>
      <c r="N58" s="15">
        <f>SUMIFS(Input!I:I,Input!$A:$A,$C58)</f>
        <v>4.6314150925130408E-2</v>
      </c>
      <c r="O58" s="13"/>
      <c r="P58" s="56">
        <f>T58</f>
        <v>1.1132989436630398</v>
      </c>
      <c r="Q58" s="14">
        <f>SUM(Q9:Q56)</f>
        <v>19405844586.241547</v>
      </c>
      <c r="R58" s="2"/>
      <c r="S58" s="188">
        <f>SUM(S9:S56)</f>
        <v>19405844586.241547</v>
      </c>
      <c r="T58" s="56">
        <f>S58/U58</f>
        <v>1.1132989436630398</v>
      </c>
      <c r="U58" s="58">
        <f>SUM(U9:U56)</f>
        <v>17430937751.895576</v>
      </c>
      <c r="V58" s="15">
        <f>W58/U58</f>
        <v>4.6507898916573143E-2</v>
      </c>
      <c r="W58" s="14">
        <f>SUM(W9:W56)</f>
        <v>810676290.98623812</v>
      </c>
      <c r="X58" s="27">
        <f>(W58+AD58+AE58)/AB58</f>
        <v>4.6485450268884343E-2</v>
      </c>
      <c r="Y58" s="15">
        <f>X58-V58</f>
        <v>-2.2448647688799728E-5</v>
      </c>
      <c r="Z58" s="274">
        <f>AA58/U58</f>
        <v>1.1130232099629396</v>
      </c>
      <c r="AA58" s="14">
        <f>SUM(AA9:AA56)</f>
        <v>19401038289.278999</v>
      </c>
      <c r="AB58" s="58">
        <f>SUM(AB9:AB56)</f>
        <v>17430527374.329151</v>
      </c>
      <c r="AC58" s="318">
        <f>SUM(AC9:AC56)</f>
        <v>-410377.56643322855</v>
      </c>
      <c r="AD58" s="318">
        <f>SUM(AD9:AD56)</f>
        <v>101569403.19156653</v>
      </c>
      <c r="AE58" s="318">
        <f>SUM(AE9:AE56)</f>
        <v>-101979780.75799976</v>
      </c>
      <c r="AF58" s="8"/>
      <c r="AG58" s="2"/>
      <c r="AH58" s="15">
        <f t="shared" si="23"/>
        <v>4.6507898916573143E-2</v>
      </c>
      <c r="AI58" s="56">
        <f t="shared" si="24"/>
        <v>1.1132989436630398</v>
      </c>
      <c r="AJ58" s="59"/>
      <c r="AK58" s="22">
        <f t="shared" si="25"/>
        <v>0</v>
      </c>
      <c r="AL58" s="60">
        <f>V58</f>
        <v>4.6507898916573143E-2</v>
      </c>
      <c r="AM58" s="61">
        <f>AN58/+U58</f>
        <v>1.1132989436630398</v>
      </c>
      <c r="AN58" s="18">
        <f>SUM(AN9:AN56)</f>
        <v>19405844586.241547</v>
      </c>
      <c r="AO58" s="18">
        <f>SUM(AO9:AO56)</f>
        <v>19401038289.278999</v>
      </c>
      <c r="AP58" s="22" t="e">
        <f>('PDA Schedules FY 2020'!K59+'PDA Schedules FY 2020'!Q59)/'PDA Schedules FY 2020'!E59</f>
        <v>#REF!</v>
      </c>
      <c r="AQ58" s="18">
        <f>SUM(AQ9:AQ56)</f>
        <v>4978691715.951004</v>
      </c>
      <c r="AR58" s="18">
        <f>SUM(AR9:AR56)</f>
        <v>4971147938.4312439</v>
      </c>
      <c r="AT58" s="154"/>
      <c r="BM58" s="141"/>
      <c r="BN58" s="141"/>
      <c r="BO58" s="141"/>
      <c r="BP58"/>
      <c r="BQ58"/>
      <c r="BR58"/>
      <c r="BS58"/>
      <c r="BT58" s="42"/>
      <c r="BU58" s="42"/>
      <c r="BV58" s="42"/>
      <c r="BW58" s="4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</row>
    <row r="59" spans="1:214">
      <c r="A59" s="6"/>
      <c r="B59" s="2"/>
      <c r="C59" s="104"/>
      <c r="D59" s="105"/>
      <c r="E59" s="186"/>
      <c r="F59" s="31"/>
      <c r="G59" s="23"/>
      <c r="H59" s="23"/>
      <c r="I59" s="23"/>
      <c r="J59" s="23"/>
      <c r="L59" s="23"/>
      <c r="M59" s="261"/>
      <c r="N59" s="23"/>
      <c r="O59" s="23"/>
      <c r="P59" s="177">
        <f>+M58/P58-1</f>
        <v>-2.9086355000101927E-3</v>
      </c>
      <c r="Q59" s="177">
        <f>+Q58/E58-1</f>
        <v>2.9216208321278803E-3</v>
      </c>
      <c r="R59" s="2"/>
      <c r="S59" s="133"/>
      <c r="T59" s="64"/>
      <c r="U59" s="65"/>
      <c r="V59" s="23"/>
      <c r="W59" s="31"/>
      <c r="X59" s="52" t="s">
        <v>111</v>
      </c>
      <c r="Y59" s="66"/>
      <c r="Z59" s="261"/>
      <c r="AA59" s="52" t="s">
        <v>120</v>
      </c>
      <c r="AB59" s="23"/>
      <c r="AC59" s="52" t="s">
        <v>103</v>
      </c>
      <c r="AD59" s="23"/>
      <c r="AE59" s="23"/>
      <c r="AF59" s="2"/>
      <c r="AG59" s="2"/>
      <c r="AH59" s="55"/>
      <c r="AI59" s="67"/>
      <c r="AJ59" s="2"/>
      <c r="AK59" s="2"/>
      <c r="AL59" s="2"/>
      <c r="AM59" s="2"/>
      <c r="AN59" s="9" t="s">
        <v>146</v>
      </c>
      <c r="AO59" s="18">
        <f>AO58-AN58</f>
        <v>-4806296.9625473022</v>
      </c>
      <c r="AP59" s="2"/>
      <c r="AQ59" s="68" t="s">
        <v>150</v>
      </c>
      <c r="AR59" s="69">
        <f>AR58-AQ58</f>
        <v>-7543777.5197601318</v>
      </c>
      <c r="BM59" s="141"/>
      <c r="BN59" s="141"/>
      <c r="BO59" s="141"/>
      <c r="BP59"/>
      <c r="BQ59"/>
      <c r="BR59"/>
      <c r="BS59"/>
      <c r="BT59" s="42"/>
      <c r="BU59" s="42"/>
      <c r="BV59" s="42"/>
      <c r="BW59" s="4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</row>
    <row r="60" spans="1:214">
      <c r="A60" s="2"/>
      <c r="B60" s="2"/>
      <c r="C60" s="2"/>
      <c r="D60" s="2"/>
      <c r="E60" s="18"/>
      <c r="F60" s="18"/>
      <c r="G60" s="41"/>
      <c r="H60" s="41"/>
      <c r="I60" s="2"/>
      <c r="J60" s="2"/>
      <c r="K60" s="246"/>
      <c r="L60" s="2"/>
      <c r="M60" s="246"/>
      <c r="N60" s="2"/>
      <c r="O60" s="2"/>
      <c r="P60" s="2"/>
      <c r="Q60" s="18"/>
      <c r="R60" s="2"/>
      <c r="S60" s="189"/>
      <c r="T60" s="6"/>
      <c r="U60" s="349">
        <v>1.09E-2</v>
      </c>
      <c r="V60" s="1" t="s">
        <v>444</v>
      </c>
      <c r="W60" s="2"/>
      <c r="X60" s="48" t="s">
        <v>100</v>
      </c>
      <c r="Y60" s="71"/>
      <c r="Z60" s="246"/>
      <c r="AA60" s="48" t="s">
        <v>121</v>
      </c>
      <c r="AB60" s="2"/>
      <c r="AC60" s="48" t="s">
        <v>130</v>
      </c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9"/>
      <c r="AO60" s="2"/>
      <c r="AP60" s="18"/>
      <c r="AQ60" s="18"/>
      <c r="AR60" s="18"/>
      <c r="AS60" s="2"/>
      <c r="AT60" s="2"/>
      <c r="BM60" s="141"/>
      <c r="BN60" s="141"/>
      <c r="BO60" s="141"/>
      <c r="BP60" s="42"/>
      <c r="BQ60" s="42"/>
      <c r="BR60" s="42"/>
      <c r="BS60" s="42"/>
      <c r="BT60" s="42"/>
      <c r="BU60" s="42"/>
      <c r="BV60" s="42"/>
      <c r="BW60" s="4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</row>
    <row r="61" spans="1:214">
      <c r="A61" s="2"/>
      <c r="B61" s="2"/>
      <c r="C61" s="2"/>
      <c r="D61" s="2"/>
      <c r="E61" s="22"/>
      <c r="F61" s="18"/>
      <c r="G61" s="2"/>
      <c r="H61" s="2"/>
      <c r="I61" s="2"/>
      <c r="J61" s="2"/>
      <c r="K61" s="246"/>
      <c r="L61" s="2"/>
      <c r="M61" s="246"/>
      <c r="N61" s="2"/>
      <c r="O61" s="2"/>
      <c r="P61" s="2"/>
      <c r="Q61" s="2"/>
      <c r="R61" s="2"/>
      <c r="S61" s="6"/>
      <c r="T61" s="6"/>
      <c r="U61" s="70">
        <f>U58*U60</f>
        <v>189997221.4956618</v>
      </c>
      <c r="V61" s="2"/>
      <c r="W61" s="2"/>
      <c r="X61" s="48" t="s">
        <v>113</v>
      </c>
      <c r="Y61" s="72"/>
      <c r="Z61" s="246"/>
      <c r="AA61" s="48" t="s">
        <v>122</v>
      </c>
      <c r="AB61" s="2"/>
      <c r="AC61" s="48" t="s">
        <v>131</v>
      </c>
      <c r="AD61" s="2"/>
      <c r="AE61" s="2"/>
      <c r="AF61" s="22"/>
      <c r="AG61" s="2"/>
      <c r="AH61" s="60"/>
      <c r="AI61" s="60"/>
      <c r="AJ61" s="22"/>
      <c r="AK61" s="22"/>
      <c r="AL61" s="60"/>
      <c r="AM61" s="61"/>
      <c r="AN61" s="30"/>
      <c r="AO61" s="18"/>
      <c r="AP61" s="22"/>
      <c r="AQ61" s="22"/>
      <c r="AR61" s="22"/>
      <c r="AS61" s="2"/>
      <c r="AT61" s="2"/>
      <c r="BE61" s="102"/>
      <c r="BF61" s="19"/>
      <c r="BG61" s="19"/>
      <c r="BH61" s="19"/>
      <c r="BI61" s="2"/>
      <c r="BJ61" s="19"/>
      <c r="BK61" s="2"/>
      <c r="BL61" s="42"/>
      <c r="BM61" s="141"/>
      <c r="BN61" s="141"/>
      <c r="BO61" s="141"/>
      <c r="BP61" s="42"/>
      <c r="BQ61" s="42"/>
      <c r="BR61" s="42"/>
      <c r="BS61" s="42"/>
      <c r="BT61" s="42"/>
      <c r="BU61" s="42"/>
      <c r="BV61" s="42"/>
      <c r="BW61" s="4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</row>
    <row r="62" spans="1:214">
      <c r="A62" s="6"/>
      <c r="B62" s="2"/>
      <c r="C62" s="2"/>
      <c r="D62" s="2"/>
      <c r="E62" s="18"/>
      <c r="F62" s="18"/>
      <c r="G62" s="18"/>
      <c r="H62" s="41"/>
      <c r="I62" s="2"/>
      <c r="J62" s="2"/>
      <c r="K62" s="246"/>
      <c r="L62" s="2"/>
      <c r="M62" s="246"/>
      <c r="N62" s="2"/>
      <c r="O62" s="2"/>
      <c r="P62" s="2"/>
      <c r="Q62" s="2"/>
      <c r="R62" s="2"/>
      <c r="S62" s="6"/>
      <c r="T62" s="6"/>
      <c r="U62" s="70"/>
      <c r="V62" s="70"/>
      <c r="W62" s="6"/>
      <c r="X62" s="39"/>
      <c r="Y62" s="71"/>
      <c r="Z62" s="276"/>
      <c r="AA62" s="70">
        <f>AD58+AE58</f>
        <v>-410377.566433236</v>
      </c>
      <c r="AB62" s="6"/>
      <c r="AC62" s="70">
        <f>AE58</f>
        <v>-101979780.75799976</v>
      </c>
      <c r="AD62" s="2"/>
      <c r="AE62" s="2"/>
      <c r="AF62" s="2"/>
      <c r="AG62" s="2"/>
      <c r="AH62" s="60"/>
      <c r="AI62" s="60"/>
      <c r="AJ62" s="9"/>
      <c r="AK62" s="19"/>
      <c r="AL62" s="60"/>
      <c r="AM62" s="60"/>
      <c r="AN62" s="30"/>
      <c r="AO62" s="22"/>
      <c r="AP62" s="22"/>
      <c r="AQ62" s="22"/>
      <c r="AR62" s="22"/>
      <c r="AS62" s="2"/>
      <c r="AT62" s="2"/>
      <c r="BE62" s="9"/>
      <c r="BF62" s="9"/>
      <c r="BG62" s="9"/>
      <c r="BH62" s="2"/>
      <c r="BI62" s="2"/>
      <c r="BJ62" s="19"/>
      <c r="BK62" s="2"/>
      <c r="BL62" s="42"/>
      <c r="BM62" s="141"/>
      <c r="BN62" s="141"/>
      <c r="BO62" s="141"/>
      <c r="BP62" s="42"/>
      <c r="BQ62" s="42"/>
      <c r="BR62" s="42"/>
      <c r="BS62" s="42"/>
      <c r="BT62" s="42"/>
      <c r="BU62" s="42"/>
      <c r="BV62" s="42"/>
      <c r="BW62" s="4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</row>
    <row r="63" spans="1:214">
      <c r="A63" s="6"/>
      <c r="B63" s="2"/>
      <c r="C63" s="2"/>
      <c r="D63" s="2"/>
      <c r="E63" s="18"/>
      <c r="F63" s="2"/>
      <c r="G63" s="2"/>
      <c r="H63" s="2"/>
      <c r="I63" s="2"/>
      <c r="J63" s="2"/>
      <c r="K63" s="246"/>
      <c r="L63" s="2"/>
      <c r="M63" s="246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73"/>
      <c r="Z63" s="246"/>
      <c r="AA63" s="187">
        <f>+AA58*X58</f>
        <v>901866000.56099987</v>
      </c>
      <c r="AB63" s="2"/>
      <c r="AC63" s="2"/>
      <c r="AD63" s="2"/>
      <c r="AE63" s="2"/>
      <c r="AF63" s="2"/>
      <c r="AG63" s="2"/>
      <c r="AH63" s="22"/>
      <c r="AI63" s="2"/>
      <c r="AJ63" s="60"/>
      <c r="AK63" s="22"/>
      <c r="AL63" s="22"/>
      <c r="AM63" s="2"/>
      <c r="AN63" s="2"/>
      <c r="AO63" s="2"/>
      <c r="AP63" s="2"/>
      <c r="AQ63" s="2"/>
      <c r="AR63" s="2"/>
      <c r="AS63" s="2"/>
      <c r="AT63" s="2"/>
      <c r="BE63" s="9"/>
      <c r="BF63" s="9"/>
      <c r="BG63" s="9"/>
      <c r="BH63" s="2"/>
      <c r="BI63" s="2"/>
      <c r="BJ63" s="19"/>
      <c r="BK63" s="2"/>
      <c r="BL63" s="42"/>
      <c r="BM63" s="141"/>
      <c r="BN63" s="141"/>
      <c r="BO63" s="141"/>
      <c r="BP63" s="42"/>
      <c r="BQ63" s="42"/>
      <c r="BR63" s="42"/>
      <c r="BS63" s="42"/>
      <c r="BT63" s="42"/>
      <c r="BU63" s="42"/>
      <c r="BV63" s="42"/>
      <c r="BW63" s="4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</row>
    <row r="64" spans="1:214">
      <c r="A64" s="2"/>
      <c r="B64" s="2"/>
      <c r="C64" s="2"/>
      <c r="D64" s="2"/>
      <c r="E64" s="18"/>
      <c r="F64" s="2"/>
      <c r="G64" s="2"/>
      <c r="H64" s="2"/>
      <c r="I64" s="2"/>
      <c r="J64" s="2"/>
      <c r="K64" s="246"/>
      <c r="L64" s="2"/>
      <c r="M64" s="246"/>
      <c r="N64" s="2"/>
      <c r="O64" s="2"/>
      <c r="P64" s="2"/>
      <c r="Q64" s="2"/>
      <c r="R64" s="2"/>
      <c r="S64" s="2"/>
      <c r="T64" s="2"/>
      <c r="U64" s="2"/>
      <c r="V64" s="2"/>
      <c r="W64" s="2"/>
      <c r="AA64" s="18"/>
      <c r="AB64" s="2"/>
      <c r="AC64" s="2"/>
      <c r="AD64" s="2"/>
      <c r="AE64" s="2"/>
      <c r="AF64" s="2"/>
      <c r="AG64" s="2"/>
      <c r="AH64" s="22"/>
      <c r="AI64" s="61"/>
      <c r="AJ64" s="2"/>
      <c r="AK64" s="22"/>
      <c r="AL64" s="22"/>
      <c r="AM64" s="22"/>
      <c r="AN64" s="22"/>
      <c r="AO64" s="22"/>
      <c r="AP64" s="22"/>
      <c r="AQ64" s="22"/>
      <c r="AR64" s="22"/>
      <c r="AS64" s="22"/>
      <c r="AT64" s="2"/>
      <c r="BE64" s="9"/>
      <c r="BF64" s="146"/>
      <c r="BG64" s="146"/>
      <c r="BH64" s="146"/>
      <c r="BI64" s="146"/>
      <c r="BJ64" s="146"/>
      <c r="BK64" s="146"/>
      <c r="BL64" s="42"/>
      <c r="BM64" s="141"/>
      <c r="BN64" s="141"/>
      <c r="BO64" s="141"/>
      <c r="BP64" s="42"/>
      <c r="BQ64" s="42"/>
      <c r="BR64" s="42"/>
      <c r="BS64" s="42"/>
      <c r="BT64" s="42"/>
      <c r="BU64" s="42"/>
      <c r="BV64" s="42"/>
      <c r="BW64" s="4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</row>
    <row r="65" spans="1:214">
      <c r="A65" s="2"/>
      <c r="B65" s="2"/>
      <c r="C65" s="2"/>
      <c r="D65" s="2"/>
      <c r="E65" s="18"/>
      <c r="F65" s="2"/>
      <c r="G65" s="2"/>
      <c r="H65" s="2"/>
      <c r="I65" s="2"/>
      <c r="J65" s="2"/>
      <c r="K65" s="246"/>
      <c r="L65" s="2"/>
      <c r="M65" s="246"/>
      <c r="N65" s="2"/>
      <c r="O65" s="2"/>
      <c r="P65" s="2"/>
      <c r="Q65" s="2"/>
      <c r="R65" s="2"/>
      <c r="S65" s="2"/>
      <c r="T65" s="2"/>
      <c r="U65" s="2"/>
      <c r="V65" s="2"/>
      <c r="W65" s="1" t="s">
        <v>444</v>
      </c>
      <c r="X65" s="350">
        <v>7.2499999999999995E-2</v>
      </c>
      <c r="Y65" s="22">
        <f>+X58</f>
        <v>4.6485450268884343E-2</v>
      </c>
      <c r="Z65" s="277">
        <f>+Y65-X65</f>
        <v>-2.6014549731115652E-2</v>
      </c>
      <c r="AA65" s="18">
        <f>+AA58/(1+Y65)*(1+X65)</f>
        <v>19883328105.426991</v>
      </c>
      <c r="AB65" s="2"/>
      <c r="AC65" s="2"/>
      <c r="AD65" s="2"/>
      <c r="AE65" s="2"/>
      <c r="AF65" s="2"/>
      <c r="AG65" s="2"/>
      <c r="AH65" s="22"/>
      <c r="AI65" s="61"/>
      <c r="AJ65" s="2"/>
      <c r="AK65" s="22"/>
      <c r="AL65" s="22"/>
      <c r="AM65" s="22"/>
      <c r="AN65" s="22"/>
      <c r="AO65" s="22"/>
      <c r="AP65" s="22"/>
      <c r="AQ65" s="22"/>
      <c r="AR65" s="22"/>
      <c r="AS65" s="22"/>
      <c r="AT65" s="2"/>
      <c r="BE65" s="9"/>
      <c r="BF65" s="9"/>
      <c r="BG65" s="9"/>
      <c r="BH65" s="2"/>
      <c r="BI65" s="2"/>
      <c r="BJ65" s="19"/>
      <c r="BK65" s="2"/>
      <c r="BL65" s="42"/>
      <c r="BM65" s="141"/>
      <c r="BN65" s="141"/>
      <c r="BO65" s="141"/>
      <c r="BP65" s="42"/>
      <c r="BQ65" s="42"/>
      <c r="BR65" s="42"/>
      <c r="BS65" s="42"/>
      <c r="BT65" s="42"/>
      <c r="BU65" s="42"/>
      <c r="BV65" s="42"/>
      <c r="BW65" s="4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</row>
    <row r="66" spans="1:214">
      <c r="A66" s="2"/>
      <c r="B66" s="2"/>
      <c r="C66" s="2"/>
      <c r="D66" s="2"/>
      <c r="E66" s="18"/>
      <c r="F66" s="2"/>
      <c r="G66" s="2"/>
      <c r="H66" s="2"/>
      <c r="I66" s="2"/>
      <c r="J66" s="2"/>
      <c r="K66" s="246"/>
      <c r="L66" s="2"/>
      <c r="M66" s="24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46"/>
      <c r="AA66" s="18">
        <f>+Z65*AA65</f>
        <v>-517255827.81871998</v>
      </c>
      <c r="AB66" s="2"/>
      <c r="AC66" s="2"/>
      <c r="AD66" s="2"/>
      <c r="AE66" s="2"/>
      <c r="AF66" s="2"/>
      <c r="AG66" s="2"/>
      <c r="AH66" s="22"/>
      <c r="AI66" s="60"/>
      <c r="AJ66" s="2"/>
      <c r="AK66" s="22"/>
      <c r="AL66" s="22"/>
      <c r="AM66" s="22"/>
      <c r="AN66" s="22"/>
      <c r="AO66" s="22"/>
      <c r="AP66" s="22"/>
      <c r="AQ66" s="22"/>
      <c r="AR66" s="22"/>
      <c r="AS66" s="22"/>
      <c r="AT66" s="2"/>
      <c r="BE66" s="9"/>
      <c r="BF66" s="9"/>
      <c r="BG66" s="9"/>
      <c r="BH66" s="2"/>
      <c r="BI66" s="2"/>
      <c r="BJ66" s="19"/>
      <c r="BK66" s="2"/>
      <c r="BL66" s="42"/>
      <c r="BM66" s="141"/>
      <c r="BN66" s="141"/>
      <c r="BO66" s="141"/>
      <c r="BP66" s="42"/>
      <c r="BQ66" s="42"/>
      <c r="BR66" s="42"/>
      <c r="BS66" s="42"/>
      <c r="BT66" s="42"/>
      <c r="BU66" s="42"/>
      <c r="BV66" s="42"/>
      <c r="BW66" s="4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</row>
    <row r="67" spans="1:214">
      <c r="A67" s="2"/>
      <c r="B67" s="2"/>
      <c r="C67" s="2"/>
      <c r="D67" s="2"/>
      <c r="E67" s="18"/>
      <c r="F67" s="2"/>
      <c r="G67" s="2"/>
      <c r="H67" s="2"/>
      <c r="I67" s="2"/>
      <c r="J67" s="2"/>
      <c r="K67" s="246"/>
      <c r="L67" s="2"/>
      <c r="M67" s="246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46"/>
      <c r="AA67" s="2"/>
      <c r="AB67" s="2"/>
      <c r="AC67" s="2"/>
      <c r="AD67" s="2"/>
      <c r="AE67" s="2"/>
      <c r="AF67" s="2"/>
      <c r="AG67" s="2"/>
      <c r="AH67" s="22"/>
      <c r="AI67" s="61"/>
      <c r="AJ67" s="2"/>
      <c r="AK67" s="22"/>
      <c r="AL67" s="22"/>
      <c r="AM67" s="22"/>
      <c r="AN67" s="22"/>
      <c r="AO67" s="22"/>
      <c r="AP67" s="22"/>
      <c r="AQ67" s="22"/>
      <c r="AR67" s="22"/>
      <c r="AS67" s="22"/>
      <c r="AT67" s="2"/>
      <c r="BE67" s="9"/>
      <c r="BF67" s="9"/>
      <c r="BG67" s="9"/>
      <c r="BH67" s="2"/>
      <c r="BI67" s="2"/>
      <c r="BJ67" s="19"/>
      <c r="BK67" s="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</row>
    <row r="68" spans="1:214">
      <c r="A68" s="2"/>
      <c r="B68" s="2"/>
      <c r="C68" s="2"/>
      <c r="D68" s="2"/>
      <c r="E68" s="18"/>
      <c r="F68" s="2"/>
      <c r="G68" s="2"/>
      <c r="H68" s="2"/>
      <c r="I68" s="2"/>
      <c r="J68" s="2"/>
      <c r="K68" s="246"/>
      <c r="L68" s="2"/>
      <c r="M68" s="246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46"/>
      <c r="AA68" s="2"/>
      <c r="AB68" s="2"/>
      <c r="AC68" s="2"/>
      <c r="AD68" s="2"/>
      <c r="AE68" s="2"/>
      <c r="AF68" s="2"/>
      <c r="AG68" s="2"/>
      <c r="AH68" s="22"/>
      <c r="AI68" s="61"/>
      <c r="AJ68" s="2"/>
      <c r="AK68" s="22"/>
      <c r="AL68" s="22"/>
      <c r="AM68" s="22"/>
      <c r="AN68" s="22"/>
      <c r="AO68" s="22"/>
      <c r="AP68" s="22"/>
      <c r="AQ68" s="22"/>
      <c r="AR68" s="22"/>
      <c r="AS68" s="22"/>
      <c r="AT68" s="2"/>
      <c r="BE68" s="9"/>
      <c r="BF68" s="9"/>
      <c r="BG68" s="9"/>
      <c r="BH68" s="2"/>
      <c r="BI68" s="2"/>
      <c r="BJ68" s="19"/>
      <c r="BK68" s="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</row>
    <row r="69" spans="1:214">
      <c r="A69" s="2"/>
      <c r="B69" s="2"/>
      <c r="C69" s="2"/>
      <c r="D69" s="2"/>
      <c r="E69" s="2"/>
      <c r="F69" s="2"/>
      <c r="G69" s="2"/>
      <c r="H69" s="2"/>
      <c r="I69" s="2"/>
      <c r="J69" s="2"/>
      <c r="K69" s="246"/>
      <c r="L69" s="2"/>
      <c r="M69" s="246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46"/>
      <c r="AA69" s="2"/>
      <c r="AB69" s="2"/>
      <c r="AC69" s="2"/>
      <c r="AD69" s="2"/>
      <c r="AE69" s="2"/>
      <c r="AF69" s="2"/>
      <c r="AG69" s="2"/>
      <c r="AH69" s="9"/>
      <c r="AI69" s="9"/>
      <c r="AJ69" s="9"/>
      <c r="AK69" s="22"/>
      <c r="AL69" s="22"/>
      <c r="AM69" s="22"/>
      <c r="AN69" s="22"/>
      <c r="AO69" s="22"/>
      <c r="AP69" s="22"/>
      <c r="AQ69" s="22"/>
      <c r="AR69" s="22"/>
      <c r="AS69" s="22"/>
      <c r="AT69" s="2"/>
      <c r="BE69" s="9"/>
      <c r="BF69" s="9"/>
      <c r="BG69" s="9"/>
      <c r="BH69" s="2"/>
      <c r="BI69" s="2"/>
      <c r="BJ69" s="19"/>
      <c r="BK69" s="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</row>
    <row r="70" spans="1:214">
      <c r="A70" s="2"/>
      <c r="B70" s="2"/>
      <c r="C70" s="2"/>
      <c r="D70" s="2"/>
      <c r="E70" s="2"/>
      <c r="F70" s="2"/>
      <c r="G70" s="2"/>
      <c r="H70" s="2"/>
      <c r="I70" s="2"/>
      <c r="J70" s="2"/>
      <c r="K70" s="246"/>
      <c r="L70" s="2"/>
      <c r="M70" s="263"/>
      <c r="N70" s="9"/>
      <c r="O70" s="42"/>
      <c r="P70" s="9"/>
      <c r="Q70" s="2"/>
      <c r="R70" s="2"/>
      <c r="S70" s="2"/>
      <c r="T70" s="2"/>
      <c r="U70" s="2"/>
      <c r="V70" s="2"/>
      <c r="W70" s="2"/>
      <c r="X70" s="2"/>
      <c r="Y70" s="2"/>
      <c r="Z70" s="278"/>
      <c r="AA70" s="2"/>
      <c r="AB70" s="2"/>
      <c r="AC70" s="2"/>
      <c r="AD70" s="2"/>
      <c r="AE70" s="2"/>
      <c r="AF70" s="2"/>
      <c r="AG70" s="2"/>
      <c r="AH70" s="9"/>
      <c r="AI70" s="9"/>
      <c r="AJ70" s="9"/>
      <c r="AK70" s="22"/>
      <c r="AL70" s="22"/>
      <c r="AM70" s="22"/>
      <c r="AN70" s="22"/>
      <c r="AO70" s="22"/>
      <c r="AP70" s="22"/>
      <c r="AQ70" s="22"/>
      <c r="AR70" s="22"/>
      <c r="AS70" s="22"/>
      <c r="AT70" s="2"/>
      <c r="BE70" s="2"/>
      <c r="BF70" s="9"/>
      <c r="BG70" s="9"/>
      <c r="BH70" s="2"/>
      <c r="BI70" s="2"/>
      <c r="BJ70" s="19"/>
      <c r="BK70" s="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</row>
    <row r="71" spans="1:214">
      <c r="A71" s="2"/>
      <c r="B71" s="2"/>
      <c r="C71" s="2"/>
      <c r="D71" s="2"/>
      <c r="E71" s="2"/>
      <c r="F71" s="2"/>
      <c r="G71" s="2"/>
      <c r="H71" s="2"/>
      <c r="I71" s="2"/>
      <c r="J71" s="2"/>
      <c r="K71" s="246"/>
      <c r="L71" s="2"/>
      <c r="M71" s="263"/>
      <c r="N71" s="9"/>
      <c r="O71" s="9"/>
      <c r="P71" s="9"/>
      <c r="Q71" s="2"/>
      <c r="R71" s="2"/>
      <c r="S71" s="2"/>
      <c r="T71" s="2"/>
      <c r="U71" s="2"/>
      <c r="V71" s="2"/>
      <c r="W71" s="2"/>
      <c r="X71" s="2"/>
      <c r="Y71" s="2"/>
      <c r="Z71" s="246"/>
      <c r="AA71" s="2"/>
      <c r="AB71" s="2"/>
      <c r="AC71" s="2"/>
      <c r="AD71" s="2"/>
      <c r="AE71" s="2"/>
      <c r="AF71" s="2"/>
      <c r="AG71" s="2"/>
      <c r="AH71" s="96"/>
      <c r="AI71" s="9"/>
      <c r="AJ71" s="9"/>
      <c r="AK71" s="22"/>
      <c r="AL71" s="22"/>
      <c r="AM71" s="22"/>
      <c r="AN71" s="22"/>
      <c r="AO71" s="22"/>
      <c r="AP71" s="22"/>
      <c r="AQ71" s="22"/>
      <c r="AR71" s="22"/>
      <c r="AS71" s="22"/>
      <c r="AT71" s="2"/>
      <c r="BE71" s="2"/>
      <c r="BF71" s="9"/>
      <c r="BG71" s="9"/>
      <c r="BH71" s="2"/>
      <c r="BI71" s="2"/>
      <c r="BJ71" s="19"/>
      <c r="BK71" s="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</row>
    <row r="72" spans="1:214">
      <c r="A72" s="2"/>
      <c r="B72" s="2"/>
      <c r="C72" s="2"/>
      <c r="D72" s="2"/>
      <c r="E72" s="2"/>
      <c r="F72" s="2"/>
      <c r="G72" s="2"/>
      <c r="H72" s="2"/>
      <c r="I72" s="2"/>
      <c r="J72" s="2"/>
      <c r="K72" s="246"/>
      <c r="L72" s="2"/>
      <c r="M72" s="263"/>
      <c r="N72" s="62"/>
      <c r="O72" s="9"/>
      <c r="P72" s="9"/>
      <c r="Q72" s="2"/>
      <c r="R72" s="2"/>
      <c r="S72" s="2"/>
      <c r="T72" s="2"/>
      <c r="U72" s="2"/>
      <c r="V72" s="2"/>
      <c r="W72" s="2"/>
      <c r="X72" s="2"/>
      <c r="Y72" s="2"/>
      <c r="Z72" s="246"/>
      <c r="AA72" s="2"/>
      <c r="AB72" s="2"/>
      <c r="AC72" s="2"/>
      <c r="AD72" s="2"/>
      <c r="AE72" s="2"/>
      <c r="AF72" s="2"/>
      <c r="AG72" s="2"/>
      <c r="AI72" s="2"/>
      <c r="AJ72" s="2"/>
      <c r="AK72" s="22"/>
      <c r="AL72" s="22"/>
      <c r="AM72" s="22"/>
      <c r="AN72" s="22"/>
      <c r="AO72" s="22"/>
      <c r="AP72" s="22"/>
      <c r="AQ72" s="22"/>
      <c r="AR72" s="22"/>
      <c r="AS72" s="22"/>
      <c r="AT72" s="2"/>
      <c r="BE72" s="2"/>
      <c r="BF72" s="9"/>
      <c r="BG72" s="9"/>
      <c r="BH72" s="2"/>
      <c r="BI72" s="2"/>
      <c r="BJ72" s="19"/>
      <c r="BK72" s="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</row>
    <row r="73" spans="1:214">
      <c r="A73" s="2"/>
      <c r="B73" s="2"/>
      <c r="C73" s="2"/>
      <c r="D73" s="2"/>
      <c r="E73" s="18"/>
      <c r="F73" s="18"/>
      <c r="G73" s="18"/>
      <c r="H73" s="18"/>
      <c r="I73" s="18"/>
      <c r="J73" s="2"/>
      <c r="K73" s="246"/>
      <c r="L73" s="2"/>
      <c r="M73" s="246"/>
      <c r="N73" s="2"/>
      <c r="O73" s="18"/>
      <c r="P73" s="2"/>
      <c r="Q73" s="2"/>
      <c r="R73" s="2"/>
      <c r="S73" s="2"/>
      <c r="T73" s="2"/>
      <c r="U73" s="2"/>
      <c r="V73" s="2"/>
      <c r="W73" s="2"/>
      <c r="X73" s="2"/>
      <c r="Y73" s="2"/>
      <c r="Z73" s="246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2"/>
      <c r="AL73" s="22"/>
      <c r="AM73" s="22"/>
      <c r="AN73" s="22"/>
      <c r="AO73" s="22"/>
      <c r="AP73" s="22"/>
      <c r="AQ73" s="22"/>
      <c r="AR73" s="22"/>
      <c r="AS73" s="22"/>
      <c r="AT73" s="2"/>
      <c r="BE73" s="2"/>
      <c r="BF73" s="9"/>
      <c r="BG73" s="9"/>
      <c r="BH73" s="2"/>
      <c r="BI73" s="2"/>
      <c r="BJ73" s="19"/>
      <c r="BK73" s="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</row>
    <row r="74" spans="1:214">
      <c r="A74" s="2"/>
      <c r="B74" s="2"/>
      <c r="C74" s="2"/>
      <c r="D74" s="2"/>
      <c r="E74" s="18"/>
      <c r="F74" s="18"/>
      <c r="G74" s="18"/>
      <c r="H74" s="18"/>
      <c r="I74" s="18"/>
      <c r="J74" s="2"/>
      <c r="K74" s="246"/>
      <c r="L74" s="2"/>
      <c r="M74" s="246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46"/>
      <c r="AA74" s="2"/>
      <c r="AB74" s="2"/>
      <c r="AC74" s="2"/>
      <c r="AD74" s="2"/>
      <c r="AE74" s="2"/>
      <c r="AF74" s="2"/>
      <c r="AG74" s="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"/>
      <c r="BE74" s="2"/>
      <c r="BF74" s="9"/>
      <c r="BG74" s="9"/>
      <c r="BH74" s="2"/>
      <c r="BI74" s="2"/>
      <c r="BJ74" s="19"/>
      <c r="BK74" s="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</row>
    <row r="75" spans="1:214">
      <c r="A75" s="2"/>
      <c r="B75" s="2"/>
      <c r="C75" s="2"/>
      <c r="D75" s="2"/>
      <c r="E75" s="18"/>
      <c r="F75" s="18"/>
      <c r="G75" s="18"/>
      <c r="H75" s="18"/>
      <c r="I75" s="18"/>
      <c r="J75" s="2"/>
      <c r="K75" s="246"/>
      <c r="L75" s="2"/>
      <c r="M75" s="256"/>
      <c r="N75" s="18"/>
      <c r="O75" s="18"/>
      <c r="P75" s="18"/>
      <c r="Q75" s="2"/>
      <c r="R75" s="2"/>
      <c r="S75" s="2"/>
      <c r="T75" s="2"/>
      <c r="U75" s="2"/>
      <c r="V75" s="2"/>
      <c r="W75" s="2"/>
      <c r="X75" s="2"/>
      <c r="Y75" s="2"/>
      <c r="Z75" s="246"/>
      <c r="AA75" s="2"/>
      <c r="AB75" s="2"/>
      <c r="AC75" s="2"/>
      <c r="AD75" s="2"/>
      <c r="AE75" s="18"/>
      <c r="AF75" s="18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"/>
      <c r="BE75" s="2"/>
      <c r="BF75" s="9"/>
      <c r="BG75" s="9"/>
      <c r="BH75" s="2"/>
      <c r="BI75" s="2"/>
      <c r="BJ75" s="19"/>
      <c r="BK75" s="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</row>
    <row r="76" spans="1:214">
      <c r="A76" s="2"/>
      <c r="B76" s="2"/>
      <c r="C76" s="2"/>
      <c r="D76" s="2"/>
      <c r="E76" s="18"/>
      <c r="F76" s="18"/>
      <c r="G76" s="18"/>
      <c r="H76" s="18"/>
      <c r="I76" s="18"/>
      <c r="J76" s="2"/>
      <c r="K76" s="246"/>
      <c r="L76" s="2"/>
      <c r="M76" s="256"/>
      <c r="N76" s="18"/>
      <c r="O76" s="18"/>
      <c r="P76" s="18"/>
      <c r="Q76" s="2"/>
      <c r="R76" s="2"/>
      <c r="S76" s="2"/>
      <c r="T76" s="2"/>
      <c r="U76" s="2"/>
      <c r="V76" s="2"/>
      <c r="W76" s="2"/>
      <c r="X76" s="2"/>
      <c r="Y76" s="2"/>
      <c r="Z76" s="246"/>
      <c r="AA76" s="2"/>
      <c r="AB76" s="2"/>
      <c r="AC76" s="2"/>
      <c r="AD76" s="2"/>
      <c r="AE76" s="18"/>
      <c r="AF76" s="18"/>
      <c r="AG76" s="22"/>
      <c r="AH76" s="2"/>
      <c r="AI76" s="2"/>
      <c r="AJ76" s="2"/>
      <c r="AK76" s="22"/>
      <c r="AL76" s="22"/>
      <c r="AM76" s="22"/>
      <c r="AN76" s="22"/>
      <c r="AO76" s="22"/>
      <c r="AP76" s="22"/>
      <c r="AQ76" s="22"/>
      <c r="AR76" s="22"/>
      <c r="AS76" s="22"/>
      <c r="AT76" s="2"/>
      <c r="BE76" s="2"/>
      <c r="BF76" s="9"/>
      <c r="BG76" s="9"/>
      <c r="BH76" s="2"/>
      <c r="BI76" s="2"/>
      <c r="BJ76" s="19"/>
      <c r="BK76" s="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</row>
    <row r="77" spans="1:214">
      <c r="A77" s="2"/>
      <c r="B77" s="2"/>
      <c r="C77" s="2"/>
      <c r="D77" s="2"/>
      <c r="E77" s="18"/>
      <c r="F77" s="18"/>
      <c r="G77" s="18"/>
      <c r="H77" s="18"/>
      <c r="I77" s="18"/>
      <c r="J77" s="2"/>
      <c r="K77" s="246"/>
      <c r="L77" s="2"/>
      <c r="M77" s="256"/>
      <c r="N77" s="18"/>
      <c r="O77" s="18"/>
      <c r="P77" s="18"/>
      <c r="Q77" s="2"/>
      <c r="R77" s="2"/>
      <c r="S77" s="2"/>
      <c r="T77" s="2"/>
      <c r="U77" s="2"/>
      <c r="V77" s="2"/>
      <c r="W77" s="2"/>
      <c r="X77" s="2"/>
      <c r="Y77" s="2"/>
      <c r="Z77" s="246"/>
      <c r="AA77" s="2"/>
      <c r="AB77" s="2"/>
      <c r="AC77" s="2"/>
      <c r="AD77" s="2"/>
      <c r="AE77" s="18"/>
      <c r="AF77" s="18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"/>
      <c r="BE77" s="2"/>
      <c r="BF77" s="9"/>
      <c r="BG77" s="9"/>
      <c r="BH77" s="2"/>
      <c r="BI77" s="2"/>
      <c r="BJ77" s="19"/>
      <c r="BK77" s="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</row>
    <row r="78" spans="1:214">
      <c r="A78" s="2"/>
      <c r="B78" s="2"/>
      <c r="C78" s="2"/>
      <c r="D78" s="2"/>
      <c r="E78" s="18"/>
      <c r="F78" s="18"/>
      <c r="G78" s="18"/>
      <c r="H78" s="18"/>
      <c r="I78" s="18"/>
      <c r="J78" s="2"/>
      <c r="K78" s="246"/>
      <c r="L78" s="2"/>
      <c r="M78" s="256"/>
      <c r="N78" s="18"/>
      <c r="O78" s="18"/>
      <c r="P78" s="18"/>
      <c r="Q78" s="2"/>
      <c r="R78" s="2"/>
      <c r="S78" s="2"/>
      <c r="T78" s="2"/>
      <c r="U78" s="2"/>
      <c r="V78" s="2"/>
      <c r="W78" s="2"/>
      <c r="X78" s="2"/>
      <c r="Y78" s="2"/>
      <c r="Z78" s="246"/>
      <c r="AA78" s="2"/>
      <c r="AB78" s="2"/>
      <c r="AC78" s="2"/>
      <c r="AD78" s="2"/>
      <c r="AE78" s="18"/>
      <c r="AF78" s="18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"/>
      <c r="BE78" s="2"/>
      <c r="BF78" s="9"/>
      <c r="BG78" s="9"/>
      <c r="BH78" s="2"/>
      <c r="BI78" s="2"/>
      <c r="BJ78" s="19"/>
      <c r="BK78" s="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</row>
    <row r="79" spans="1:214">
      <c r="A79" s="2"/>
      <c r="B79" s="2"/>
      <c r="C79" s="2"/>
      <c r="D79" s="2"/>
      <c r="E79" s="18"/>
      <c r="F79" s="18"/>
      <c r="G79" s="18"/>
      <c r="H79" s="18"/>
      <c r="I79" s="18"/>
      <c r="J79" s="2"/>
      <c r="K79" s="246"/>
      <c r="L79" s="2"/>
      <c r="M79" s="256"/>
      <c r="N79" s="18"/>
      <c r="O79" s="18"/>
      <c r="P79" s="18"/>
      <c r="Q79" s="2"/>
      <c r="R79" s="2"/>
      <c r="S79" s="2"/>
      <c r="T79" s="2"/>
      <c r="U79" s="2"/>
      <c r="V79" s="2"/>
      <c r="W79" s="2"/>
      <c r="X79" s="2"/>
      <c r="Y79" s="2"/>
      <c r="Z79" s="246"/>
      <c r="AA79" s="2"/>
      <c r="AB79" s="2"/>
      <c r="AC79" s="2"/>
      <c r="AD79" s="2"/>
      <c r="AE79" s="18"/>
      <c r="AF79" s="18"/>
      <c r="AG79" s="22"/>
      <c r="AH79" s="2"/>
      <c r="AI79" s="2"/>
      <c r="AJ79" s="2"/>
      <c r="AK79" s="22"/>
      <c r="AL79" s="22"/>
      <c r="AM79" s="22"/>
      <c r="AN79" s="22"/>
      <c r="AO79" s="22"/>
      <c r="AP79" s="22"/>
      <c r="AQ79" s="22"/>
      <c r="AR79" s="22"/>
      <c r="AS79" s="22"/>
      <c r="AT79" s="2"/>
      <c r="BE79" s="2"/>
      <c r="BF79" s="9"/>
      <c r="BG79" s="9"/>
      <c r="BH79" s="2"/>
      <c r="BI79" s="2"/>
      <c r="BJ79" s="19"/>
      <c r="BK79" s="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</row>
    <row r="80" spans="1:214">
      <c r="A80" s="2"/>
      <c r="B80" s="2"/>
      <c r="C80" s="2"/>
      <c r="D80" s="2"/>
      <c r="E80" s="18"/>
      <c r="F80" s="18"/>
      <c r="G80" s="18"/>
      <c r="H80" s="18"/>
      <c r="I80" s="18"/>
      <c r="J80" s="2"/>
      <c r="K80" s="246"/>
      <c r="L80" s="2"/>
      <c r="M80" s="256"/>
      <c r="N80" s="18"/>
      <c r="O80" s="18"/>
      <c r="P80" s="18"/>
      <c r="Q80" s="2"/>
      <c r="R80" s="2"/>
      <c r="S80" s="2"/>
      <c r="T80" s="2"/>
      <c r="U80" s="2"/>
      <c r="V80" s="2"/>
      <c r="W80" s="2"/>
      <c r="X80" s="2"/>
      <c r="Y80" s="2"/>
      <c r="Z80" s="246"/>
      <c r="AA80" s="2"/>
      <c r="AB80" s="2"/>
      <c r="AC80" s="2"/>
      <c r="AD80" s="2"/>
      <c r="AE80" s="18"/>
      <c r="AF80" s="18"/>
      <c r="AG80" s="22"/>
      <c r="AH80" s="2"/>
      <c r="AI80" s="95"/>
      <c r="AJ80" s="2"/>
      <c r="AK80" s="22"/>
      <c r="AL80" s="22"/>
      <c r="AM80" s="22"/>
      <c r="AN80" s="22"/>
      <c r="AO80" s="22"/>
      <c r="AP80" s="22"/>
      <c r="AQ80" s="22"/>
      <c r="AR80" s="22"/>
      <c r="AS80" s="22"/>
      <c r="AT80" s="2"/>
      <c r="BE80" s="2"/>
      <c r="BF80" s="9"/>
      <c r="BG80" s="9"/>
      <c r="BH80" s="2"/>
      <c r="BI80" s="2"/>
      <c r="BJ80" s="19"/>
      <c r="BK80" s="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</row>
    <row r="81" spans="1:214">
      <c r="A81" s="2"/>
      <c r="B81" s="2"/>
      <c r="C81" s="2"/>
      <c r="D81" s="2"/>
      <c r="E81" s="18"/>
      <c r="F81" s="18"/>
      <c r="G81" s="18"/>
      <c r="H81" s="18"/>
      <c r="I81" s="18"/>
      <c r="J81" s="2"/>
      <c r="K81" s="246"/>
      <c r="L81" s="2"/>
      <c r="M81" s="256"/>
      <c r="N81" s="18"/>
      <c r="O81" s="18"/>
      <c r="P81" s="18"/>
      <c r="Q81" s="2"/>
      <c r="R81" s="2"/>
      <c r="S81" s="2"/>
      <c r="T81" s="2"/>
      <c r="U81" s="2"/>
      <c r="V81" s="2"/>
      <c r="W81" s="2"/>
      <c r="X81" s="2"/>
      <c r="Y81" s="2"/>
      <c r="Z81" s="246"/>
      <c r="AA81" s="2"/>
      <c r="AB81" s="2"/>
      <c r="AC81" s="2"/>
      <c r="AD81" s="2"/>
      <c r="AE81" s="18"/>
      <c r="AF81" s="18"/>
      <c r="AG81" s="22"/>
      <c r="AH81" s="2"/>
      <c r="AI81" s="2"/>
      <c r="AJ81" s="2"/>
      <c r="AK81" s="22"/>
      <c r="AL81" s="22"/>
      <c r="AM81" s="22"/>
      <c r="AN81" s="22"/>
      <c r="AO81" s="22"/>
      <c r="AP81" s="22"/>
      <c r="AQ81" s="22"/>
      <c r="AR81" s="22"/>
      <c r="AS81" s="22"/>
      <c r="AT81" s="2"/>
      <c r="BE81" s="2"/>
      <c r="BF81" s="9"/>
      <c r="BG81" s="9"/>
      <c r="BH81" s="2"/>
      <c r="BI81" s="2"/>
      <c r="BJ81" s="19"/>
      <c r="BK81" s="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</row>
    <row r="82" spans="1:214">
      <c r="A82" s="2"/>
      <c r="B82" s="2"/>
      <c r="C82" s="2"/>
      <c r="D82" s="2"/>
      <c r="E82" s="18"/>
      <c r="F82" s="18"/>
      <c r="G82" s="18"/>
      <c r="H82" s="18"/>
      <c r="I82" s="18"/>
      <c r="J82" s="2"/>
      <c r="K82" s="246"/>
      <c r="L82" s="2"/>
      <c r="M82" s="256"/>
      <c r="N82" s="18"/>
      <c r="O82" s="18"/>
      <c r="P82" s="18"/>
      <c r="Q82" s="2"/>
      <c r="R82" s="2"/>
      <c r="S82" s="2"/>
      <c r="T82" s="2"/>
      <c r="U82" s="2"/>
      <c r="V82" s="2"/>
      <c r="W82" s="2"/>
      <c r="X82" s="2"/>
      <c r="Y82" s="2"/>
      <c r="Z82" s="246"/>
      <c r="AA82" s="2"/>
      <c r="AB82" s="2"/>
      <c r="AC82" s="2"/>
      <c r="AD82" s="2"/>
      <c r="AE82" s="18"/>
      <c r="AF82" s="18"/>
      <c r="AG82" s="22"/>
      <c r="AH82" s="22"/>
      <c r="AI82" s="61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BE82" s="2"/>
      <c r="BF82" s="9"/>
      <c r="BG82" s="9"/>
      <c r="BH82" s="2"/>
      <c r="BI82" s="2"/>
      <c r="BJ82" s="19"/>
      <c r="BK82" s="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</row>
    <row r="83" spans="1:214">
      <c r="A83" s="2"/>
      <c r="B83" s="2"/>
      <c r="C83" s="2"/>
      <c r="D83" s="2"/>
      <c r="E83" s="18"/>
      <c r="F83" s="18"/>
      <c r="G83" s="18"/>
      <c r="H83" s="18"/>
      <c r="I83" s="18"/>
      <c r="J83" s="2"/>
      <c r="K83" s="246"/>
      <c r="L83" s="2"/>
      <c r="M83" s="256"/>
      <c r="N83" s="18"/>
      <c r="O83" s="18"/>
      <c r="P83" s="18"/>
      <c r="Q83" s="2"/>
      <c r="R83" s="2"/>
      <c r="S83" s="2"/>
      <c r="T83" s="2"/>
      <c r="U83" s="2"/>
      <c r="V83" s="2"/>
      <c r="W83" s="2"/>
      <c r="X83" s="2"/>
      <c r="Y83" s="2"/>
      <c r="Z83" s="246"/>
      <c r="AA83" s="2"/>
      <c r="AB83" s="2"/>
      <c r="AC83" s="2"/>
      <c r="AD83" s="2"/>
      <c r="AE83" s="18"/>
      <c r="AF83" s="18"/>
      <c r="AG83" s="22"/>
      <c r="AH83" s="22"/>
      <c r="AI83" s="61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BE83" s="2"/>
      <c r="BF83" s="9"/>
      <c r="BG83" s="9"/>
      <c r="BH83" s="2"/>
      <c r="BI83" s="2"/>
      <c r="BJ83" s="19"/>
      <c r="BK83" s="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</row>
    <row r="84" spans="1:214">
      <c r="A84" s="2"/>
      <c r="B84" s="2"/>
      <c r="C84" s="2"/>
      <c r="D84" s="2"/>
      <c r="E84" s="18"/>
      <c r="F84" s="18"/>
      <c r="G84" s="18"/>
      <c r="H84" s="18"/>
      <c r="I84" s="18"/>
      <c r="J84" s="2"/>
      <c r="K84" s="246"/>
      <c r="L84" s="2"/>
      <c r="M84" s="256"/>
      <c r="N84" s="18"/>
      <c r="O84" s="18"/>
      <c r="P84" s="18"/>
      <c r="Q84" s="2"/>
      <c r="R84" s="2"/>
      <c r="S84" s="2"/>
      <c r="T84" s="2"/>
      <c r="U84" s="2"/>
      <c r="V84" s="2"/>
      <c r="W84" s="2"/>
      <c r="X84" s="2"/>
      <c r="Y84" s="2"/>
      <c r="Z84" s="246"/>
      <c r="AA84" s="2"/>
      <c r="AB84" s="2"/>
      <c r="AC84" s="2"/>
      <c r="AD84" s="2"/>
      <c r="AE84" s="18"/>
      <c r="AF84" s="18"/>
      <c r="AG84" s="22"/>
      <c r="AH84" s="22"/>
      <c r="AI84" s="61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BE84" s="2"/>
      <c r="BF84" s="9"/>
      <c r="BG84" s="9"/>
      <c r="BH84" s="2"/>
      <c r="BI84" s="2"/>
      <c r="BJ84" s="19"/>
      <c r="BK84" s="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</row>
    <row r="85" spans="1:214">
      <c r="A85" s="2"/>
      <c r="B85" s="2"/>
      <c r="C85" s="2"/>
      <c r="D85" s="2"/>
      <c r="E85" s="18"/>
      <c r="F85" s="18"/>
      <c r="G85" s="18"/>
      <c r="H85" s="18"/>
      <c r="I85" s="18"/>
      <c r="J85" s="18"/>
      <c r="K85" s="246"/>
      <c r="L85" s="2"/>
      <c r="M85" s="256"/>
      <c r="N85" s="18"/>
      <c r="O85" s="18"/>
      <c r="P85" s="18"/>
      <c r="Q85" s="2"/>
      <c r="R85" s="2"/>
      <c r="S85" s="2"/>
      <c r="T85" s="2"/>
      <c r="U85" s="2"/>
      <c r="V85" s="2"/>
      <c r="W85" s="2"/>
      <c r="X85" s="2"/>
      <c r="Y85" s="2"/>
      <c r="Z85" s="246"/>
      <c r="AA85" s="2"/>
      <c r="AB85" s="2"/>
      <c r="AC85" s="2"/>
      <c r="AD85" s="2"/>
      <c r="AE85" s="18"/>
      <c r="AF85" s="18"/>
      <c r="AG85" s="22"/>
      <c r="AH85" s="22"/>
      <c r="AI85" s="61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BE85" s="2"/>
      <c r="BF85" s="9"/>
      <c r="BG85" s="9"/>
      <c r="BH85" s="2"/>
      <c r="BI85" s="2"/>
      <c r="BJ85" s="19"/>
      <c r="BK85" s="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</row>
    <row r="86" spans="1:214">
      <c r="A86" s="2"/>
      <c r="B86" s="2"/>
      <c r="C86" s="2"/>
      <c r="D86" s="2"/>
      <c r="E86" s="18"/>
      <c r="F86" s="2"/>
      <c r="G86" s="22"/>
      <c r="H86" s="18"/>
      <c r="I86" s="18"/>
      <c r="J86" s="2"/>
      <c r="K86" s="246"/>
      <c r="L86" s="2"/>
      <c r="M86" s="256"/>
      <c r="N86" s="18"/>
      <c r="O86" s="18"/>
      <c r="P86" s="18"/>
      <c r="Q86" s="2"/>
      <c r="R86" s="2"/>
      <c r="S86" s="2"/>
      <c r="T86" s="2"/>
      <c r="U86" s="2"/>
      <c r="V86" s="2"/>
      <c r="W86" s="2"/>
      <c r="X86" s="2"/>
      <c r="Y86" s="2"/>
      <c r="Z86" s="246"/>
      <c r="AA86" s="2"/>
      <c r="AB86" s="2"/>
      <c r="AC86" s="2"/>
      <c r="AD86" s="2"/>
      <c r="AE86" s="18"/>
      <c r="AF86" s="18"/>
      <c r="AG86" s="22"/>
      <c r="AH86" s="22"/>
      <c r="AI86" s="61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BE86" s="2"/>
      <c r="BF86" s="9"/>
      <c r="BG86" s="9"/>
      <c r="BH86" s="2"/>
      <c r="BI86" s="2"/>
      <c r="BJ86" s="19"/>
      <c r="BK86" s="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</row>
    <row r="87" spans="1:214">
      <c r="A87" s="2"/>
      <c r="B87" s="2"/>
      <c r="C87" s="2"/>
      <c r="D87" s="2"/>
      <c r="E87" s="18"/>
      <c r="F87" s="2"/>
      <c r="G87" s="2"/>
      <c r="H87" s="18"/>
      <c r="I87" s="18"/>
      <c r="J87" s="2"/>
      <c r="K87" s="246"/>
      <c r="L87" s="2"/>
      <c r="M87" s="256"/>
      <c r="N87" s="18"/>
      <c r="O87" s="18"/>
      <c r="P87" s="18"/>
      <c r="Q87" s="2"/>
      <c r="R87" s="2"/>
      <c r="S87" s="2"/>
      <c r="T87" s="2"/>
      <c r="U87" s="2"/>
      <c r="V87" s="2"/>
      <c r="W87" s="2"/>
      <c r="X87" s="2"/>
      <c r="Y87" s="2"/>
      <c r="Z87" s="246"/>
      <c r="AA87" s="2"/>
      <c r="AB87" s="2"/>
      <c r="AC87" s="2"/>
      <c r="AD87" s="2"/>
      <c r="AE87" s="18"/>
      <c r="AF87" s="18"/>
      <c r="AG87" s="22"/>
      <c r="AH87" s="22"/>
      <c r="AI87" s="61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BE87" s="2"/>
      <c r="BF87" s="9"/>
      <c r="BG87" s="9"/>
      <c r="BH87" s="2"/>
      <c r="BI87" s="2"/>
      <c r="BJ87" s="19"/>
      <c r="BK87" s="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</row>
    <row r="88" spans="1:214">
      <c r="A88" s="2"/>
      <c r="B88" s="2"/>
      <c r="C88" s="2"/>
      <c r="D88" s="2"/>
      <c r="E88" s="18"/>
      <c r="F88" s="2"/>
      <c r="G88" s="2"/>
      <c r="H88" s="18"/>
      <c r="I88" s="18"/>
      <c r="J88" s="2"/>
      <c r="K88" s="246"/>
      <c r="L88" s="2"/>
      <c r="M88" s="256"/>
      <c r="N88" s="18"/>
      <c r="O88" s="18"/>
      <c r="P88" s="18"/>
      <c r="Q88" s="2"/>
      <c r="R88" s="2"/>
      <c r="S88" s="2"/>
      <c r="T88" s="2"/>
      <c r="U88" s="2"/>
      <c r="V88" s="2"/>
      <c r="W88" s="2"/>
      <c r="X88" s="2"/>
      <c r="Y88" s="2"/>
      <c r="Z88" s="246"/>
      <c r="AA88" s="2"/>
      <c r="AB88" s="2"/>
      <c r="AC88" s="2"/>
      <c r="AD88" s="2"/>
      <c r="AE88" s="18"/>
      <c r="AF88" s="18"/>
      <c r="AG88" s="22"/>
      <c r="AH88" s="22"/>
      <c r="AI88" s="61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BE88" s="2"/>
      <c r="BF88" s="9"/>
      <c r="BG88" s="9"/>
      <c r="BH88" s="2"/>
      <c r="BI88" s="2"/>
      <c r="BJ88" s="19"/>
      <c r="BK88" s="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</row>
    <row r="89" spans="1:214">
      <c r="A89" s="2"/>
      <c r="B89" s="2"/>
      <c r="C89" s="2"/>
      <c r="D89" s="2"/>
      <c r="E89" s="18"/>
      <c r="F89" s="2"/>
      <c r="G89" s="2"/>
      <c r="H89" s="2"/>
      <c r="I89" s="2"/>
      <c r="J89" s="2"/>
      <c r="K89" s="246"/>
      <c r="L89" s="2"/>
      <c r="M89" s="256"/>
      <c r="N89" s="18"/>
      <c r="O89" s="18"/>
      <c r="P89" s="18"/>
      <c r="Q89" s="2"/>
      <c r="R89" s="2"/>
      <c r="S89" s="2"/>
      <c r="T89" s="2"/>
      <c r="U89" s="2"/>
      <c r="V89" s="2"/>
      <c r="W89" s="2"/>
      <c r="X89" s="2"/>
      <c r="Y89" s="2"/>
      <c r="Z89" s="246"/>
      <c r="AA89" s="2"/>
      <c r="AB89" s="2"/>
      <c r="AC89" s="2"/>
      <c r="AD89" s="2"/>
      <c r="AE89" s="18"/>
      <c r="AF89" s="18"/>
      <c r="AG89" s="22"/>
      <c r="AH89" s="22"/>
      <c r="AI89" s="61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BE89" s="2"/>
      <c r="BF89" s="9"/>
      <c r="BG89" s="9"/>
      <c r="BH89" s="2"/>
      <c r="BI89" s="2"/>
      <c r="BJ89" s="19"/>
      <c r="BK89" s="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</row>
    <row r="90" spans="1:214">
      <c r="A90" s="2"/>
      <c r="B90" s="2"/>
      <c r="C90" s="2"/>
      <c r="D90" s="2"/>
      <c r="E90" s="2"/>
      <c r="F90" s="2"/>
      <c r="G90" s="2"/>
      <c r="H90" s="2"/>
      <c r="I90" s="2"/>
      <c r="J90" s="2"/>
      <c r="K90" s="246"/>
      <c r="L90" s="2"/>
      <c r="M90" s="256"/>
      <c r="N90" s="18"/>
      <c r="O90" s="18"/>
      <c r="P90" s="18"/>
      <c r="Q90" s="2"/>
      <c r="R90" s="2"/>
      <c r="S90" s="2"/>
      <c r="T90" s="2"/>
      <c r="U90" s="2"/>
      <c r="V90" s="2"/>
      <c r="W90" s="2"/>
      <c r="X90" s="2"/>
      <c r="Y90" s="2"/>
      <c r="Z90" s="246"/>
      <c r="AA90" s="2"/>
      <c r="AB90" s="2"/>
      <c r="AC90" s="2"/>
      <c r="AD90" s="2"/>
      <c r="AE90" s="18"/>
      <c r="AF90" s="18"/>
      <c r="AG90" s="22"/>
      <c r="AH90" s="22"/>
      <c r="AI90" s="61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BE90" s="2"/>
      <c r="BF90" s="9"/>
      <c r="BG90" s="9"/>
      <c r="BH90" s="2"/>
      <c r="BI90" s="2"/>
      <c r="BJ90" s="19"/>
      <c r="BK90" s="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</row>
    <row r="91" spans="1:214">
      <c r="A91" s="2"/>
      <c r="B91" s="2"/>
      <c r="C91" s="2"/>
      <c r="D91" s="2"/>
      <c r="E91" s="18"/>
      <c r="F91" s="2"/>
      <c r="G91" s="2"/>
      <c r="H91" s="2"/>
      <c r="I91" s="2"/>
      <c r="J91" s="2"/>
      <c r="K91" s="246"/>
      <c r="L91" s="2"/>
      <c r="M91" s="256"/>
      <c r="N91" s="18"/>
      <c r="O91" s="18"/>
      <c r="P91" s="18"/>
      <c r="Q91" s="2"/>
      <c r="R91" s="2"/>
      <c r="S91" s="2"/>
      <c r="T91" s="2"/>
      <c r="U91" s="2"/>
      <c r="V91" s="2"/>
      <c r="W91" s="2"/>
      <c r="X91" s="2"/>
      <c r="Y91" s="2"/>
      <c r="Z91" s="246"/>
      <c r="AA91" s="2"/>
      <c r="AB91" s="2"/>
      <c r="AC91" s="2"/>
      <c r="AD91" s="2"/>
      <c r="AE91" s="18"/>
      <c r="AF91" s="18"/>
      <c r="AG91" s="22"/>
      <c r="AH91" s="22"/>
      <c r="AI91" s="61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BE91" s="2"/>
      <c r="BF91" s="9"/>
      <c r="BG91" s="9"/>
      <c r="BH91" s="2"/>
      <c r="BI91" s="2"/>
      <c r="BJ91" s="19"/>
      <c r="BK91" s="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</row>
    <row r="92" spans="1:214">
      <c r="A92" s="2"/>
      <c r="B92" s="2"/>
      <c r="C92" s="2"/>
      <c r="D92" s="2"/>
      <c r="E92" s="18"/>
      <c r="F92" s="2"/>
      <c r="G92" s="2"/>
      <c r="H92" s="2"/>
      <c r="I92" s="2"/>
      <c r="J92" s="2"/>
      <c r="K92" s="246"/>
      <c r="L92" s="2"/>
      <c r="M92" s="256"/>
      <c r="N92" s="18"/>
      <c r="O92" s="18"/>
      <c r="P92" s="18"/>
      <c r="Q92" s="2"/>
      <c r="R92" s="2"/>
      <c r="S92" s="2"/>
      <c r="T92" s="2"/>
      <c r="U92" s="2"/>
      <c r="V92" s="2"/>
      <c r="W92" s="2"/>
      <c r="X92" s="2"/>
      <c r="Y92" s="2"/>
      <c r="Z92" s="246"/>
      <c r="AA92" s="2"/>
      <c r="AB92" s="2"/>
      <c r="AC92" s="2"/>
      <c r="AD92" s="2"/>
      <c r="AE92" s="18"/>
      <c r="AF92" s="18"/>
      <c r="AG92" s="22"/>
      <c r="AH92" s="22"/>
      <c r="AI92" s="61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BE92" s="2"/>
      <c r="BF92" s="9"/>
      <c r="BG92" s="9"/>
      <c r="BH92" s="2"/>
      <c r="BI92" s="2"/>
      <c r="BJ92" s="19"/>
      <c r="BK92" s="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</row>
    <row r="93" spans="1:214">
      <c r="A93" s="2"/>
      <c r="B93" s="2"/>
      <c r="C93" s="2"/>
      <c r="D93" s="2"/>
      <c r="E93" s="18"/>
      <c r="F93" s="2"/>
      <c r="G93" s="2"/>
      <c r="H93" s="2"/>
      <c r="I93" s="2"/>
      <c r="J93" s="2"/>
      <c r="K93" s="246"/>
      <c r="L93" s="2"/>
      <c r="M93" s="256"/>
      <c r="N93" s="18"/>
      <c r="O93" s="18"/>
      <c r="P93" s="18"/>
      <c r="Q93" s="2"/>
      <c r="R93" s="2"/>
      <c r="S93" s="2"/>
      <c r="T93" s="2"/>
      <c r="U93" s="2"/>
      <c r="V93" s="2"/>
      <c r="W93" s="2"/>
      <c r="X93" s="2"/>
      <c r="Y93" s="2"/>
      <c r="Z93" s="246"/>
      <c r="AA93" s="2"/>
      <c r="AB93" s="2"/>
      <c r="AC93" s="2"/>
      <c r="AD93" s="2"/>
      <c r="AE93" s="18"/>
      <c r="AF93" s="18"/>
      <c r="AG93" s="22"/>
      <c r="AH93" s="22"/>
      <c r="AI93" s="61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BE93" s="2"/>
      <c r="BF93" s="9"/>
      <c r="BG93" s="9"/>
      <c r="BH93" s="2"/>
      <c r="BI93" s="2"/>
      <c r="BJ93" s="19"/>
      <c r="BK93" s="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</row>
    <row r="94" spans="1:214">
      <c r="A94" s="2"/>
      <c r="B94" s="2"/>
      <c r="C94" s="2"/>
      <c r="D94" s="2"/>
      <c r="E94" s="18"/>
      <c r="F94" s="2"/>
      <c r="G94" s="2"/>
      <c r="H94" s="2"/>
      <c r="I94" s="2"/>
      <c r="J94" s="2"/>
      <c r="K94" s="246"/>
      <c r="L94" s="2"/>
      <c r="M94" s="256"/>
      <c r="N94" s="18"/>
      <c r="O94" s="18"/>
      <c r="P94" s="18"/>
      <c r="Q94" s="2"/>
      <c r="R94" s="2"/>
      <c r="S94" s="2"/>
      <c r="T94" s="2"/>
      <c r="U94" s="2"/>
      <c r="V94" s="2"/>
      <c r="W94" s="2"/>
      <c r="X94" s="2"/>
      <c r="Y94" s="2"/>
      <c r="Z94" s="246"/>
      <c r="AA94" s="2"/>
      <c r="AB94" s="2"/>
      <c r="AC94" s="2"/>
      <c r="AD94" s="2"/>
      <c r="AE94" s="2"/>
      <c r="AF94" s="2"/>
      <c r="AG94" s="2"/>
      <c r="AH94" s="22"/>
      <c r="AI94" s="61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BE94" s="2"/>
      <c r="BF94" s="9"/>
      <c r="BG94" s="9"/>
      <c r="BH94" s="2"/>
      <c r="BI94" s="2"/>
      <c r="BJ94" s="19"/>
      <c r="BK94" s="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</row>
    <row r="95" spans="1:214">
      <c r="A95" s="2"/>
      <c r="B95" s="2"/>
      <c r="C95" s="2"/>
      <c r="D95" s="2"/>
      <c r="E95" s="18"/>
      <c r="F95" s="2"/>
      <c r="G95" s="2"/>
      <c r="H95" s="2"/>
      <c r="I95" s="2"/>
      <c r="J95" s="2"/>
      <c r="K95" s="246"/>
      <c r="L95" s="2"/>
      <c r="M95" s="256"/>
      <c r="N95" s="18"/>
      <c r="O95" s="18"/>
      <c r="P95" s="18"/>
      <c r="Q95" s="2"/>
      <c r="R95" s="2"/>
      <c r="S95" s="2"/>
      <c r="T95" s="2"/>
      <c r="U95" s="2"/>
      <c r="V95" s="2"/>
      <c r="W95" s="2"/>
      <c r="X95" s="2"/>
      <c r="Y95" s="2"/>
      <c r="Z95" s="246"/>
      <c r="AA95" s="2"/>
      <c r="AB95" s="2"/>
      <c r="AC95" s="2"/>
      <c r="AD95" s="2"/>
      <c r="AE95" s="2"/>
      <c r="AF95" s="2"/>
      <c r="AG95" s="2"/>
      <c r="AH95" s="22"/>
      <c r="AI95" s="61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BE95" s="2"/>
      <c r="BF95" s="9"/>
      <c r="BG95" s="9"/>
      <c r="BH95" s="2"/>
      <c r="BI95" s="2"/>
      <c r="BJ95" s="19"/>
      <c r="BK95" s="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</row>
    <row r="96" spans="1:214">
      <c r="A96" s="2"/>
      <c r="B96" s="2"/>
      <c r="C96" s="2"/>
      <c r="D96" s="2"/>
      <c r="E96" s="2"/>
      <c r="F96" s="2"/>
      <c r="G96" s="2"/>
      <c r="H96" s="2"/>
      <c r="I96" s="2"/>
      <c r="J96" s="2"/>
      <c r="K96" s="246"/>
      <c r="L96" s="2"/>
      <c r="M96" s="256"/>
      <c r="N96" s="18"/>
      <c r="O96" s="18"/>
      <c r="P96" s="18"/>
      <c r="Q96" s="2"/>
      <c r="R96" s="2"/>
      <c r="S96" s="2"/>
      <c r="T96" s="2"/>
      <c r="U96" s="2"/>
      <c r="V96" s="2"/>
      <c r="W96" s="2"/>
      <c r="X96" s="2"/>
      <c r="Y96" s="2"/>
      <c r="Z96" s="246"/>
      <c r="AA96" s="2"/>
      <c r="AB96" s="2"/>
      <c r="AC96" s="2"/>
      <c r="AD96" s="2"/>
      <c r="AE96" s="2"/>
      <c r="AF96" s="2"/>
      <c r="AG96" s="2"/>
      <c r="AH96" s="22"/>
      <c r="AI96" s="61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BE96" s="2"/>
      <c r="BF96" s="9"/>
      <c r="BG96" s="9"/>
      <c r="BH96" s="2"/>
      <c r="BI96" s="2"/>
      <c r="BJ96" s="19"/>
      <c r="BK96" s="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</row>
    <row r="97" spans="1:214">
      <c r="A97" s="2"/>
      <c r="B97" s="2"/>
      <c r="C97" s="2"/>
      <c r="D97" s="2"/>
      <c r="E97" s="18"/>
      <c r="F97" s="2"/>
      <c r="G97" s="2"/>
      <c r="H97" s="2"/>
      <c r="I97" s="2"/>
      <c r="J97" s="2"/>
      <c r="K97" s="246"/>
      <c r="L97" s="2"/>
      <c r="M97" s="256"/>
      <c r="N97" s="18"/>
      <c r="O97" s="18"/>
      <c r="P97" s="18"/>
      <c r="Q97" s="2"/>
      <c r="R97" s="2"/>
      <c r="S97" s="2"/>
      <c r="T97" s="2"/>
      <c r="U97" s="2"/>
      <c r="V97" s="2"/>
      <c r="W97" s="2"/>
      <c r="X97" s="2"/>
      <c r="Y97" s="2"/>
      <c r="Z97" s="246"/>
      <c r="AA97" s="2"/>
      <c r="AB97" s="2"/>
      <c r="AC97" s="2"/>
      <c r="AD97" s="2"/>
      <c r="AE97" s="2"/>
      <c r="AF97" s="2"/>
      <c r="AG97" s="2"/>
      <c r="AH97" s="22"/>
      <c r="AI97" s="61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BE97" s="2"/>
      <c r="BF97" s="9"/>
      <c r="BG97" s="9"/>
      <c r="BH97" s="2"/>
      <c r="BI97" s="2"/>
      <c r="BJ97" s="19"/>
      <c r="BK97" s="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</row>
    <row r="98" spans="1:214">
      <c r="A98" s="2"/>
      <c r="B98" s="2"/>
      <c r="C98" s="2"/>
      <c r="D98" s="2"/>
      <c r="E98" s="18"/>
      <c r="F98" s="2"/>
      <c r="G98" s="2"/>
      <c r="H98" s="2"/>
      <c r="I98" s="2"/>
      <c r="J98" s="2"/>
      <c r="K98" s="246"/>
      <c r="L98" s="2"/>
      <c r="M98" s="256"/>
      <c r="N98" s="18"/>
      <c r="O98" s="18"/>
      <c r="P98" s="18"/>
      <c r="Q98" s="2"/>
      <c r="R98" s="2"/>
      <c r="S98" s="2"/>
      <c r="T98" s="2"/>
      <c r="U98" s="2"/>
      <c r="V98" s="2"/>
      <c r="W98" s="2"/>
      <c r="X98" s="2"/>
      <c r="Y98" s="2"/>
      <c r="Z98" s="246"/>
      <c r="AA98" s="2"/>
      <c r="AB98" s="2"/>
      <c r="AC98" s="2"/>
      <c r="AD98" s="2"/>
      <c r="AE98" s="2"/>
      <c r="AF98" s="2"/>
      <c r="AG98" s="2"/>
      <c r="AH98" s="22"/>
      <c r="AI98" s="61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BE98" s="2"/>
      <c r="BF98" s="9"/>
      <c r="BG98" s="9"/>
      <c r="BH98" s="2"/>
      <c r="BI98" s="2"/>
      <c r="BJ98" s="19"/>
      <c r="BK98" s="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</row>
    <row r="99" spans="1:214">
      <c r="A99" s="2"/>
      <c r="B99" s="2"/>
      <c r="C99" s="2"/>
      <c r="D99" s="2"/>
      <c r="E99" s="18"/>
      <c r="F99" s="2"/>
      <c r="G99" s="2"/>
      <c r="H99" s="2"/>
      <c r="I99" s="2"/>
      <c r="J99" s="2"/>
      <c r="K99" s="246"/>
      <c r="L99" s="2"/>
      <c r="M99" s="256"/>
      <c r="N99" s="18"/>
      <c r="O99" s="18"/>
      <c r="P99" s="18"/>
      <c r="Q99" s="2"/>
      <c r="R99" s="2"/>
      <c r="S99" s="2"/>
      <c r="T99" s="2"/>
      <c r="U99" s="2"/>
      <c r="V99" s="2"/>
      <c r="W99" s="2"/>
      <c r="X99" s="2"/>
      <c r="Y99" s="2"/>
      <c r="Z99" s="246"/>
      <c r="AA99" s="2"/>
      <c r="AB99" s="2"/>
      <c r="AC99" s="2"/>
      <c r="AD99" s="2"/>
      <c r="AE99" s="2"/>
      <c r="AF99" s="2"/>
      <c r="AG99" s="2"/>
      <c r="AH99" s="22"/>
      <c r="AI99" s="61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BE99" s="2"/>
      <c r="BF99" s="9"/>
      <c r="BG99" s="9"/>
      <c r="BH99" s="2"/>
      <c r="BI99" s="2"/>
      <c r="BJ99" s="19"/>
      <c r="BK99" s="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</row>
    <row r="100" spans="1:214">
      <c r="A100" s="2"/>
      <c r="B100" s="2"/>
      <c r="C100" s="2"/>
      <c r="D100" s="2"/>
      <c r="E100" s="18"/>
      <c r="F100" s="2"/>
      <c r="G100" s="2"/>
      <c r="H100" s="2"/>
      <c r="I100" s="2"/>
      <c r="J100" s="2"/>
      <c r="K100" s="246"/>
      <c r="L100" s="2"/>
      <c r="M100" s="256"/>
      <c r="N100" s="18"/>
      <c r="O100" s="18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46"/>
      <c r="AA100" s="2"/>
      <c r="AB100" s="2"/>
      <c r="AC100" s="2"/>
      <c r="AD100" s="2"/>
      <c r="AE100" s="2"/>
      <c r="AF100" s="2"/>
      <c r="AG100" s="2"/>
      <c r="AH100" s="22"/>
      <c r="AI100" s="61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BE100" s="2"/>
      <c r="BF100" s="9"/>
      <c r="BG100" s="9"/>
      <c r="BH100" s="2"/>
      <c r="BI100" s="2"/>
      <c r="BJ100" s="19"/>
      <c r="BK100" s="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</row>
    <row r="101" spans="1:21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46"/>
      <c r="L101" s="2"/>
      <c r="M101" s="256"/>
      <c r="N101" s="18"/>
      <c r="O101" s="18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46"/>
      <c r="AA101" s="2"/>
      <c r="AB101" s="2"/>
      <c r="AC101" s="2"/>
      <c r="AD101" s="2"/>
      <c r="AE101" s="2"/>
      <c r="AF101" s="2"/>
      <c r="AG101" s="2"/>
      <c r="AH101" s="22"/>
      <c r="AI101" s="61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BE101" s="2"/>
      <c r="BF101" s="9"/>
      <c r="BG101" s="9"/>
      <c r="BH101" s="2"/>
      <c r="BI101" s="2"/>
      <c r="BJ101" s="19"/>
      <c r="BK101" s="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</row>
    <row r="102" spans="1:21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46"/>
      <c r="L102" s="2"/>
      <c r="M102" s="256"/>
      <c r="N102" s="18"/>
      <c r="O102" s="18"/>
      <c r="P102" s="18"/>
      <c r="Q102" s="2"/>
      <c r="R102" s="2"/>
      <c r="S102" s="2"/>
      <c r="T102" s="2"/>
      <c r="U102" s="2"/>
      <c r="V102" s="2"/>
      <c r="W102" s="2"/>
      <c r="X102" s="2"/>
      <c r="Y102" s="2"/>
      <c r="Z102" s="246"/>
      <c r="AA102" s="2"/>
      <c r="AB102" s="2"/>
      <c r="AC102" s="2"/>
      <c r="AD102" s="2"/>
      <c r="AE102" s="2"/>
      <c r="AF102" s="2"/>
      <c r="AG102" s="2"/>
      <c r="AH102" s="22"/>
      <c r="AI102" s="61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BE102" s="2"/>
      <c r="BF102" s="9"/>
      <c r="BG102" s="9"/>
      <c r="BH102" s="2"/>
      <c r="BI102" s="2"/>
      <c r="BJ102" s="19"/>
      <c r="BK102" s="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</row>
    <row r="103" spans="1:21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46"/>
      <c r="L103" s="2"/>
      <c r="M103" s="246"/>
      <c r="N103" s="2"/>
      <c r="O103" s="74"/>
      <c r="P103" s="18"/>
      <c r="Q103" s="2"/>
      <c r="R103" s="2"/>
      <c r="S103" s="2"/>
      <c r="T103" s="2"/>
      <c r="U103" s="2"/>
      <c r="V103" s="2"/>
      <c r="W103" s="2"/>
      <c r="X103" s="2"/>
      <c r="Y103" s="2"/>
      <c r="Z103" s="246"/>
      <c r="AA103" s="2"/>
      <c r="AB103" s="2"/>
      <c r="AC103" s="2"/>
      <c r="AD103" s="2"/>
      <c r="AE103" s="2"/>
      <c r="AF103" s="2"/>
      <c r="AG103" s="2"/>
      <c r="AH103" s="22"/>
      <c r="AI103" s="61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BE103" s="2"/>
      <c r="BF103" s="9"/>
      <c r="BG103" s="9"/>
      <c r="BH103" s="2"/>
      <c r="BI103" s="2"/>
      <c r="BJ103" s="19"/>
      <c r="BK103" s="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</row>
    <row r="104" spans="1:21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46"/>
      <c r="L104" s="2"/>
      <c r="M104" s="256"/>
      <c r="N104" s="18"/>
      <c r="O104" s="18"/>
      <c r="P104" s="18"/>
      <c r="Q104" s="2"/>
      <c r="R104" s="2"/>
      <c r="S104" s="2"/>
      <c r="T104" s="2"/>
      <c r="U104" s="2"/>
      <c r="V104" s="2"/>
      <c r="W104" s="2"/>
      <c r="X104" s="2"/>
      <c r="Y104" s="2"/>
      <c r="Z104" s="246"/>
      <c r="AA104" s="2"/>
      <c r="AB104" s="2"/>
      <c r="AC104" s="2"/>
      <c r="AD104" s="2"/>
      <c r="AE104" s="2"/>
      <c r="AF104" s="2"/>
      <c r="AG104" s="2"/>
      <c r="AH104" s="22"/>
      <c r="AI104" s="61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BE104" s="2"/>
      <c r="BF104" s="9"/>
      <c r="BG104" s="9"/>
      <c r="BH104" s="2"/>
      <c r="BI104" s="2"/>
      <c r="BJ104" s="19"/>
      <c r="BK104" s="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</row>
    <row r="105" spans="1:21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56"/>
      <c r="L105" s="2"/>
      <c r="M105" s="264"/>
      <c r="N105" s="28"/>
      <c r="O105" s="18"/>
      <c r="P105" s="18"/>
      <c r="Q105" s="2"/>
      <c r="R105" s="2"/>
      <c r="S105" s="2"/>
      <c r="T105" s="2"/>
      <c r="U105" s="2"/>
      <c r="V105" s="2"/>
      <c r="W105" s="2"/>
      <c r="X105" s="2"/>
      <c r="Y105" s="2"/>
      <c r="Z105" s="246"/>
      <c r="AA105" s="2"/>
      <c r="AB105" s="2"/>
      <c r="AC105" s="2"/>
      <c r="AD105" s="2"/>
      <c r="AE105" s="2"/>
      <c r="AF105" s="2"/>
      <c r="AG105" s="2"/>
      <c r="AH105" s="22"/>
      <c r="AI105" s="61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19"/>
      <c r="BK105" s="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</row>
    <row r="106" spans="1:21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46"/>
      <c r="L106" s="2"/>
      <c r="M106" s="246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46"/>
      <c r="AA106" s="2"/>
      <c r="AB106" s="2"/>
      <c r="AC106" s="2"/>
      <c r="AD106" s="2"/>
      <c r="AE106" s="2"/>
      <c r="AF106" s="2"/>
      <c r="AG106" s="2"/>
      <c r="AH106" s="22"/>
      <c r="AI106" s="61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19"/>
      <c r="BK106" s="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</row>
    <row r="107" spans="1:21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46"/>
      <c r="L107" s="2"/>
      <c r="M107" s="256"/>
      <c r="N107" s="1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46"/>
      <c r="AA107" s="2"/>
      <c r="AB107" s="2"/>
      <c r="AC107" s="2"/>
      <c r="AD107" s="2"/>
      <c r="AE107" s="2"/>
      <c r="AF107" s="2"/>
      <c r="AG107" s="2"/>
      <c r="AH107" s="22"/>
      <c r="AI107" s="61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19"/>
      <c r="BK107" s="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</row>
    <row r="108" spans="1:21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46"/>
      <c r="L108" s="2"/>
      <c r="M108" s="246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46"/>
      <c r="AA108" s="2"/>
      <c r="AB108" s="2"/>
      <c r="AC108" s="2"/>
      <c r="AD108" s="2"/>
      <c r="AE108" s="2"/>
      <c r="AF108" s="2"/>
      <c r="AG108" s="2"/>
      <c r="AH108" s="22"/>
      <c r="AI108" s="61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19"/>
      <c r="BK108" s="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</row>
    <row r="109" spans="1:21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46"/>
      <c r="L109" s="2"/>
      <c r="M109" s="246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46"/>
      <c r="AA109" s="2"/>
      <c r="AB109" s="2"/>
      <c r="AC109" s="2"/>
      <c r="AD109" s="2"/>
      <c r="AE109" s="2"/>
      <c r="AF109" s="2"/>
      <c r="AG109" s="2"/>
      <c r="AH109" s="22"/>
      <c r="AI109" s="61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19"/>
      <c r="BK109" s="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</row>
    <row r="110" spans="1:21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46"/>
      <c r="L110" s="2"/>
      <c r="M110" s="246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46"/>
      <c r="AA110" s="2"/>
      <c r="AB110" s="2"/>
      <c r="AC110" s="2"/>
      <c r="AD110" s="2"/>
      <c r="AE110" s="2"/>
      <c r="AF110" s="2"/>
      <c r="AG110" s="2"/>
      <c r="AH110" s="22"/>
      <c r="AI110" s="61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19"/>
      <c r="BK110" s="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</row>
    <row r="111" spans="1:21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46"/>
      <c r="L111" s="2"/>
      <c r="M111" s="246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46"/>
      <c r="AA111" s="2"/>
      <c r="AB111" s="2"/>
      <c r="AC111" s="2"/>
      <c r="AD111" s="2"/>
      <c r="AE111" s="2"/>
      <c r="AF111" s="2"/>
      <c r="AG111" s="2"/>
      <c r="AH111" s="22"/>
      <c r="AI111" s="61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19"/>
      <c r="BK111" s="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</row>
    <row r="112" spans="1:21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46"/>
      <c r="L112" s="2"/>
      <c r="M112" s="246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46"/>
      <c r="AA112" s="2"/>
      <c r="AB112" s="2"/>
      <c r="AC112" s="2"/>
      <c r="AD112" s="2"/>
      <c r="AE112" s="2"/>
      <c r="AF112" s="2"/>
      <c r="AG112" s="2"/>
      <c r="AH112" s="22"/>
      <c r="AI112" s="61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19"/>
      <c r="BK112" s="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</row>
    <row r="113" spans="1:21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46"/>
      <c r="L113" s="2"/>
      <c r="M113" s="246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46"/>
      <c r="AA113" s="2"/>
      <c r="AB113" s="2"/>
      <c r="AC113" s="2"/>
      <c r="AD113" s="2"/>
      <c r="AE113" s="2"/>
      <c r="AF113" s="2"/>
      <c r="AG113" s="2"/>
      <c r="AH113" s="22"/>
      <c r="AI113" s="61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19"/>
      <c r="BK113" s="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</row>
    <row r="114" spans="1:2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46"/>
      <c r="L114" s="2"/>
      <c r="M114" s="246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46"/>
      <c r="AA114" s="2"/>
      <c r="AB114" s="2"/>
      <c r="AC114" s="2"/>
      <c r="AD114" s="2"/>
      <c r="AE114" s="2"/>
      <c r="AF114" s="2"/>
      <c r="AG114" s="2"/>
      <c r="AH114" s="22"/>
      <c r="AI114" s="61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19"/>
      <c r="BK114" s="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</row>
    <row r="115" spans="1:21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46"/>
      <c r="L115" s="2"/>
      <c r="M115" s="246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46"/>
      <c r="AA115" s="2"/>
      <c r="AB115" s="2"/>
      <c r="AC115" s="2"/>
      <c r="AD115" s="2"/>
      <c r="AE115" s="2"/>
      <c r="AF115" s="2"/>
      <c r="AG115" s="2"/>
      <c r="AH115" s="22"/>
      <c r="AI115" s="61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19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</row>
    <row r="116" spans="1:21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46"/>
      <c r="L116" s="2"/>
      <c r="M116" s="246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46"/>
      <c r="AA116" s="2"/>
      <c r="AB116" s="2"/>
      <c r="AC116" s="2"/>
      <c r="AD116" s="2"/>
      <c r="AE116" s="2"/>
      <c r="AF116" s="2"/>
      <c r="AG116" s="2"/>
      <c r="AH116" s="22"/>
      <c r="AI116" s="61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19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</row>
  </sheetData>
  <pageMargins left="0" right="0" top="0" bottom="0.41666666699999999" header="0" footer="0"/>
  <pageSetup scale="10" orientation="landscape" r:id="rId1"/>
  <headerFooter alignWithMargins="0">
    <oddFooter>&amp;L&amp;"Arial"&amp;12&amp;D&amp;C&amp;"Arial"&amp;12&amp;T&amp;R&amp;"Arial"&amp;12&amp;F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T88"/>
  <sheetViews>
    <sheetView showGridLines="0" topLeftCell="B1" zoomScale="80" zoomScaleNormal="80" workbookViewId="0">
      <pane xSplit="3" ySplit="10" topLeftCell="E51" activePane="bottomRight" state="frozen"/>
      <selection activeCell="B1" sqref="B1"/>
      <selection pane="topRight" activeCell="E1" sqref="E1"/>
      <selection pane="bottomLeft" activeCell="B11" sqref="B11"/>
      <selection pane="bottomRight" activeCell="K83" sqref="K83"/>
    </sheetView>
  </sheetViews>
  <sheetFormatPr defaultColWidth="9.84375" defaultRowHeight="15.5"/>
  <cols>
    <col min="1" max="1" width="2.84375" style="75" hidden="1" customWidth="1"/>
    <col min="2" max="2" width="2.84375" style="75" customWidth="1"/>
    <col min="3" max="3" width="7.84375" style="75" customWidth="1"/>
    <col min="4" max="4" width="37.84375" style="75" customWidth="1"/>
    <col min="5" max="5" width="13.84375" style="75" customWidth="1"/>
    <col min="6" max="6" width="17.3046875" style="75" bestFit="1" customWidth="1"/>
    <col min="7" max="8" width="13.84375" style="75" customWidth="1"/>
    <col min="9" max="9" width="13.84375" style="75" hidden="1" customWidth="1"/>
    <col min="10" max="10" width="2.69140625" style="75" customWidth="1"/>
    <col min="11" max="11" width="13.84375" style="75" customWidth="1"/>
    <col min="12" max="12" width="15.84375" style="75" customWidth="1"/>
    <col min="13" max="14" width="13.84375" style="75" customWidth="1"/>
    <col min="15" max="15" width="13.84375" style="75" hidden="1" customWidth="1"/>
    <col min="16" max="16" width="5" style="75" customWidth="1"/>
    <col min="17" max="17" width="12" style="75" bestFit="1" customWidth="1"/>
    <col min="18" max="18" width="19.15234375" style="75" customWidth="1"/>
    <col min="19" max="19" width="14.07421875" style="75" customWidth="1"/>
    <col min="20" max="20" width="12.84375" style="75" customWidth="1"/>
    <col min="21" max="16384" width="9.84375" style="75"/>
  </cols>
  <sheetData>
    <row r="1" spans="1:46" ht="32.5" customHeight="1">
      <c r="A1" s="26"/>
      <c r="B1" s="26"/>
      <c r="C1" s="26"/>
      <c r="D1" s="436" t="s">
        <v>465</v>
      </c>
      <c r="E1" s="415" t="s">
        <v>162</v>
      </c>
      <c r="F1" s="416"/>
      <c r="G1" s="416"/>
      <c r="H1" s="42"/>
      <c r="I1" s="42"/>
      <c r="J1" s="42"/>
      <c r="K1" s="42"/>
      <c r="L1" s="42"/>
      <c r="M1" s="42"/>
      <c r="N1" s="42"/>
      <c r="O1" s="2"/>
      <c r="P1" s="26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</row>
    <row r="2" spans="1:46" ht="18">
      <c r="A2" s="26"/>
      <c r="B2" s="26"/>
      <c r="C2" s="2"/>
      <c r="D2" s="2"/>
      <c r="E2" s="417" t="str">
        <f>"ADJUSTED PAYMENTS AT September 1, "&amp;VALUE(RIGHT(Input!A2,4)-1)</f>
        <v>ADJUSTED PAYMENTS AT September 1, 2021</v>
      </c>
      <c r="F2" s="417"/>
      <c r="G2" s="417"/>
      <c r="H2" s="42"/>
      <c r="I2" s="42"/>
      <c r="J2" s="42"/>
      <c r="K2" s="42"/>
      <c r="L2" s="42"/>
      <c r="M2" s="42"/>
      <c r="N2" s="418"/>
      <c r="O2" s="6"/>
      <c r="P2" s="26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</row>
    <row r="3" spans="1:46" ht="18">
      <c r="A3" s="26"/>
      <c r="B3" s="26"/>
      <c r="C3" s="2"/>
      <c r="D3" s="2"/>
      <c r="E3" s="417"/>
      <c r="F3" s="417"/>
      <c r="G3" s="417"/>
      <c r="H3" s="42"/>
      <c r="I3" s="42"/>
      <c r="J3" s="42"/>
      <c r="K3" s="42"/>
      <c r="L3" s="42"/>
      <c r="M3" s="42"/>
      <c r="N3" s="418"/>
      <c r="O3" s="6"/>
      <c r="P3" s="26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</row>
    <row r="4" spans="1:46">
      <c r="A4" s="26"/>
      <c r="B4" s="26"/>
      <c r="C4" s="2"/>
      <c r="D4" s="2"/>
      <c r="E4" s="407" t="s">
        <v>170</v>
      </c>
      <c r="F4" s="408"/>
      <c r="G4" s="408"/>
      <c r="H4" s="409"/>
      <c r="I4" s="412"/>
      <c r="J4" s="410"/>
      <c r="K4" s="407" t="s">
        <v>179</v>
      </c>
      <c r="L4" s="413"/>
      <c r="M4" s="413"/>
      <c r="N4" s="408"/>
      <c r="O4" s="414"/>
      <c r="P4" s="78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</row>
    <row r="5" spans="1:46">
      <c r="A5" s="26"/>
      <c r="B5" s="26"/>
      <c r="C5" s="2"/>
      <c r="D5" s="2"/>
      <c r="E5" s="293" t="s">
        <v>95</v>
      </c>
      <c r="F5" s="294" t="s">
        <v>173</v>
      </c>
      <c r="G5" s="294"/>
      <c r="H5" s="181" t="s">
        <v>95</v>
      </c>
      <c r="I5" s="411" t="s">
        <v>177</v>
      </c>
      <c r="J5" s="78"/>
      <c r="K5" s="293" t="s">
        <v>95</v>
      </c>
      <c r="L5" s="294" t="s">
        <v>173</v>
      </c>
      <c r="M5" s="294"/>
      <c r="N5" s="181" t="s">
        <v>95</v>
      </c>
      <c r="O5" s="411" t="s">
        <v>177</v>
      </c>
      <c r="P5" s="78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</row>
    <row r="6" spans="1:46">
      <c r="A6" s="26"/>
      <c r="B6" s="26"/>
      <c r="C6" s="2"/>
      <c r="D6" s="2"/>
      <c r="E6" s="293" t="s">
        <v>171</v>
      </c>
      <c r="F6" s="294" t="s">
        <v>174</v>
      </c>
      <c r="G6" s="294" t="s">
        <v>105</v>
      </c>
      <c r="H6" s="181" t="s">
        <v>176</v>
      </c>
      <c r="I6" s="77" t="s">
        <v>178</v>
      </c>
      <c r="J6" s="78"/>
      <c r="K6" s="293" t="s">
        <v>171</v>
      </c>
      <c r="L6" s="294" t="s">
        <v>174</v>
      </c>
      <c r="M6" s="294" t="s">
        <v>105</v>
      </c>
      <c r="N6" s="181" t="s">
        <v>176</v>
      </c>
      <c r="O6" s="77" t="s">
        <v>185</v>
      </c>
      <c r="P6" s="78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</row>
    <row r="7" spans="1:46">
      <c r="A7" s="26"/>
      <c r="B7" s="26"/>
      <c r="C7" s="2"/>
      <c r="D7" s="2"/>
      <c r="E7" s="293" t="s">
        <v>103</v>
      </c>
      <c r="F7" s="294" t="s">
        <v>175</v>
      </c>
      <c r="G7" s="294" t="s">
        <v>103</v>
      </c>
      <c r="H7" s="181" t="s">
        <v>103</v>
      </c>
      <c r="I7" s="77" t="str">
        <f>"Sept. "&amp;VALUE(RIGHT(Input!A2,4)-1)</f>
        <v>Sept. 2021</v>
      </c>
      <c r="J7" s="78"/>
      <c r="K7" s="293" t="s">
        <v>103</v>
      </c>
      <c r="L7" s="294" t="s">
        <v>175</v>
      </c>
      <c r="M7" s="294" t="s">
        <v>103</v>
      </c>
      <c r="N7" s="181" t="s">
        <v>103</v>
      </c>
      <c r="O7" s="77" t="str">
        <f>I7</f>
        <v>Sept. 2021</v>
      </c>
      <c r="P7" s="78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</row>
    <row r="8" spans="1:46">
      <c r="A8" s="26"/>
      <c r="B8" s="26"/>
      <c r="C8" s="2"/>
      <c r="D8" s="267"/>
      <c r="E8" s="295" t="s">
        <v>172</v>
      </c>
      <c r="F8" s="290" t="str">
        <f>"Based on July "&amp;VALUE(RIGHT(Input!A2,4)-2)</f>
        <v>Based on July 2020</v>
      </c>
      <c r="G8" s="291" t="s">
        <v>172</v>
      </c>
      <c r="H8" s="296" t="s">
        <v>172</v>
      </c>
      <c r="I8" s="77" t="str">
        <f>"to June " &amp; VALUE(RIGHT(Input!A2,4))</f>
        <v>to June 2022</v>
      </c>
      <c r="J8" s="78"/>
      <c r="K8" s="295" t="s">
        <v>180</v>
      </c>
      <c r="L8" s="292" t="str">
        <f>F8</f>
        <v>Based on July 2020</v>
      </c>
      <c r="M8" s="291" t="s">
        <v>180</v>
      </c>
      <c r="N8" s="296" t="s">
        <v>180</v>
      </c>
      <c r="O8" s="77" t="str">
        <f>I8</f>
        <v>to June 2022</v>
      </c>
      <c r="P8" s="78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</row>
    <row r="9" spans="1:46" ht="5.15" customHeight="1">
      <c r="A9" s="26"/>
      <c r="B9" s="26"/>
      <c r="C9" s="2"/>
      <c r="D9" s="267"/>
      <c r="E9" s="297"/>
      <c r="F9" s="298"/>
      <c r="G9" s="299"/>
      <c r="H9" s="182"/>
      <c r="I9" s="77"/>
      <c r="J9" s="78"/>
      <c r="K9" s="297"/>
      <c r="L9" s="294"/>
      <c r="M9" s="299"/>
      <c r="N9" s="182"/>
      <c r="O9" s="77"/>
      <c r="P9" s="78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</row>
    <row r="10" spans="1:46" s="307" customFormat="1">
      <c r="C10" s="308" t="s">
        <v>388</v>
      </c>
      <c r="D10" s="308" t="str">
        <f>'UCC Fund Calc FY2022'!D58</f>
        <v>Statewide Total</v>
      </c>
      <c r="E10" s="309">
        <f>SUM(E11:E58)</f>
        <v>-101979780.75799976</v>
      </c>
      <c r="F10" s="310">
        <f>SUM(F11:F58)</f>
        <v>-754687.01322690398</v>
      </c>
      <c r="G10" s="310">
        <f>SUM(G11:G58)</f>
        <v>-102734467.77122666</v>
      </c>
      <c r="H10" s="311">
        <f>SUM(H11:H58)</f>
        <v>-8561205.647602221</v>
      </c>
      <c r="I10" s="312">
        <f>SUM(I11:I58)</f>
        <v>-85612056.476022229</v>
      </c>
      <c r="J10" s="313"/>
      <c r="K10" s="309">
        <f>SUM(K11:K58)</f>
        <v>101569403.19156653</v>
      </c>
      <c r="L10" s="310">
        <f>SUM(L11:L58)</f>
        <v>1092816.3437964916</v>
      </c>
      <c r="M10" s="310">
        <f>SUM(M11:M58)</f>
        <v>102662219.53536302</v>
      </c>
      <c r="N10" s="314">
        <f>SUM(N11:N58)</f>
        <v>8555184.9612802509</v>
      </c>
      <c r="O10" s="312">
        <f>SUM(O11:O58)</f>
        <v>85551849.612802505</v>
      </c>
      <c r="P10" s="315"/>
      <c r="Q10" s="316">
        <f>SUM(Q11:Q58)</f>
        <v>-72248.235863640904</v>
      </c>
      <c r="R10" s="316">
        <f>+F10+L10</f>
        <v>338129.33056958765</v>
      </c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</row>
    <row r="11" spans="1:46">
      <c r="A11" s="26"/>
      <c r="B11" s="26"/>
      <c r="C11" s="2">
        <f>'UCC Fund Calc FY2022'!C9</f>
        <v>210001</v>
      </c>
      <c r="D11" s="2" t="str">
        <f>'UCC Fund Calc FY2022'!D9</f>
        <v>Meritus Medical Center</v>
      </c>
      <c r="E11" s="300">
        <f>'UCC Fund Calc FY2022'!AE9</f>
        <v>-4361051.8781529069</v>
      </c>
      <c r="F11" s="301">
        <f>IF(E11=0,0,SUMIFS(Input!M:M,Input!A:A,C11))</f>
        <v>-140915.41058731079</v>
      </c>
      <c r="G11" s="301">
        <f t="shared" ref="G11:G57" si="0">E11+F11</f>
        <v>-4501967.2887402177</v>
      </c>
      <c r="H11" s="183">
        <f t="shared" ref="H11:H57" si="1">G11/12</f>
        <v>-375163.94072835147</v>
      </c>
      <c r="I11" s="18">
        <f t="shared" ref="I11:I57" si="2">H11*10</f>
        <v>-3751639.4072835147</v>
      </c>
      <c r="J11" s="32"/>
      <c r="K11" s="300">
        <f>'UCC Fund Calc FY2022'!AD9</f>
        <v>0</v>
      </c>
      <c r="L11" s="301">
        <f>IF(K11=0,0,SUMIFS(Input!M:M,Input!A:A,C11))</f>
        <v>0</v>
      </c>
      <c r="M11" s="301">
        <f t="shared" ref="M11:M57" si="3">K11+L11</f>
        <v>0</v>
      </c>
      <c r="N11" s="183">
        <f t="shared" ref="N11:N57" si="4">M11/12</f>
        <v>0</v>
      </c>
      <c r="O11" s="18">
        <f t="shared" ref="O11:O57" si="5">N11*10</f>
        <v>0</v>
      </c>
      <c r="P11" s="78"/>
      <c r="Q11" s="122">
        <f>G11+M11</f>
        <v>-4501967.2887402177</v>
      </c>
      <c r="R11" s="442">
        <f t="shared" ref="R11:R58" si="6">+F11+L11</f>
        <v>-140915.41058731079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</row>
    <row r="12" spans="1:46">
      <c r="A12" s="26"/>
      <c r="B12" s="26"/>
      <c r="C12" s="2">
        <f>'UCC Fund Calc FY2022'!C10</f>
        <v>210002</v>
      </c>
      <c r="D12" s="2" t="str">
        <f>'UCC Fund Calc FY2022'!D10</f>
        <v>UM Medical Center</v>
      </c>
      <c r="E12" s="300">
        <f>'UCC Fund Calc FY2022'!AE10</f>
        <v>0</v>
      </c>
      <c r="F12" s="301">
        <f>IF(E12=0,0,SUMIFS(Input!M:M,Input!A:A,C12))</f>
        <v>0</v>
      </c>
      <c r="G12" s="301">
        <f t="shared" si="0"/>
        <v>0</v>
      </c>
      <c r="H12" s="183">
        <f t="shared" si="1"/>
        <v>0</v>
      </c>
      <c r="I12" s="18">
        <f t="shared" si="2"/>
        <v>0</v>
      </c>
      <c r="J12" s="32"/>
      <c r="K12" s="300">
        <f>'UCC Fund Calc FY2022'!AD10</f>
        <v>20109663.356102705</v>
      </c>
      <c r="L12" s="301">
        <f>IF(K12=0,0,SUMIFS(Input!M:M,Input!A:A,C12))</f>
        <v>28032.485414505005</v>
      </c>
      <c r="M12" s="301">
        <f t="shared" si="3"/>
        <v>20137695.84151721</v>
      </c>
      <c r="N12" s="183">
        <f t="shared" si="4"/>
        <v>1678141.3201264341</v>
      </c>
      <c r="O12" s="18">
        <f t="shared" si="5"/>
        <v>16781413.20126434</v>
      </c>
      <c r="P12" s="78"/>
      <c r="Q12" s="122">
        <f t="shared" ref="Q12:Q58" si="7">G12+M12</f>
        <v>20137695.84151721</v>
      </c>
      <c r="R12" s="442">
        <f t="shared" si="6"/>
        <v>28032.485414505005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</row>
    <row r="13" spans="1:46">
      <c r="A13" s="26"/>
      <c r="B13" s="26"/>
      <c r="C13" s="2">
        <f>'UCC Fund Calc FY2022'!C11</f>
        <v>210003</v>
      </c>
      <c r="D13" s="2" t="str">
        <f>'UCC Fund Calc FY2022'!D11</f>
        <v>Prince Georges Hospital Center</v>
      </c>
      <c r="E13" s="300">
        <f>'UCC Fund Calc FY2022'!AE11</f>
        <v>-15548392.069907129</v>
      </c>
      <c r="F13" s="301">
        <f>IF(E13=0,0,SUMIFS(Input!M:M,Input!A:A,C13))</f>
        <v>-9596.9129387140274</v>
      </c>
      <c r="G13" s="301">
        <f t="shared" si="0"/>
        <v>-15557988.982845843</v>
      </c>
      <c r="H13" s="183">
        <f t="shared" si="1"/>
        <v>-1296499.0819038202</v>
      </c>
      <c r="I13" s="18">
        <f t="shared" si="2"/>
        <v>-12964990.819038201</v>
      </c>
      <c r="J13" s="32"/>
      <c r="K13" s="300">
        <f>'UCC Fund Calc FY2022'!AD11</f>
        <v>0</v>
      </c>
      <c r="L13" s="301">
        <f>IF(K13=0,0,SUMIFS(Input!M:M,Input!A:A,C13))</f>
        <v>0</v>
      </c>
      <c r="M13" s="301">
        <f t="shared" si="3"/>
        <v>0</v>
      </c>
      <c r="N13" s="183">
        <f t="shared" si="4"/>
        <v>0</v>
      </c>
      <c r="O13" s="18">
        <f t="shared" si="5"/>
        <v>0</v>
      </c>
      <c r="P13" s="78"/>
      <c r="Q13" s="122">
        <f t="shared" si="7"/>
        <v>-15557988.982845843</v>
      </c>
      <c r="R13" s="442">
        <f t="shared" si="6"/>
        <v>-9596.9129387140274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</row>
    <row r="14" spans="1:46">
      <c r="A14" s="26"/>
      <c r="B14" s="26"/>
      <c r="C14" s="2">
        <f>'UCC Fund Calc FY2022'!C12</f>
        <v>210004</v>
      </c>
      <c r="D14" s="2" t="str">
        <f>'UCC Fund Calc FY2022'!D12</f>
        <v>Holy Cross Hospital</v>
      </c>
      <c r="E14" s="300">
        <f>'UCC Fund Calc FY2022'!AE12</f>
        <v>-16597882.746986091</v>
      </c>
      <c r="F14" s="301">
        <f>IF(E14=0,0,SUMIFS(Input!M:M,Input!A:A,C14))</f>
        <v>-136302.59421980381</v>
      </c>
      <c r="G14" s="301">
        <f t="shared" si="0"/>
        <v>-16734185.341205895</v>
      </c>
      <c r="H14" s="183">
        <f t="shared" si="1"/>
        <v>-1394515.4451004912</v>
      </c>
      <c r="I14" s="18">
        <f t="shared" si="2"/>
        <v>-13945154.451004911</v>
      </c>
      <c r="J14" s="32"/>
      <c r="K14" s="300">
        <f>'UCC Fund Calc FY2022'!AD12</f>
        <v>0</v>
      </c>
      <c r="L14" s="301">
        <f>IF(K14=0,0,SUMIFS(Input!M:M,Input!A:A,C14))</f>
        <v>0</v>
      </c>
      <c r="M14" s="301">
        <f t="shared" si="3"/>
        <v>0</v>
      </c>
      <c r="N14" s="183">
        <f t="shared" si="4"/>
        <v>0</v>
      </c>
      <c r="O14" s="18">
        <f t="shared" si="5"/>
        <v>0</v>
      </c>
      <c r="P14" s="78"/>
      <c r="Q14" s="122">
        <f t="shared" si="7"/>
        <v>-16734185.341205895</v>
      </c>
      <c r="R14" s="442">
        <f t="shared" si="6"/>
        <v>-136302.59421980381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</row>
    <row r="15" spans="1:46">
      <c r="A15" s="26"/>
      <c r="B15" s="26"/>
      <c r="C15" s="2">
        <f>'UCC Fund Calc FY2022'!C13</f>
        <v>210005</v>
      </c>
      <c r="D15" s="2" t="str">
        <f>'UCC Fund Calc FY2022'!D13</f>
        <v>Frederick Memorial Hospital</v>
      </c>
      <c r="E15" s="300">
        <f>'UCC Fund Calc FY2022'!AE13</f>
        <v>-1675404.5898758769</v>
      </c>
      <c r="F15" s="301">
        <f>IF(E15=0,0,SUMIFS(Input!M:M,Input!A:A,C15))</f>
        <v>-43636.172892570496</v>
      </c>
      <c r="G15" s="301">
        <f t="shared" si="0"/>
        <v>-1719040.7627684474</v>
      </c>
      <c r="H15" s="183">
        <f t="shared" si="1"/>
        <v>-143253.39689737061</v>
      </c>
      <c r="I15" s="18">
        <f t="shared" si="2"/>
        <v>-1432533.968973706</v>
      </c>
      <c r="J15" s="32"/>
      <c r="K15" s="300">
        <f>'UCC Fund Calc FY2022'!AD13</f>
        <v>0</v>
      </c>
      <c r="L15" s="301">
        <f>IF(K15=0,0,SUMIFS(Input!M:M,Input!A:A,C15))</f>
        <v>0</v>
      </c>
      <c r="M15" s="301">
        <f t="shared" si="3"/>
        <v>0</v>
      </c>
      <c r="N15" s="183">
        <f t="shared" si="4"/>
        <v>0</v>
      </c>
      <c r="O15" s="18">
        <f t="shared" si="5"/>
        <v>0</v>
      </c>
      <c r="P15" s="78"/>
      <c r="Q15" s="122">
        <f t="shared" si="7"/>
        <v>-1719040.7627684474</v>
      </c>
      <c r="R15" s="442">
        <f t="shared" si="6"/>
        <v>-43636.172892570496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</row>
    <row r="16" spans="1:46">
      <c r="A16" s="26"/>
      <c r="B16" s="26"/>
      <c r="C16" s="2">
        <f>'UCC Fund Calc FY2022'!C14</f>
        <v>210006</v>
      </c>
      <c r="D16" s="2" t="str">
        <f>'UCC Fund Calc FY2022'!D14</f>
        <v>UM Harford Memorial Hospital</v>
      </c>
      <c r="E16" s="300">
        <f>'UCC Fund Calc FY2022'!AE14</f>
        <v>-1319625.6448491216</v>
      </c>
      <c r="F16" s="301">
        <f>IF(E16=0,0,SUMIFS(Input!M:M,Input!A:A,C16))</f>
        <v>4802.4809673726559</v>
      </c>
      <c r="G16" s="301">
        <f t="shared" si="0"/>
        <v>-1314823.1638817489</v>
      </c>
      <c r="H16" s="183">
        <f t="shared" si="1"/>
        <v>-109568.59699014574</v>
      </c>
      <c r="I16" s="18">
        <f t="shared" si="2"/>
        <v>-1095685.9699014574</v>
      </c>
      <c r="J16" s="32"/>
      <c r="K16" s="300">
        <f>'UCC Fund Calc FY2022'!AD14</f>
        <v>0</v>
      </c>
      <c r="L16" s="301">
        <f>IF(K16=0,0,SUMIFS(Input!M:M,Input!A:A,C16))</f>
        <v>0</v>
      </c>
      <c r="M16" s="301">
        <f t="shared" si="3"/>
        <v>0</v>
      </c>
      <c r="N16" s="183">
        <f t="shared" si="4"/>
        <v>0</v>
      </c>
      <c r="O16" s="18">
        <f t="shared" si="5"/>
        <v>0</v>
      </c>
      <c r="P16" s="78"/>
      <c r="Q16" s="122">
        <f t="shared" si="7"/>
        <v>-1314823.1638817489</v>
      </c>
      <c r="R16" s="442">
        <f t="shared" si="6"/>
        <v>4802.4809673726559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</row>
    <row r="17" spans="1:46">
      <c r="A17" s="26"/>
      <c r="B17" s="26"/>
      <c r="C17" s="2">
        <f>'UCC Fund Calc FY2022'!C15</f>
        <v>210008</v>
      </c>
      <c r="D17" s="2" t="str">
        <f>'UCC Fund Calc FY2022'!D15</f>
        <v>Mercy Medical Center</v>
      </c>
      <c r="E17" s="300">
        <f>'UCC Fund Calc FY2022'!AE15</f>
        <v>-1248362.5634930134</v>
      </c>
      <c r="F17" s="301">
        <f>IF(E17=0,0,SUMIFS(Input!M:M,Input!A:A,C17))</f>
        <v>-38537.440792441368</v>
      </c>
      <c r="G17" s="301">
        <f t="shared" si="0"/>
        <v>-1286900.0042854548</v>
      </c>
      <c r="H17" s="183">
        <f t="shared" si="1"/>
        <v>-107241.6670237879</v>
      </c>
      <c r="I17" s="18">
        <f t="shared" si="2"/>
        <v>-1072416.670237879</v>
      </c>
      <c r="J17" s="32"/>
      <c r="K17" s="300">
        <f>'UCC Fund Calc FY2022'!AD15</f>
        <v>0</v>
      </c>
      <c r="L17" s="301">
        <f>IF(K17=0,0,SUMIFS(Input!M:M,Input!A:A,C17))</f>
        <v>0</v>
      </c>
      <c r="M17" s="301">
        <f t="shared" si="3"/>
        <v>0</v>
      </c>
      <c r="N17" s="183">
        <f t="shared" si="4"/>
        <v>0</v>
      </c>
      <c r="O17" s="18">
        <f t="shared" si="5"/>
        <v>0</v>
      </c>
      <c r="P17" s="78"/>
      <c r="Q17" s="122">
        <f t="shared" si="7"/>
        <v>-1286900.0042854548</v>
      </c>
      <c r="R17" s="442">
        <f t="shared" si="6"/>
        <v>-38537.440792441368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</row>
    <row r="18" spans="1:46">
      <c r="A18" s="26"/>
      <c r="B18" s="26"/>
      <c r="C18" s="2">
        <f>'UCC Fund Calc FY2022'!C16</f>
        <v>210009</v>
      </c>
      <c r="D18" s="2" t="str">
        <f>'UCC Fund Calc FY2022'!D16</f>
        <v>Johns Hopkins Hospital</v>
      </c>
      <c r="E18" s="300">
        <f>'UCC Fund Calc FY2022'!AE16</f>
        <v>0</v>
      </c>
      <c r="F18" s="301">
        <f>IF(E18=0,0,SUMIFS(Input!M:M,Input!A:A,C18))</f>
        <v>0</v>
      </c>
      <c r="G18" s="301">
        <f t="shared" si="0"/>
        <v>0</v>
      </c>
      <c r="H18" s="183">
        <f t="shared" si="1"/>
        <v>0</v>
      </c>
      <c r="I18" s="18">
        <f t="shared" si="2"/>
        <v>0</v>
      </c>
      <c r="J18" s="32"/>
      <c r="K18" s="300">
        <f>'UCC Fund Calc FY2022'!AD16</f>
        <v>35969240.120985508</v>
      </c>
      <c r="L18" s="301">
        <f>IF(K18=0,0,SUMIFS(Input!M:M,Input!A:A,C18))</f>
        <v>435788.24457979202</v>
      </c>
      <c r="M18" s="301">
        <f t="shared" si="3"/>
        <v>36405028.3655653</v>
      </c>
      <c r="N18" s="183">
        <f t="shared" si="4"/>
        <v>3033752.3637971082</v>
      </c>
      <c r="O18" s="18">
        <f t="shared" si="5"/>
        <v>30337523.637971081</v>
      </c>
      <c r="P18" s="78"/>
      <c r="Q18" s="122">
        <f t="shared" si="7"/>
        <v>36405028.3655653</v>
      </c>
      <c r="R18" s="442">
        <f t="shared" si="6"/>
        <v>435788.24457979202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</row>
    <row r="19" spans="1:46">
      <c r="A19" s="26"/>
      <c r="B19" s="26"/>
      <c r="C19" s="2">
        <f>'UCC Fund Calc FY2022'!C17</f>
        <v>210010</v>
      </c>
      <c r="D19" s="2" t="str">
        <f>'UCC Fund Calc FY2022'!D17</f>
        <v>UM Shore Medical Center at Dorchester</v>
      </c>
      <c r="E19" s="300">
        <f>'UCC Fund Calc FY2022'!AE17</f>
        <v>-615995.4742166847</v>
      </c>
      <c r="F19" s="301">
        <f>IF(E19=0,0,SUMIFS(Input!M:M,Input!A:A,C19))</f>
        <v>6628.9238940477371</v>
      </c>
      <c r="G19" s="301">
        <f t="shared" si="0"/>
        <v>-609366.55032263696</v>
      </c>
      <c r="H19" s="183">
        <f t="shared" si="1"/>
        <v>-50780.545860219747</v>
      </c>
      <c r="I19" s="18">
        <f t="shared" si="2"/>
        <v>-507805.45860219747</v>
      </c>
      <c r="J19" s="32"/>
      <c r="K19" s="300">
        <f>'UCC Fund Calc FY2022'!AD17</f>
        <v>0</v>
      </c>
      <c r="L19" s="301">
        <f>IF(K19=0,0,SUMIFS(Input!M:M,Input!A:A,C19))</f>
        <v>0</v>
      </c>
      <c r="M19" s="301">
        <f t="shared" si="3"/>
        <v>0</v>
      </c>
      <c r="N19" s="183">
        <f t="shared" si="4"/>
        <v>0</v>
      </c>
      <c r="O19" s="18">
        <f t="shared" si="5"/>
        <v>0</v>
      </c>
      <c r="P19" s="78"/>
      <c r="Q19" s="122">
        <f t="shared" si="7"/>
        <v>-609366.55032263696</v>
      </c>
      <c r="R19" s="442">
        <f t="shared" si="6"/>
        <v>6628.9238940477371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</row>
    <row r="20" spans="1:46">
      <c r="A20" s="26"/>
      <c r="B20" s="26"/>
      <c r="C20" s="2">
        <f>'UCC Fund Calc FY2022'!C18</f>
        <v>210011</v>
      </c>
      <c r="D20" s="2" t="str">
        <f>'UCC Fund Calc FY2022'!D18</f>
        <v>Saint Agnes Hospital</v>
      </c>
      <c r="E20" s="300">
        <f>'UCC Fund Calc FY2022'!AE18</f>
        <v>-5525477.4571820498</v>
      </c>
      <c r="F20" s="301">
        <f>IF(E20=0,0,SUMIFS(Input!M:M,Input!A:A,C20))</f>
        <v>-46730.005499184132</v>
      </c>
      <c r="G20" s="301">
        <f t="shared" si="0"/>
        <v>-5572207.4626812339</v>
      </c>
      <c r="H20" s="183">
        <f t="shared" si="1"/>
        <v>-464350.6218901028</v>
      </c>
      <c r="I20" s="18">
        <f t="shared" si="2"/>
        <v>-4643506.2189010279</v>
      </c>
      <c r="J20" s="32"/>
      <c r="K20" s="300">
        <f>'UCC Fund Calc FY2022'!AD18</f>
        <v>0</v>
      </c>
      <c r="L20" s="301">
        <f>IF(K20=0,0,SUMIFS(Input!M:M,Input!A:A,C20))</f>
        <v>0</v>
      </c>
      <c r="M20" s="301">
        <f t="shared" si="3"/>
        <v>0</v>
      </c>
      <c r="N20" s="183">
        <f t="shared" si="4"/>
        <v>0</v>
      </c>
      <c r="O20" s="18">
        <f t="shared" si="5"/>
        <v>0</v>
      </c>
      <c r="P20" s="78"/>
      <c r="Q20" s="122">
        <f t="shared" si="7"/>
        <v>-5572207.4626812339</v>
      </c>
      <c r="R20" s="442">
        <f t="shared" si="6"/>
        <v>-46730.005499184132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</row>
    <row r="21" spans="1:46">
      <c r="A21" s="26"/>
      <c r="B21" s="26"/>
      <c r="C21" s="2">
        <f>'UCC Fund Calc FY2022'!C19</f>
        <v>210012</v>
      </c>
      <c r="D21" s="2" t="str">
        <f>'UCC Fund Calc FY2022'!D19</f>
        <v>Sinai Hospital of Baltimore</v>
      </c>
      <c r="E21" s="300">
        <f>'UCC Fund Calc FY2022'!AE19</f>
        <v>0</v>
      </c>
      <c r="F21" s="301">
        <f>IF(E21=0,0,SUMIFS(Input!M:M,Input!A:A,C21))</f>
        <v>0</v>
      </c>
      <c r="G21" s="301">
        <f t="shared" si="0"/>
        <v>0</v>
      </c>
      <c r="H21" s="183">
        <f t="shared" si="1"/>
        <v>0</v>
      </c>
      <c r="I21" s="18">
        <f t="shared" si="2"/>
        <v>0</v>
      </c>
      <c r="J21" s="32"/>
      <c r="K21" s="300">
        <f>'UCC Fund Calc FY2022'!AD19</f>
        <v>4465065.5816110373</v>
      </c>
      <c r="L21" s="301">
        <f>IF(K21=0,0,SUMIFS(Input!M:M,Input!A:A,C21))</f>
        <v>28831.065006613731</v>
      </c>
      <c r="M21" s="301">
        <f t="shared" si="3"/>
        <v>4493896.646617651</v>
      </c>
      <c r="N21" s="183">
        <f t="shared" si="4"/>
        <v>374491.38721813756</v>
      </c>
      <c r="O21" s="18">
        <f t="shared" si="5"/>
        <v>3744913.8721813755</v>
      </c>
      <c r="P21" s="78"/>
      <c r="Q21" s="122">
        <f t="shared" si="7"/>
        <v>4493896.646617651</v>
      </c>
      <c r="R21" s="442">
        <f t="shared" si="6"/>
        <v>28831.065006613731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</row>
    <row r="22" spans="1:46">
      <c r="A22" s="26"/>
      <c r="B22" s="26"/>
      <c r="C22" s="2">
        <f>'UCC Fund Calc FY2022'!C20</f>
        <v>210013</v>
      </c>
      <c r="D22" s="2" t="str">
        <f>'UCC Fund Calc FY2022'!D20</f>
        <v>Bon Secours Hospital</v>
      </c>
      <c r="E22" s="300">
        <f>'UCC Fund Calc FY2022'!AE20</f>
        <v>-172101.17384396493</v>
      </c>
      <c r="F22" s="301">
        <f>IF(E22=0,0,SUMIFS(Input!M:M,Input!A:A,C22))</f>
        <v>-83755.745635807514</v>
      </c>
      <c r="G22" s="301">
        <f t="shared" si="0"/>
        <v>-255856.91947977245</v>
      </c>
      <c r="H22" s="183">
        <f t="shared" si="1"/>
        <v>-21321.409956647705</v>
      </c>
      <c r="I22" s="18">
        <f t="shared" si="2"/>
        <v>-213214.09956647706</v>
      </c>
      <c r="J22" s="32"/>
      <c r="K22" s="300">
        <f>'UCC Fund Calc FY2022'!AD20</f>
        <v>0</v>
      </c>
      <c r="L22" s="301">
        <f>IF(K22=0,0,SUMIFS(Input!M:M,Input!A:A,C22))</f>
        <v>0</v>
      </c>
      <c r="M22" s="301">
        <f t="shared" si="3"/>
        <v>0</v>
      </c>
      <c r="N22" s="183">
        <f t="shared" si="4"/>
        <v>0</v>
      </c>
      <c r="O22" s="18">
        <f t="shared" si="5"/>
        <v>0</v>
      </c>
      <c r="P22" s="78"/>
      <c r="Q22" s="122">
        <f t="shared" si="7"/>
        <v>-255856.91947977245</v>
      </c>
      <c r="R22" s="442">
        <f t="shared" si="6"/>
        <v>-83755.745635807514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</row>
    <row r="23" spans="1:46">
      <c r="A23" s="26"/>
      <c r="B23" s="26"/>
      <c r="C23" s="2">
        <f>'UCC Fund Calc FY2022'!C21</f>
        <v>210015</v>
      </c>
      <c r="D23" s="2" t="str">
        <f>'UCC Fund Calc FY2022'!D21</f>
        <v>Medstar Franklin Square Medical Center</v>
      </c>
      <c r="E23" s="300">
        <f>'UCC Fund Calc FY2022'!AE21</f>
        <v>0</v>
      </c>
      <c r="F23" s="301">
        <f>IF(E23=0,0,SUMIFS(Input!M:M,Input!A:A,C23))</f>
        <v>0</v>
      </c>
      <c r="G23" s="301">
        <f t="shared" si="0"/>
        <v>0</v>
      </c>
      <c r="H23" s="183">
        <f t="shared" si="1"/>
        <v>0</v>
      </c>
      <c r="I23" s="18">
        <f t="shared" si="2"/>
        <v>0</v>
      </c>
      <c r="J23" s="32"/>
      <c r="K23" s="300">
        <f>'UCC Fund Calc FY2022'!AD21</f>
        <v>4185774.0716041327</v>
      </c>
      <c r="L23" s="301">
        <f>IF(K23=0,0,SUMIFS(Input!M:M,Input!A:A,C23))</f>
        <v>4336.4923347234726</v>
      </c>
      <c r="M23" s="301">
        <f t="shared" si="3"/>
        <v>4190110.5639388561</v>
      </c>
      <c r="N23" s="183">
        <f t="shared" si="4"/>
        <v>349175.88032823801</v>
      </c>
      <c r="O23" s="18">
        <f t="shared" si="5"/>
        <v>3491758.8032823801</v>
      </c>
      <c r="P23" s="78"/>
      <c r="Q23" s="122">
        <f t="shared" si="7"/>
        <v>4190110.5639388561</v>
      </c>
      <c r="R23" s="442">
        <f t="shared" si="6"/>
        <v>4336.4923347234726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</row>
    <row r="24" spans="1:46">
      <c r="A24" s="26"/>
      <c r="B24" s="26"/>
      <c r="C24" s="2">
        <f>'UCC Fund Calc FY2022'!C22</f>
        <v>210016</v>
      </c>
      <c r="D24" s="2" t="str">
        <f>'UCC Fund Calc FY2022'!D22</f>
        <v>Adventist - Washington Adventist Hospital</v>
      </c>
      <c r="E24" s="300">
        <f>'UCC Fund Calc FY2022'!AE22</f>
        <v>-5658384.5982589722</v>
      </c>
      <c r="F24" s="301">
        <f>IF(E24=0,0,SUMIFS(Input!M:M,Input!A:A,C24))</f>
        <v>-68093.616042792797</v>
      </c>
      <c r="G24" s="301">
        <f t="shared" si="0"/>
        <v>-5726478.214301765</v>
      </c>
      <c r="H24" s="183">
        <f t="shared" si="1"/>
        <v>-477206.51785848039</v>
      </c>
      <c r="I24" s="18">
        <f t="shared" si="2"/>
        <v>-4772065.1785848038</v>
      </c>
      <c r="J24" s="32"/>
      <c r="K24" s="300">
        <f>'UCC Fund Calc FY2022'!AD22</f>
        <v>0</v>
      </c>
      <c r="L24" s="301">
        <f>IF(K24=0,0,SUMIFS(Input!M:M,Input!A:A,C24))</f>
        <v>0</v>
      </c>
      <c r="M24" s="301">
        <f t="shared" si="3"/>
        <v>0</v>
      </c>
      <c r="N24" s="183">
        <f t="shared" si="4"/>
        <v>0</v>
      </c>
      <c r="O24" s="18">
        <f t="shared" si="5"/>
        <v>0</v>
      </c>
      <c r="P24" s="78"/>
      <c r="Q24" s="122">
        <f t="shared" si="7"/>
        <v>-5726478.214301765</v>
      </c>
      <c r="R24" s="442">
        <f t="shared" si="6"/>
        <v>-68093.616042792797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</row>
    <row r="25" spans="1:46">
      <c r="A25" s="26"/>
      <c r="B25" s="26"/>
      <c r="C25" s="2">
        <f>'UCC Fund Calc FY2022'!C23</f>
        <v>210017</v>
      </c>
      <c r="D25" s="2" t="str">
        <f>'UCC Fund Calc FY2022'!D23</f>
        <v>Garrett County Memorial Hospital</v>
      </c>
      <c r="E25" s="300">
        <f>'UCC Fund Calc FY2022'!AE23</f>
        <v>-1282003.4455701038</v>
      </c>
      <c r="F25" s="301">
        <f>IF(E25=0,0,SUMIFS(Input!M:M,Input!A:A,C25))</f>
        <v>-51895.713860869408</v>
      </c>
      <c r="G25" s="301">
        <f t="shared" si="0"/>
        <v>-1333899.1594309732</v>
      </c>
      <c r="H25" s="183">
        <f t="shared" si="1"/>
        <v>-111158.26328591444</v>
      </c>
      <c r="I25" s="18">
        <f t="shared" si="2"/>
        <v>-1111582.6328591444</v>
      </c>
      <c r="J25" s="32"/>
      <c r="K25" s="300">
        <f>'UCC Fund Calc FY2022'!AD23</f>
        <v>0</v>
      </c>
      <c r="L25" s="301">
        <f>IF(K25=0,0,SUMIFS(Input!M:M,Input!A:A,C25))</f>
        <v>0</v>
      </c>
      <c r="M25" s="301">
        <f t="shared" si="3"/>
        <v>0</v>
      </c>
      <c r="N25" s="183">
        <f t="shared" si="4"/>
        <v>0</v>
      </c>
      <c r="O25" s="18">
        <f t="shared" si="5"/>
        <v>0</v>
      </c>
      <c r="P25" s="78"/>
      <c r="Q25" s="122">
        <f t="shared" si="7"/>
        <v>-1333899.1594309732</v>
      </c>
      <c r="R25" s="442">
        <f t="shared" si="6"/>
        <v>-51895.713860869408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</row>
    <row r="26" spans="1:46">
      <c r="A26" s="26"/>
      <c r="B26" s="26"/>
      <c r="C26" s="2">
        <f>'UCC Fund Calc FY2022'!C24</f>
        <v>210018</v>
      </c>
      <c r="D26" s="2" t="str">
        <f>'UCC Fund Calc FY2022'!D24</f>
        <v>Medstar Montgomery Medical Center</v>
      </c>
      <c r="E26" s="300">
        <f>'UCC Fund Calc FY2022'!AE24</f>
        <v>0</v>
      </c>
      <c r="F26" s="301">
        <f>IF(E26=0,0,SUMIFS(Input!M:M,Input!A:A,C26))</f>
        <v>0</v>
      </c>
      <c r="G26" s="301">
        <f t="shared" si="0"/>
        <v>0</v>
      </c>
      <c r="H26" s="183">
        <f t="shared" si="1"/>
        <v>0</v>
      </c>
      <c r="I26" s="18">
        <f t="shared" si="2"/>
        <v>0</v>
      </c>
      <c r="J26" s="32"/>
      <c r="K26" s="300">
        <f>'UCC Fund Calc FY2022'!AD24</f>
        <v>1473880.1706667244</v>
      </c>
      <c r="L26" s="301">
        <f>IF(K26=0,0,SUMIFS(Input!M:M,Input!A:A,C26))</f>
        <v>-15253.345452070236</v>
      </c>
      <c r="M26" s="301">
        <f t="shared" si="3"/>
        <v>1458626.8252146542</v>
      </c>
      <c r="N26" s="183">
        <f t="shared" si="4"/>
        <v>121552.23543455452</v>
      </c>
      <c r="O26" s="18">
        <f t="shared" si="5"/>
        <v>1215522.3543455452</v>
      </c>
      <c r="P26" s="78"/>
      <c r="Q26" s="122">
        <f t="shared" si="7"/>
        <v>1458626.8252146542</v>
      </c>
      <c r="R26" s="442">
        <f t="shared" si="6"/>
        <v>-15253.345452070236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</row>
    <row r="27" spans="1:46">
      <c r="A27" s="26"/>
      <c r="B27" s="26"/>
      <c r="C27" s="2">
        <f>'UCC Fund Calc FY2022'!C25</f>
        <v>210019</v>
      </c>
      <c r="D27" s="2" t="str">
        <f>'UCC Fund Calc FY2022'!D25</f>
        <v>Peninsula Regional Medical Center</v>
      </c>
      <c r="E27" s="300">
        <f>'UCC Fund Calc FY2022'!AE25</f>
        <v>0</v>
      </c>
      <c r="F27" s="301">
        <f>IF(E27=0,0,SUMIFS(Input!M:M,Input!A:A,C27))</f>
        <v>0</v>
      </c>
      <c r="G27" s="301">
        <f t="shared" si="0"/>
        <v>0</v>
      </c>
      <c r="H27" s="183">
        <f t="shared" si="1"/>
        <v>0</v>
      </c>
      <c r="I27" s="18">
        <f t="shared" si="2"/>
        <v>0</v>
      </c>
      <c r="J27" s="32"/>
      <c r="K27" s="300">
        <f>'UCC Fund Calc FY2022'!AD25</f>
        <v>348059.58417963982</v>
      </c>
      <c r="L27" s="301">
        <f>IF(K27=0,0,SUMIFS(Input!M:M,Input!A:A,C27))</f>
        <v>-188.2474702000618</v>
      </c>
      <c r="M27" s="301">
        <f t="shared" si="3"/>
        <v>347871.33670943975</v>
      </c>
      <c r="N27" s="183">
        <f t="shared" si="4"/>
        <v>28989.278059119981</v>
      </c>
      <c r="O27" s="18">
        <f t="shared" si="5"/>
        <v>289892.78059119981</v>
      </c>
      <c r="P27" s="78"/>
      <c r="Q27" s="122">
        <f t="shared" si="7"/>
        <v>347871.33670943975</v>
      </c>
      <c r="R27" s="442">
        <f t="shared" si="6"/>
        <v>-188.2474702000618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</row>
    <row r="28" spans="1:46">
      <c r="A28" s="26"/>
      <c r="B28" s="26"/>
      <c r="C28" s="2">
        <f>'UCC Fund Calc FY2022'!C26</f>
        <v>210022</v>
      </c>
      <c r="D28" s="2" t="str">
        <f>'UCC Fund Calc FY2022'!D26</f>
        <v>Suburban Hospital</v>
      </c>
      <c r="E28" s="300">
        <f>'UCC Fund Calc FY2022'!AE26</f>
        <v>0</v>
      </c>
      <c r="F28" s="301">
        <f>IF(E28=0,0,SUMIFS(Input!M:M,Input!A:A,C28))</f>
        <v>0</v>
      </c>
      <c r="G28" s="301">
        <f t="shared" si="0"/>
        <v>0</v>
      </c>
      <c r="H28" s="183">
        <f t="shared" si="1"/>
        <v>0</v>
      </c>
      <c r="I28" s="18">
        <f t="shared" si="2"/>
        <v>0</v>
      </c>
      <c r="J28" s="32"/>
      <c r="K28" s="300">
        <f>'UCC Fund Calc FY2022'!AD26</f>
        <v>2211742.8703038692</v>
      </c>
      <c r="L28" s="301">
        <f>IF(K28=0,0,SUMIFS(Input!M:M,Input!A:A,C28))</f>
        <v>23275.450722336769</v>
      </c>
      <c r="M28" s="301">
        <f t="shared" si="3"/>
        <v>2235018.321026206</v>
      </c>
      <c r="N28" s="183">
        <f t="shared" si="4"/>
        <v>186251.52675218383</v>
      </c>
      <c r="O28" s="18">
        <f t="shared" si="5"/>
        <v>1862515.2675218382</v>
      </c>
      <c r="P28" s="78"/>
      <c r="Q28" s="122">
        <f t="shared" si="7"/>
        <v>2235018.321026206</v>
      </c>
      <c r="R28" s="442">
        <f t="shared" si="6"/>
        <v>23275.450722336769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</row>
    <row r="29" spans="1:46">
      <c r="A29" s="26"/>
      <c r="B29" s="26"/>
      <c r="C29" s="2">
        <f>'UCC Fund Calc FY2022'!C27</f>
        <v>210023</v>
      </c>
      <c r="D29" s="2" t="str">
        <f>'UCC Fund Calc FY2022'!D27</f>
        <v>Anne Arundel Medical Center</v>
      </c>
      <c r="E29" s="300">
        <f>'UCC Fund Calc FY2022'!AE27</f>
        <v>0</v>
      </c>
      <c r="F29" s="301">
        <f>IF(E29=0,0,SUMIFS(Input!M:M,Input!A:A,C29))</f>
        <v>0</v>
      </c>
      <c r="G29" s="301">
        <f t="shared" si="0"/>
        <v>0</v>
      </c>
      <c r="H29" s="183">
        <f t="shared" si="1"/>
        <v>0</v>
      </c>
      <c r="I29" s="18">
        <f t="shared" si="2"/>
        <v>0</v>
      </c>
      <c r="J29" s="32"/>
      <c r="K29" s="300">
        <f>'UCC Fund Calc FY2022'!AD27</f>
        <v>6825376.8172872066</v>
      </c>
      <c r="L29" s="301">
        <f>IF(K29=0,0,SUMIFS(Input!M:M,Input!A:A,C29))</f>
        <v>339773.66334366798</v>
      </c>
      <c r="M29" s="301">
        <f t="shared" si="3"/>
        <v>7165150.4806308746</v>
      </c>
      <c r="N29" s="183">
        <f t="shared" si="4"/>
        <v>597095.87338590622</v>
      </c>
      <c r="O29" s="18">
        <f t="shared" si="5"/>
        <v>5970958.7338590622</v>
      </c>
      <c r="P29" s="78"/>
      <c r="Q29" s="122">
        <f t="shared" si="7"/>
        <v>7165150.4806308746</v>
      </c>
      <c r="R29" s="442">
        <f t="shared" si="6"/>
        <v>339773.66334366798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</row>
    <row r="30" spans="1:46">
      <c r="A30" s="26"/>
      <c r="B30" s="26"/>
      <c r="C30" s="2">
        <f>'UCC Fund Calc FY2022'!C28</f>
        <v>210024</v>
      </c>
      <c r="D30" s="2" t="str">
        <f>'UCC Fund Calc FY2022'!D28</f>
        <v>Medstar Union Memorial Hospital</v>
      </c>
      <c r="E30" s="300">
        <f>'UCC Fund Calc FY2022'!AE28</f>
        <v>0</v>
      </c>
      <c r="F30" s="301">
        <f>IF(E30=0,0,SUMIFS(Input!M:M,Input!A:A,C30))</f>
        <v>0</v>
      </c>
      <c r="G30" s="301">
        <f t="shared" si="0"/>
        <v>0</v>
      </c>
      <c r="H30" s="183">
        <f t="shared" si="1"/>
        <v>0</v>
      </c>
      <c r="I30" s="18">
        <f t="shared" si="2"/>
        <v>0</v>
      </c>
      <c r="J30" s="32"/>
      <c r="K30" s="300">
        <f>'UCC Fund Calc FY2022'!AD28</f>
        <v>5272283.5796652436</v>
      </c>
      <c r="L30" s="301">
        <f>IF(K30=0,0,SUMIFS(Input!M:M,Input!A:A,C30))</f>
        <v>-8175.2193727493286</v>
      </c>
      <c r="M30" s="301">
        <f t="shared" si="3"/>
        <v>5264108.3602924943</v>
      </c>
      <c r="N30" s="183">
        <f t="shared" si="4"/>
        <v>438675.69669104117</v>
      </c>
      <c r="O30" s="18">
        <f t="shared" si="5"/>
        <v>4386756.9669104116</v>
      </c>
      <c r="P30" s="78"/>
      <c r="Q30" s="122">
        <f t="shared" si="7"/>
        <v>5264108.3602924943</v>
      </c>
      <c r="R30" s="442">
        <f t="shared" si="6"/>
        <v>-8175.2193727493286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</row>
    <row r="31" spans="1:46">
      <c r="A31" s="26"/>
      <c r="B31" s="26"/>
      <c r="C31" s="2">
        <f>'UCC Fund Calc FY2022'!C29</f>
        <v>210027</v>
      </c>
      <c r="D31" s="2" t="str">
        <f>'UCC Fund Calc FY2022'!D29</f>
        <v>Western Maryland Regional Medical Center</v>
      </c>
      <c r="E31" s="300">
        <f>'UCC Fund Calc FY2022'!AE29</f>
        <v>-1268593.2344748378</v>
      </c>
      <c r="F31" s="301">
        <f>IF(E31=0,0,SUMIFS(Input!M:M,Input!A:A,C31))</f>
        <v>-20532.378905832767</v>
      </c>
      <c r="G31" s="301">
        <f t="shared" si="0"/>
        <v>-1289125.6133806705</v>
      </c>
      <c r="H31" s="183">
        <f t="shared" si="1"/>
        <v>-107427.13444838922</v>
      </c>
      <c r="I31" s="18">
        <f t="shared" si="2"/>
        <v>-1074271.3444838922</v>
      </c>
      <c r="J31" s="32"/>
      <c r="K31" s="300">
        <f>'UCC Fund Calc FY2022'!AD29</f>
        <v>0</v>
      </c>
      <c r="L31" s="301">
        <f>IF(K31=0,0,SUMIFS(Input!M:M,Input!A:A,C31))</f>
        <v>0</v>
      </c>
      <c r="M31" s="301">
        <f t="shared" si="3"/>
        <v>0</v>
      </c>
      <c r="N31" s="183">
        <f t="shared" si="4"/>
        <v>0</v>
      </c>
      <c r="O31" s="18">
        <f t="shared" si="5"/>
        <v>0</v>
      </c>
      <c r="P31" s="78"/>
      <c r="Q31" s="122">
        <f t="shared" si="7"/>
        <v>-1289125.6133806705</v>
      </c>
      <c r="R31" s="442">
        <f t="shared" si="6"/>
        <v>-20532.378905832767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</row>
    <row r="32" spans="1:46">
      <c r="A32" s="26"/>
      <c r="B32" s="26"/>
      <c r="C32" s="2">
        <f>'UCC Fund Calc FY2022'!C30</f>
        <v>210028</v>
      </c>
      <c r="D32" s="2" t="str">
        <f>'UCC Fund Calc FY2022'!D30</f>
        <v>Medstar Saint Mary's Hospital</v>
      </c>
      <c r="E32" s="300">
        <f>'UCC Fund Calc FY2022'!AE30</f>
        <v>0</v>
      </c>
      <c r="F32" s="301">
        <f>IF(E32=0,0,SUMIFS(Input!M:M,Input!A:A,C32))</f>
        <v>0</v>
      </c>
      <c r="G32" s="301">
        <f t="shared" si="0"/>
        <v>0</v>
      </c>
      <c r="H32" s="183">
        <f t="shared" si="1"/>
        <v>0</v>
      </c>
      <c r="I32" s="18">
        <f t="shared" si="2"/>
        <v>0</v>
      </c>
      <c r="J32" s="32"/>
      <c r="K32" s="300">
        <f>'UCC Fund Calc FY2022'!AD30</f>
        <v>1494174.6851848662</v>
      </c>
      <c r="L32" s="301">
        <f>IF(K32=0,0,SUMIFS(Input!M:M,Input!A:A,C32))</f>
        <v>660.23401737213135</v>
      </c>
      <c r="M32" s="301">
        <f t="shared" si="3"/>
        <v>1494834.9192022383</v>
      </c>
      <c r="N32" s="183">
        <f t="shared" si="4"/>
        <v>124569.57660018653</v>
      </c>
      <c r="O32" s="18">
        <f t="shared" si="5"/>
        <v>1245695.7660018653</v>
      </c>
      <c r="P32" s="78"/>
      <c r="Q32" s="122">
        <f t="shared" si="7"/>
        <v>1494834.9192022383</v>
      </c>
      <c r="R32" s="442">
        <f t="shared" si="6"/>
        <v>660.23401737213135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</row>
    <row r="33" spans="1:46">
      <c r="A33" s="26"/>
      <c r="B33" s="26"/>
      <c r="C33" s="2">
        <f>'UCC Fund Calc FY2022'!C31</f>
        <v>210029</v>
      </c>
      <c r="D33" s="2" t="str">
        <f>'UCC Fund Calc FY2022'!D31</f>
        <v>Johns Hopkins Bayview Medical Center</v>
      </c>
      <c r="E33" s="300">
        <f>'UCC Fund Calc FY2022'!AE31</f>
        <v>-5689760.3544106483</v>
      </c>
      <c r="F33" s="301">
        <f>IF(E33=0,0,SUMIFS(Input!M:M,Input!A:A,C33))</f>
        <v>-42486.601015090942</v>
      </c>
      <c r="G33" s="301">
        <f t="shared" si="0"/>
        <v>-5732246.9554257393</v>
      </c>
      <c r="H33" s="183">
        <f t="shared" si="1"/>
        <v>-477687.24628547829</v>
      </c>
      <c r="I33" s="18">
        <f t="shared" si="2"/>
        <v>-4776872.4628547831</v>
      </c>
      <c r="J33" s="32"/>
      <c r="K33" s="300">
        <f>'UCC Fund Calc FY2022'!AD31</f>
        <v>0</v>
      </c>
      <c r="L33" s="301">
        <f>IF(K33=0,0,SUMIFS(Input!M:M,Input!A:A,C33))</f>
        <v>0</v>
      </c>
      <c r="M33" s="301">
        <f t="shared" si="3"/>
        <v>0</v>
      </c>
      <c r="N33" s="183">
        <f t="shared" si="4"/>
        <v>0</v>
      </c>
      <c r="O33" s="18">
        <f t="shared" si="5"/>
        <v>0</v>
      </c>
      <c r="P33" s="78"/>
      <c r="Q33" s="122">
        <f t="shared" si="7"/>
        <v>-5732246.9554257393</v>
      </c>
      <c r="R33" s="442">
        <f t="shared" si="6"/>
        <v>-42486.601015090942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</row>
    <row r="34" spans="1:46">
      <c r="A34" s="26"/>
      <c r="B34" s="26"/>
      <c r="C34" s="2">
        <f>'UCC Fund Calc FY2022'!C32</f>
        <v>210030</v>
      </c>
      <c r="D34" s="2" t="str">
        <f>'UCC Fund Calc FY2022'!D32</f>
        <v>UM Shore Medical Center at Chestertown</v>
      </c>
      <c r="E34" s="300">
        <f>'UCC Fund Calc FY2022'!AE32</f>
        <v>-610810.0813773945</v>
      </c>
      <c r="F34" s="301">
        <f>IF(E34=0,0,SUMIFS(Input!M:M,Input!A:A,C34))</f>
        <v>-267.44801042228937</v>
      </c>
      <c r="G34" s="301">
        <f t="shared" si="0"/>
        <v>-611077.52938781679</v>
      </c>
      <c r="H34" s="183">
        <f t="shared" si="1"/>
        <v>-50923.127448984735</v>
      </c>
      <c r="I34" s="18">
        <f t="shared" si="2"/>
        <v>-509231.27448984736</v>
      </c>
      <c r="J34" s="32"/>
      <c r="K34" s="300">
        <f>'UCC Fund Calc FY2022'!AD32</f>
        <v>0</v>
      </c>
      <c r="L34" s="301">
        <f>IF(K34=0,0,SUMIFS(Input!M:M,Input!A:A,C34))</f>
        <v>0</v>
      </c>
      <c r="M34" s="301">
        <f t="shared" si="3"/>
        <v>0</v>
      </c>
      <c r="N34" s="183">
        <f t="shared" si="4"/>
        <v>0</v>
      </c>
      <c r="O34" s="18">
        <f t="shared" si="5"/>
        <v>0</v>
      </c>
      <c r="P34" s="78"/>
      <c r="Q34" s="122">
        <f t="shared" si="7"/>
        <v>-611077.52938781679</v>
      </c>
      <c r="R34" s="442">
        <f t="shared" si="6"/>
        <v>-267.44801042228937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</row>
    <row r="35" spans="1:46">
      <c r="A35" s="26"/>
      <c r="B35" s="26"/>
      <c r="C35" s="2">
        <f>'UCC Fund Calc FY2022'!C33</f>
        <v>210032</v>
      </c>
      <c r="D35" s="2" t="str">
        <f>'UCC Fund Calc FY2022'!D33</f>
        <v>Union Hospital of Cecil County</v>
      </c>
      <c r="E35" s="300">
        <f>'UCC Fund Calc FY2022'!AE33</f>
        <v>-2454773.5836327374</v>
      </c>
      <c r="F35" s="301">
        <f>IF(E35=0,0,SUMIFS(Input!M:M,Input!A:A,C35))</f>
        <v>-21444.806327730417</v>
      </c>
      <c r="G35" s="301">
        <f t="shared" si="0"/>
        <v>-2476218.3899604678</v>
      </c>
      <c r="H35" s="183">
        <f t="shared" si="1"/>
        <v>-206351.53249670565</v>
      </c>
      <c r="I35" s="18">
        <f t="shared" si="2"/>
        <v>-2063515.3249670565</v>
      </c>
      <c r="J35" s="32"/>
      <c r="K35" s="300">
        <f>'UCC Fund Calc FY2022'!AD33</f>
        <v>0</v>
      </c>
      <c r="L35" s="301">
        <f>IF(K35=0,0,SUMIFS(Input!M:M,Input!A:A,C35))</f>
        <v>0</v>
      </c>
      <c r="M35" s="301">
        <f t="shared" si="3"/>
        <v>0</v>
      </c>
      <c r="N35" s="183">
        <f t="shared" si="4"/>
        <v>0</v>
      </c>
      <c r="O35" s="18">
        <f t="shared" si="5"/>
        <v>0</v>
      </c>
      <c r="P35" s="78"/>
      <c r="Q35" s="122">
        <f t="shared" si="7"/>
        <v>-2476218.3899604678</v>
      </c>
      <c r="R35" s="442">
        <f t="shared" si="6"/>
        <v>-21444.806327730417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</row>
    <row r="36" spans="1:46">
      <c r="A36" s="26"/>
      <c r="B36" s="26"/>
      <c r="C36" s="2">
        <f>'UCC Fund Calc FY2022'!C34</f>
        <v>210033</v>
      </c>
      <c r="D36" s="2" t="str">
        <f>'UCC Fund Calc FY2022'!D34</f>
        <v>Carroll Hospital Center</v>
      </c>
      <c r="E36" s="300">
        <f>'UCC Fund Calc FY2022'!AE34</f>
        <v>0</v>
      </c>
      <c r="F36" s="301">
        <f>IF(E36=0,0,SUMIFS(Input!M:M,Input!A:A,C36))</f>
        <v>0</v>
      </c>
      <c r="G36" s="301">
        <f t="shared" si="0"/>
        <v>0</v>
      </c>
      <c r="H36" s="183">
        <f t="shared" si="1"/>
        <v>0</v>
      </c>
      <c r="I36" s="18">
        <f t="shared" si="2"/>
        <v>0</v>
      </c>
      <c r="J36" s="32"/>
      <c r="K36" s="300">
        <f>'UCC Fund Calc FY2022'!AD34</f>
        <v>2045864.99020046</v>
      </c>
      <c r="L36" s="301">
        <f>IF(K36=0,0,SUMIFS(Input!M:M,Input!A:A,C36))</f>
        <v>13691.9649477005</v>
      </c>
      <c r="M36" s="301">
        <f t="shared" si="3"/>
        <v>2059556.9551481605</v>
      </c>
      <c r="N36" s="183">
        <f t="shared" si="4"/>
        <v>171629.74626234671</v>
      </c>
      <c r="O36" s="18">
        <f t="shared" si="5"/>
        <v>1716297.4626234672</v>
      </c>
      <c r="P36" s="78"/>
      <c r="Q36" s="122">
        <f t="shared" si="7"/>
        <v>2059556.9551481605</v>
      </c>
      <c r="R36" s="442">
        <f t="shared" si="6"/>
        <v>13691.9649477005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</row>
    <row r="37" spans="1:46">
      <c r="A37" s="26"/>
      <c r="B37" s="26"/>
      <c r="C37" s="2">
        <f>'UCC Fund Calc FY2022'!C35</f>
        <v>210034</v>
      </c>
      <c r="D37" s="2" t="str">
        <f>'UCC Fund Calc FY2022'!D35</f>
        <v>Medstar Harbor Hospital</v>
      </c>
      <c r="E37" s="300">
        <f>'UCC Fund Calc FY2022'!AE35</f>
        <v>-744025.13650652766</v>
      </c>
      <c r="F37" s="301">
        <f>IF(E37=0,0,SUMIFS(Input!M:M,Input!A:A,C37))</f>
        <v>4760.1212138831615</v>
      </c>
      <c r="G37" s="301">
        <f t="shared" si="0"/>
        <v>-739265.0152926445</v>
      </c>
      <c r="H37" s="183">
        <f t="shared" si="1"/>
        <v>-61605.417941053711</v>
      </c>
      <c r="I37" s="18">
        <f t="shared" si="2"/>
        <v>-616054.17941053712</v>
      </c>
      <c r="J37" s="32"/>
      <c r="K37" s="300">
        <f>'UCC Fund Calc FY2022'!AD35</f>
        <v>0</v>
      </c>
      <c r="L37" s="301">
        <f>IF(K37=0,0,SUMIFS(Input!M:M,Input!A:A,C37))</f>
        <v>0</v>
      </c>
      <c r="M37" s="301">
        <f t="shared" si="3"/>
        <v>0</v>
      </c>
      <c r="N37" s="183">
        <f t="shared" si="4"/>
        <v>0</v>
      </c>
      <c r="O37" s="18">
        <f t="shared" si="5"/>
        <v>0</v>
      </c>
      <c r="P37" s="78"/>
      <c r="Q37" s="122">
        <f t="shared" si="7"/>
        <v>-739265.0152926445</v>
      </c>
      <c r="R37" s="442">
        <f t="shared" si="6"/>
        <v>4760.1212138831615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</row>
    <row r="38" spans="1:46">
      <c r="A38" s="26"/>
      <c r="B38" s="26"/>
      <c r="C38" s="2">
        <f>'UCC Fund Calc FY2022'!C36</f>
        <v>210035</v>
      </c>
      <c r="D38" s="2" t="str">
        <f>'UCC Fund Calc FY2022'!D36</f>
        <v>UM Charles Regional Medical Center</v>
      </c>
      <c r="E38" s="300">
        <f>'UCC Fund Calc FY2022'!AE36</f>
        <v>-2429687.5378808975</v>
      </c>
      <c r="F38" s="301">
        <f>IF(E38=0,0,SUMIFS(Input!M:M,Input!A:A,C38))</f>
        <v>-17429.40537160635</v>
      </c>
      <c r="G38" s="301">
        <f t="shared" si="0"/>
        <v>-2447116.9432525039</v>
      </c>
      <c r="H38" s="183">
        <f t="shared" si="1"/>
        <v>-203926.41193770865</v>
      </c>
      <c r="I38" s="18">
        <f t="shared" si="2"/>
        <v>-2039264.1193770864</v>
      </c>
      <c r="J38" s="32"/>
      <c r="K38" s="300">
        <f>'UCC Fund Calc FY2022'!AD36</f>
        <v>0</v>
      </c>
      <c r="L38" s="301">
        <f>IF(K38=0,0,SUMIFS(Input!M:M,Input!A:A,C38))</f>
        <v>0</v>
      </c>
      <c r="M38" s="301">
        <f t="shared" si="3"/>
        <v>0</v>
      </c>
      <c r="N38" s="183">
        <f t="shared" si="4"/>
        <v>0</v>
      </c>
      <c r="O38" s="18">
        <f t="shared" si="5"/>
        <v>0</v>
      </c>
      <c r="P38" s="78"/>
      <c r="Q38" s="122">
        <f t="shared" si="7"/>
        <v>-2447116.9432525039</v>
      </c>
      <c r="R38" s="442">
        <f t="shared" si="6"/>
        <v>-17429.40537160635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</row>
    <row r="39" spans="1:46">
      <c r="A39" s="26"/>
      <c r="B39" s="26"/>
      <c r="C39" s="2">
        <f>'UCC Fund Calc FY2022'!C37</f>
        <v>210037</v>
      </c>
      <c r="D39" s="2" t="str">
        <f>'UCC Fund Calc FY2022'!D37</f>
        <v>UM Shore Medical Center at Easton</v>
      </c>
      <c r="E39" s="300">
        <f>'UCC Fund Calc FY2022'!AE37</f>
        <v>0</v>
      </c>
      <c r="F39" s="301">
        <f>IF(E39=0,0,SUMIFS(Input!M:M,Input!A:A,C39))</f>
        <v>0</v>
      </c>
      <c r="G39" s="301">
        <f t="shared" si="0"/>
        <v>0</v>
      </c>
      <c r="H39" s="183">
        <f t="shared" si="1"/>
        <v>0</v>
      </c>
      <c r="I39" s="18">
        <f t="shared" si="2"/>
        <v>0</v>
      </c>
      <c r="J39" s="32"/>
      <c r="K39" s="300">
        <f>'UCC Fund Calc FY2022'!AD37</f>
        <v>3025786.8751476407</v>
      </c>
      <c r="L39" s="301">
        <f>IF(K39=0,0,SUMIFS(Input!M:M,Input!A:A,C39))</f>
        <v>8679.2905371487141</v>
      </c>
      <c r="M39" s="301">
        <f t="shared" si="3"/>
        <v>3034466.1656847894</v>
      </c>
      <c r="N39" s="183">
        <f t="shared" si="4"/>
        <v>252872.18047373244</v>
      </c>
      <c r="O39" s="18">
        <f t="shared" si="5"/>
        <v>2528721.8047373244</v>
      </c>
      <c r="P39" s="78"/>
      <c r="Q39" s="122">
        <f t="shared" si="7"/>
        <v>3034466.1656847894</v>
      </c>
      <c r="R39" s="442">
        <f t="shared" si="6"/>
        <v>8679.2905371487141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</row>
    <row r="40" spans="1:46">
      <c r="A40" s="26"/>
      <c r="B40" s="26"/>
      <c r="C40" s="2">
        <f>'UCC Fund Calc FY2022'!C38</f>
        <v>210038</v>
      </c>
      <c r="D40" s="2" t="str">
        <f>'UCC Fund Calc FY2022'!D38</f>
        <v>UM Medical Center Midtown Campus</v>
      </c>
      <c r="E40" s="300">
        <f>'UCC Fund Calc FY2022'!AE38</f>
        <v>0</v>
      </c>
      <c r="F40" s="301">
        <f>IF(E40=0,0,SUMIFS(Input!M:M,Input!A:A,C40))</f>
        <v>0</v>
      </c>
      <c r="G40" s="301">
        <f t="shared" si="0"/>
        <v>0</v>
      </c>
      <c r="H40" s="183">
        <f t="shared" si="1"/>
        <v>0</v>
      </c>
      <c r="I40" s="18">
        <f t="shared" si="2"/>
        <v>0</v>
      </c>
      <c r="J40" s="32"/>
      <c r="K40" s="300">
        <f>'UCC Fund Calc FY2022'!AD38</f>
        <v>1197385.4854509532</v>
      </c>
      <c r="L40" s="301">
        <f>IF(K40=0,0,SUMIFS(Input!M:M,Input!A:A,C40))</f>
        <v>-5720.9153161346912</v>
      </c>
      <c r="M40" s="301">
        <f t="shared" si="3"/>
        <v>1191664.5701348186</v>
      </c>
      <c r="N40" s="183">
        <f t="shared" si="4"/>
        <v>99305.380844568208</v>
      </c>
      <c r="O40" s="18">
        <f t="shared" si="5"/>
        <v>993053.80844568205</v>
      </c>
      <c r="P40" s="78"/>
      <c r="Q40" s="122">
        <f t="shared" si="7"/>
        <v>1191664.5701348186</v>
      </c>
      <c r="R40" s="442">
        <f t="shared" si="6"/>
        <v>-5720.9153161346912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</row>
    <row r="41" spans="1:46">
      <c r="A41" s="26"/>
      <c r="B41" s="26"/>
      <c r="C41" s="2">
        <f>'UCC Fund Calc FY2022'!C39</f>
        <v>210039</v>
      </c>
      <c r="D41" s="2" t="str">
        <f>'UCC Fund Calc FY2022'!D39</f>
        <v>Calvert Memorial Hospital</v>
      </c>
      <c r="E41" s="300">
        <f>'UCC Fund Calc FY2022'!AE39</f>
        <v>0</v>
      </c>
      <c r="F41" s="301">
        <f>IF(E41=0,0,SUMIFS(Input!M:M,Input!A:A,C41))</f>
        <v>0</v>
      </c>
      <c r="G41" s="301">
        <f t="shared" si="0"/>
        <v>0</v>
      </c>
      <c r="H41" s="183">
        <f t="shared" si="1"/>
        <v>0</v>
      </c>
      <c r="I41" s="18">
        <f t="shared" si="2"/>
        <v>0</v>
      </c>
      <c r="J41" s="32"/>
      <c r="K41" s="300">
        <f>'UCC Fund Calc FY2022'!AD39</f>
        <v>1674079.1300838888</v>
      </c>
      <c r="L41" s="301">
        <f>IF(K41=0,0,SUMIFS(Input!M:M,Input!A:A,C41))</f>
        <v>4367.7478344142437</v>
      </c>
      <c r="M41" s="301">
        <f t="shared" si="3"/>
        <v>1678446.877918303</v>
      </c>
      <c r="N41" s="183">
        <f t="shared" si="4"/>
        <v>139870.57315985858</v>
      </c>
      <c r="O41" s="18">
        <f t="shared" si="5"/>
        <v>1398705.7315985858</v>
      </c>
      <c r="P41" s="78"/>
      <c r="Q41" s="122">
        <f t="shared" si="7"/>
        <v>1678446.877918303</v>
      </c>
      <c r="R41" s="442">
        <f t="shared" si="6"/>
        <v>4367.7478344142437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</row>
    <row r="42" spans="1:46">
      <c r="A42" s="26"/>
      <c r="B42" s="26"/>
      <c r="C42" s="2">
        <f>'UCC Fund Calc FY2022'!C40</f>
        <v>210040</v>
      </c>
      <c r="D42" s="2" t="str">
        <f>'UCC Fund Calc FY2022'!D40</f>
        <v>Northwest Hospital Center</v>
      </c>
      <c r="E42" s="300">
        <f>'UCC Fund Calc FY2022'!AE40</f>
        <v>-3963864.1911869943</v>
      </c>
      <c r="F42" s="301">
        <f>IF(E42=0,0,SUMIFS(Input!M:M,Input!A:A,C42))</f>
        <v>25674.582095563412</v>
      </c>
      <c r="G42" s="301">
        <f t="shared" si="0"/>
        <v>-3938189.6090914309</v>
      </c>
      <c r="H42" s="183">
        <f t="shared" si="1"/>
        <v>-328182.46742428589</v>
      </c>
      <c r="I42" s="18">
        <f t="shared" si="2"/>
        <v>-3281824.6742428588</v>
      </c>
      <c r="J42" s="32"/>
      <c r="K42" s="300">
        <f>'UCC Fund Calc FY2022'!AD40</f>
        <v>0</v>
      </c>
      <c r="L42" s="301">
        <f>IF(K42=0,0,SUMIFS(Input!M:M,Input!A:A,C42))</f>
        <v>0</v>
      </c>
      <c r="M42" s="301">
        <f t="shared" si="3"/>
        <v>0</v>
      </c>
      <c r="N42" s="183">
        <f t="shared" si="4"/>
        <v>0</v>
      </c>
      <c r="O42" s="18">
        <f t="shared" si="5"/>
        <v>0</v>
      </c>
      <c r="P42" s="78"/>
      <c r="Q42" s="122">
        <f t="shared" si="7"/>
        <v>-3938189.6090914309</v>
      </c>
      <c r="R42" s="442">
        <f t="shared" si="6"/>
        <v>25674.582095563412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</row>
    <row r="43" spans="1:46">
      <c r="A43" s="26"/>
      <c r="B43" s="26"/>
      <c r="C43" s="2">
        <f>'UCC Fund Calc FY2022'!C41</f>
        <v>210043</v>
      </c>
      <c r="D43" s="2" t="str">
        <f>'UCC Fund Calc FY2022'!D41</f>
        <v>UM Baltimore Washington Medical Center</v>
      </c>
      <c r="E43" s="300">
        <f>'UCC Fund Calc FY2022'!AE41</f>
        <v>-1875478.5024582148</v>
      </c>
      <c r="F43" s="301">
        <f>IF(E43=0,0,SUMIFS(Input!M:M,Input!A:A,C43))</f>
        <v>-15348.241224706173</v>
      </c>
      <c r="G43" s="301">
        <f t="shared" si="0"/>
        <v>-1890826.7436829209</v>
      </c>
      <c r="H43" s="183">
        <f t="shared" si="1"/>
        <v>-157568.89530691007</v>
      </c>
      <c r="I43" s="18">
        <f t="shared" si="2"/>
        <v>-1575688.9530691006</v>
      </c>
      <c r="J43" s="32"/>
      <c r="K43" s="300">
        <f>'UCC Fund Calc FY2022'!AD41</f>
        <v>0</v>
      </c>
      <c r="L43" s="301">
        <f>IF(K43=0,0,SUMIFS(Input!M:M,Input!A:A,C43))</f>
        <v>0</v>
      </c>
      <c r="M43" s="301">
        <f t="shared" si="3"/>
        <v>0</v>
      </c>
      <c r="N43" s="183">
        <f t="shared" si="4"/>
        <v>0</v>
      </c>
      <c r="O43" s="18">
        <f t="shared" si="5"/>
        <v>0</v>
      </c>
      <c r="P43" s="78"/>
      <c r="Q43" s="122">
        <f t="shared" si="7"/>
        <v>-1890826.7436829209</v>
      </c>
      <c r="R43" s="442">
        <f t="shared" si="6"/>
        <v>-15348.241224706173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</row>
    <row r="44" spans="1:46" ht="14.15" customHeight="1">
      <c r="A44" s="26"/>
      <c r="B44" s="26"/>
      <c r="C44" s="2">
        <f>'UCC Fund Calc FY2022'!C42</f>
        <v>210044</v>
      </c>
      <c r="D44" s="2" t="str">
        <f>'UCC Fund Calc FY2022'!D42</f>
        <v>Greater Baltimore Medical Center</v>
      </c>
      <c r="E44" s="300">
        <f>'UCC Fund Calc FY2022'!AE42</f>
        <v>0</v>
      </c>
      <c r="F44" s="301">
        <f>IF(E44=0,0,SUMIFS(Input!M:M,Input!A:A,C44))</f>
        <v>0</v>
      </c>
      <c r="G44" s="301">
        <f t="shared" si="0"/>
        <v>0</v>
      </c>
      <c r="H44" s="183">
        <f t="shared" si="1"/>
        <v>0</v>
      </c>
      <c r="I44" s="18">
        <f t="shared" si="2"/>
        <v>0</v>
      </c>
      <c r="J44" s="32"/>
      <c r="K44" s="300">
        <f>'UCC Fund Calc FY2022'!AD42</f>
        <v>6230976.7523653507</v>
      </c>
      <c r="L44" s="301">
        <f>IF(K44=0,0,SUMIFS(Input!M:M,Input!A:A,C44))</f>
        <v>230870.15520143509</v>
      </c>
      <c r="M44" s="301">
        <f t="shared" si="3"/>
        <v>6461846.9075667858</v>
      </c>
      <c r="N44" s="183">
        <f t="shared" si="4"/>
        <v>538487.24229723215</v>
      </c>
      <c r="O44" s="18">
        <f t="shared" si="5"/>
        <v>5384872.4229723215</v>
      </c>
      <c r="P44" s="78"/>
      <c r="Q44" s="122">
        <f t="shared" si="7"/>
        <v>6461846.9075667858</v>
      </c>
      <c r="R44" s="442">
        <f t="shared" si="6"/>
        <v>230870.15520143509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</row>
    <row r="45" spans="1:46">
      <c r="A45" s="26"/>
      <c r="B45" s="26"/>
      <c r="C45" s="2">
        <f>'UCC Fund Calc FY2022'!C43</f>
        <v>210045</v>
      </c>
      <c r="D45" s="2" t="str">
        <f>'UCC Fund Calc FY2022'!D43</f>
        <v>McCready Memorial Hospital</v>
      </c>
      <c r="E45" s="300">
        <f>'UCC Fund Calc FY2022'!AE43</f>
        <v>0</v>
      </c>
      <c r="F45" s="301">
        <f>IF(E45=0,0,SUMIFS(Input!M:M,Input!A:A,C45))</f>
        <v>0</v>
      </c>
      <c r="G45" s="301">
        <f t="shared" si="0"/>
        <v>0</v>
      </c>
      <c r="H45" s="183">
        <f t="shared" si="1"/>
        <v>0</v>
      </c>
      <c r="I45" s="18">
        <f t="shared" si="2"/>
        <v>0</v>
      </c>
      <c r="J45" s="32"/>
      <c r="K45" s="300">
        <f>'UCC Fund Calc FY2022'!AD43</f>
        <v>0</v>
      </c>
      <c r="L45" s="301">
        <f>IF(K45=0,0,SUMIFS(Input!M:M,Input!A:A,C45))</f>
        <v>0</v>
      </c>
      <c r="M45" s="301">
        <f t="shared" si="3"/>
        <v>0</v>
      </c>
      <c r="N45" s="183">
        <f t="shared" si="4"/>
        <v>0</v>
      </c>
      <c r="O45" s="18">
        <f t="shared" si="5"/>
        <v>0</v>
      </c>
      <c r="P45" s="78"/>
      <c r="Q45" s="122">
        <f t="shared" si="7"/>
        <v>0</v>
      </c>
      <c r="R45" s="442">
        <f t="shared" si="6"/>
        <v>0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</row>
    <row r="46" spans="1:46">
      <c r="A46" s="26"/>
      <c r="B46" s="26"/>
      <c r="C46" s="2">
        <f>'UCC Fund Calc FY2022'!C44</f>
        <v>210048</v>
      </c>
      <c r="D46" s="2" t="str">
        <f>'UCC Fund Calc FY2022'!D44</f>
        <v>Howard County General Hospital</v>
      </c>
      <c r="E46" s="300">
        <f>'UCC Fund Calc FY2022'!AE44</f>
        <v>-565084.49542117119</v>
      </c>
      <c r="F46" s="301">
        <f>IF(E46=0,0,SUMIFS(Input!M:M,Input!A:A,C46))</f>
        <v>479.21818137168884</v>
      </c>
      <c r="G46" s="301">
        <f t="shared" si="0"/>
        <v>-564605.2772397995</v>
      </c>
      <c r="H46" s="183">
        <f t="shared" si="1"/>
        <v>-47050.439769983292</v>
      </c>
      <c r="I46" s="18">
        <f t="shared" si="2"/>
        <v>-470504.39769983292</v>
      </c>
      <c r="J46" s="32"/>
      <c r="K46" s="300">
        <f>'UCC Fund Calc FY2022'!AD44</f>
        <v>0</v>
      </c>
      <c r="L46" s="301">
        <f>IF(K46=0,0,SUMIFS(Input!M:M,Input!A:A,C46))</f>
        <v>0</v>
      </c>
      <c r="M46" s="301">
        <f t="shared" si="3"/>
        <v>0</v>
      </c>
      <c r="N46" s="183">
        <f t="shared" si="4"/>
        <v>0</v>
      </c>
      <c r="O46" s="18">
        <f t="shared" si="5"/>
        <v>0</v>
      </c>
      <c r="P46" s="78"/>
      <c r="Q46" s="122">
        <f t="shared" si="7"/>
        <v>-564605.2772397995</v>
      </c>
      <c r="R46" s="442">
        <f t="shared" si="6"/>
        <v>479.21818137168884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</row>
    <row r="47" spans="1:46">
      <c r="A47" s="26"/>
      <c r="B47" s="26"/>
      <c r="C47" s="2">
        <f>'UCC Fund Calc FY2022'!C45</f>
        <v>210049</v>
      </c>
      <c r="D47" s="2" t="str">
        <f>'UCC Fund Calc FY2022'!D45</f>
        <v>UM Upper Chesapeake Medical Center</v>
      </c>
      <c r="E47" s="300">
        <f>'UCC Fund Calc FY2022'!AE45</f>
        <v>-1339250.1794253588</v>
      </c>
      <c r="F47" s="301">
        <f>IF(E47=0,0,SUMIFS(Input!M:M,Input!A:A,C47))</f>
        <v>27938.868486166</v>
      </c>
      <c r="G47" s="301">
        <f t="shared" si="0"/>
        <v>-1311311.3109391928</v>
      </c>
      <c r="H47" s="183">
        <f t="shared" si="1"/>
        <v>-109275.94257826607</v>
      </c>
      <c r="I47" s="18">
        <f t="shared" si="2"/>
        <v>-1092759.4257826607</v>
      </c>
      <c r="J47" s="32"/>
      <c r="K47" s="300">
        <f>'UCC Fund Calc FY2022'!AD45</f>
        <v>0</v>
      </c>
      <c r="L47" s="301">
        <f>IF(K47=0,0,SUMIFS(Input!M:M,Input!A:A,C47))</f>
        <v>0</v>
      </c>
      <c r="M47" s="301">
        <f t="shared" si="3"/>
        <v>0</v>
      </c>
      <c r="N47" s="183">
        <f t="shared" si="4"/>
        <v>0</v>
      </c>
      <c r="O47" s="18">
        <f t="shared" si="5"/>
        <v>0</v>
      </c>
      <c r="P47" s="78"/>
      <c r="Q47" s="122">
        <f t="shared" si="7"/>
        <v>-1311311.3109391928</v>
      </c>
      <c r="R47" s="442">
        <f t="shared" si="6"/>
        <v>27938.868486166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</row>
    <row r="48" spans="1:46">
      <c r="A48" s="26"/>
      <c r="B48" s="26"/>
      <c r="C48" s="2">
        <f>'UCC Fund Calc FY2022'!C46</f>
        <v>210051</v>
      </c>
      <c r="D48" s="2" t="str">
        <f>'UCC Fund Calc FY2022'!D46</f>
        <v>Doctors' Community Hospital</v>
      </c>
      <c r="E48" s="300">
        <f>'UCC Fund Calc FY2022'!AE46</f>
        <v>-5546629.2675665021</v>
      </c>
      <c r="F48" s="301">
        <f>IF(E48=0,0,SUMIFS(Input!M:M,Input!A:A,C48))</f>
        <v>-112756.01213508844</v>
      </c>
      <c r="G48" s="301">
        <f t="shared" si="0"/>
        <v>-5659385.2797015905</v>
      </c>
      <c r="H48" s="183">
        <f t="shared" si="1"/>
        <v>-471615.43997513253</v>
      </c>
      <c r="I48" s="18">
        <f t="shared" si="2"/>
        <v>-4716154.3997513251</v>
      </c>
      <c r="J48" s="32"/>
      <c r="K48" s="300">
        <f>'UCC Fund Calc FY2022'!AD46</f>
        <v>0</v>
      </c>
      <c r="L48" s="301">
        <f>IF(K48=0,0,SUMIFS(Input!M:M,Input!A:A,C48))</f>
        <v>0</v>
      </c>
      <c r="M48" s="301">
        <f t="shared" si="3"/>
        <v>0</v>
      </c>
      <c r="N48" s="183">
        <f t="shared" si="4"/>
        <v>0</v>
      </c>
      <c r="O48" s="18">
        <f t="shared" si="5"/>
        <v>0</v>
      </c>
      <c r="P48" s="78"/>
      <c r="Q48" s="122">
        <f t="shared" si="7"/>
        <v>-5659385.2797015905</v>
      </c>
      <c r="R48" s="442">
        <f t="shared" si="6"/>
        <v>-112756.01213508844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</row>
    <row r="49" spans="1:46">
      <c r="A49" s="26"/>
      <c r="B49" s="26"/>
      <c r="C49" s="2">
        <f>'UCC Fund Calc FY2022'!C47</f>
        <v>210056</v>
      </c>
      <c r="D49" s="2" t="str">
        <f>'UCC Fund Calc FY2022'!D47</f>
        <v>Medstar Good Samaritan Hospital</v>
      </c>
      <c r="E49" s="300">
        <f>'UCC Fund Calc FY2022'!AE47</f>
        <v>0</v>
      </c>
      <c r="F49" s="301">
        <f>IF(E49=0,0,SUMIFS(Input!M:M,Input!A:A,C49))</f>
        <v>0</v>
      </c>
      <c r="G49" s="301">
        <f t="shared" si="0"/>
        <v>0</v>
      </c>
      <c r="H49" s="183">
        <f t="shared" si="1"/>
        <v>0</v>
      </c>
      <c r="I49" s="18">
        <f t="shared" si="2"/>
        <v>0</v>
      </c>
      <c r="J49" s="32"/>
      <c r="K49" s="300">
        <f>'UCC Fund Calc FY2022'!AD47</f>
        <v>364453.91687262058</v>
      </c>
      <c r="L49" s="301">
        <f>IF(K49=0,0,SUMIFS(Input!M:M,Input!A:A,C49))</f>
        <v>-183.67204901576042</v>
      </c>
      <c r="M49" s="301">
        <f t="shared" si="3"/>
        <v>364270.24482360482</v>
      </c>
      <c r="N49" s="183">
        <f t="shared" si="4"/>
        <v>30355.853735300403</v>
      </c>
      <c r="O49" s="18">
        <f t="shared" si="5"/>
        <v>303558.53735300404</v>
      </c>
      <c r="P49" s="78"/>
      <c r="Q49" s="122">
        <f t="shared" si="7"/>
        <v>364270.24482360482</v>
      </c>
      <c r="R49" s="442">
        <f t="shared" si="6"/>
        <v>-183.67204901576042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</row>
    <row r="50" spans="1:46">
      <c r="A50" s="26"/>
      <c r="B50" s="26"/>
      <c r="C50" s="2">
        <f>'UCC Fund Calc FY2022'!C48</f>
        <v>210057</v>
      </c>
      <c r="D50" s="2" t="str">
        <f>'UCC Fund Calc FY2022'!D48</f>
        <v>Adventist - Shady Grove Medical Center</v>
      </c>
      <c r="E50" s="300">
        <f>'UCC Fund Calc FY2022'!AE48</f>
        <v>-7419065.6358467937</v>
      </c>
      <c r="F50" s="301">
        <f>IF(E50=0,0,SUMIFS(Input!M:M,Input!A:A,C50))</f>
        <v>40371.018705308437</v>
      </c>
      <c r="G50" s="301">
        <f t="shared" si="0"/>
        <v>-7378694.6171414852</v>
      </c>
      <c r="H50" s="183">
        <f t="shared" si="1"/>
        <v>-614891.21809512377</v>
      </c>
      <c r="I50" s="18">
        <f t="shared" si="2"/>
        <v>-6148912.1809512377</v>
      </c>
      <c r="J50" s="32"/>
      <c r="K50" s="300">
        <f>'UCC Fund Calc FY2022'!AD48</f>
        <v>0</v>
      </c>
      <c r="L50" s="301">
        <f>IF(K50=0,0,SUMIFS(Input!M:M,Input!A:A,C50))</f>
        <v>0</v>
      </c>
      <c r="M50" s="301">
        <f t="shared" si="3"/>
        <v>0</v>
      </c>
      <c r="N50" s="183">
        <f t="shared" si="4"/>
        <v>0</v>
      </c>
      <c r="O50" s="18">
        <f t="shared" si="5"/>
        <v>0</v>
      </c>
      <c r="P50" s="78"/>
      <c r="Q50" s="122">
        <f t="shared" si="7"/>
        <v>-7378694.6171414852</v>
      </c>
      <c r="R50" s="442">
        <f t="shared" si="6"/>
        <v>40371.018705308437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</row>
    <row r="51" spans="1:46">
      <c r="A51" s="26"/>
      <c r="B51" s="26"/>
      <c r="C51" s="1">
        <f>'UCC Fund Calc FY2022'!C49</f>
        <v>210058</v>
      </c>
      <c r="D51" s="1" t="str">
        <f>'UCC Fund Calc FY2022'!D49</f>
        <v>UM Rehabilitation &amp; Orthopaedic Institute</v>
      </c>
      <c r="E51" s="302">
        <f>'UCC Fund Calc FY2022'!AE49</f>
        <v>0</v>
      </c>
      <c r="F51" s="301">
        <f>IF(E51=0,0,SUMIFS(Input!M:M,Input!A:A,C51))</f>
        <v>0</v>
      </c>
      <c r="G51" s="301">
        <f>E51+F51</f>
        <v>0</v>
      </c>
      <c r="H51" s="183">
        <f>G51/12</f>
        <v>0</v>
      </c>
      <c r="I51" s="113">
        <f>H51*10</f>
        <v>0</v>
      </c>
      <c r="J51" s="221"/>
      <c r="K51" s="302">
        <f>'UCC Fund Calc FY2022'!AD49</f>
        <v>1022210.8713091612</v>
      </c>
      <c r="L51" s="303">
        <f>IF(K51=0,0,SUMIFS(Input!M:M,Input!A:A,C51))</f>
        <v>4883</v>
      </c>
      <c r="M51" s="303">
        <f>K51+L51</f>
        <v>1027093.8713091612</v>
      </c>
      <c r="N51" s="222">
        <f>M51/12</f>
        <v>85591.155942430094</v>
      </c>
      <c r="O51" s="69">
        <f>N51*10</f>
        <v>855911.55942430091</v>
      </c>
      <c r="P51" s="202"/>
      <c r="Q51" s="122">
        <f t="shared" si="7"/>
        <v>1027093.8713091612</v>
      </c>
      <c r="R51" s="442">
        <f t="shared" si="6"/>
        <v>4883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</row>
    <row r="52" spans="1:46">
      <c r="A52" s="26"/>
      <c r="B52" s="26"/>
      <c r="C52" s="2">
        <f>'UCC Fund Calc FY2022'!C50</f>
        <v>210060</v>
      </c>
      <c r="D52" s="2" t="str">
        <f>'UCC Fund Calc FY2022'!D50</f>
        <v>Fort Washington Hospital</v>
      </c>
      <c r="E52" s="300">
        <f>'UCC Fund Calc FY2022'!AE50</f>
        <v>-1961342.329006575</v>
      </c>
      <c r="F52" s="301">
        <f>IF(E52=0,0,SUMIFS(Input!M:M,Input!A:A,C52))</f>
        <v>5556.3979493677616</v>
      </c>
      <c r="G52" s="301">
        <f>E52+F52</f>
        <v>-1955785.9310572073</v>
      </c>
      <c r="H52" s="183">
        <f>G52/12</f>
        <v>-162982.16092143394</v>
      </c>
      <c r="I52" s="18">
        <f>H52*10</f>
        <v>-1629821.6092143394</v>
      </c>
      <c r="J52" s="32"/>
      <c r="K52" s="300">
        <f>'UCC Fund Calc FY2022'!AD50</f>
        <v>0</v>
      </c>
      <c r="L52" s="301">
        <f>IF(K52=0,0,SUMIFS(Input!M:M,Input!A:A,C52))</f>
        <v>0</v>
      </c>
      <c r="M52" s="301">
        <f>K52+L52</f>
        <v>0</v>
      </c>
      <c r="N52" s="183">
        <f>M52/12</f>
        <v>0</v>
      </c>
      <c r="O52" s="18">
        <f>N52*10</f>
        <v>0</v>
      </c>
      <c r="P52" s="78"/>
      <c r="Q52" s="122">
        <f t="shared" si="7"/>
        <v>-1955785.9310572073</v>
      </c>
      <c r="R52" s="442">
        <f t="shared" si="6"/>
        <v>5556.3979493677616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</row>
    <row r="53" spans="1:46">
      <c r="A53" s="26"/>
      <c r="B53" s="26"/>
      <c r="C53" s="2">
        <f>'UCC Fund Calc FY2022'!C51</f>
        <v>210061</v>
      </c>
      <c r="D53" s="2" t="str">
        <f>'UCC Fund Calc FY2022'!D51</f>
        <v>Atlantic General Hospital</v>
      </c>
      <c r="E53" s="300">
        <f>'UCC Fund Calc FY2022'!AE51</f>
        <v>-1423571.0610900819</v>
      </c>
      <c r="F53" s="301">
        <f>IF(E53=0,0,SUMIFS(Input!M:M,Input!A:A,C53))</f>
        <v>-17696.008869826794</v>
      </c>
      <c r="G53" s="301">
        <f t="shared" si="0"/>
        <v>-1441267.0699599087</v>
      </c>
      <c r="H53" s="183">
        <f t="shared" si="1"/>
        <v>-120105.58916332573</v>
      </c>
      <c r="I53" s="18">
        <f t="shared" si="2"/>
        <v>-1201055.8916332573</v>
      </c>
      <c r="J53" s="32"/>
      <c r="K53" s="300">
        <f>'UCC Fund Calc FY2022'!AD51</f>
        <v>0</v>
      </c>
      <c r="L53" s="301">
        <f>IF(K53=0,0,SUMIFS(Input!M:M,Input!A:A,C53))</f>
        <v>0</v>
      </c>
      <c r="M53" s="301">
        <f t="shared" si="3"/>
        <v>0</v>
      </c>
      <c r="N53" s="183">
        <f t="shared" si="4"/>
        <v>0</v>
      </c>
      <c r="O53" s="18">
        <f t="shared" si="5"/>
        <v>0</v>
      </c>
      <c r="P53" s="78"/>
      <c r="Q53" s="122">
        <f t="shared" si="7"/>
        <v>-1441267.0699599087</v>
      </c>
      <c r="R53" s="442">
        <f t="shared" si="6"/>
        <v>-17696.008869826794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</row>
    <row r="54" spans="1:46">
      <c r="A54" s="26"/>
      <c r="B54" s="26"/>
      <c r="C54" s="2">
        <f>'UCC Fund Calc FY2022'!C52</f>
        <v>210062</v>
      </c>
      <c r="D54" s="2" t="str">
        <f>'UCC Fund Calc FY2022'!D52</f>
        <v>Medstar Southern Maryland Hospital Center</v>
      </c>
      <c r="E54" s="300">
        <f>'UCC Fund Calc FY2022'!AE52</f>
        <v>-707892.88051378727</v>
      </c>
      <c r="F54" s="301">
        <f>IF(E54=0,0,SUMIFS(Input!M:M,Input!A:A,C54))</f>
        <v>-4068.2973219752312</v>
      </c>
      <c r="G54" s="301">
        <f t="shared" si="0"/>
        <v>-711961.1778357625</v>
      </c>
      <c r="H54" s="183">
        <f t="shared" si="1"/>
        <v>-59330.098152980208</v>
      </c>
      <c r="I54" s="18">
        <f t="shared" si="2"/>
        <v>-593300.98152980208</v>
      </c>
      <c r="J54" s="32"/>
      <c r="K54" s="300">
        <f>'UCC Fund Calc FY2022'!AD52</f>
        <v>0</v>
      </c>
      <c r="L54" s="301">
        <f>IF(K54=0,0,SUMIFS(Input!M:M,Input!A:A,C54))</f>
        <v>0</v>
      </c>
      <c r="M54" s="301">
        <f t="shared" si="3"/>
        <v>0</v>
      </c>
      <c r="N54" s="183">
        <f t="shared" si="4"/>
        <v>0</v>
      </c>
      <c r="O54" s="18">
        <f t="shared" si="5"/>
        <v>0</v>
      </c>
      <c r="P54" s="78"/>
      <c r="Q54" s="122">
        <f t="shared" si="7"/>
        <v>-711961.1778357625</v>
      </c>
      <c r="R54" s="442">
        <f t="shared" si="6"/>
        <v>-4068.2973219752312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</row>
    <row r="55" spans="1:46">
      <c r="A55" s="26"/>
      <c r="B55" s="26"/>
      <c r="C55" s="2">
        <f>'UCC Fund Calc FY2022'!C53</f>
        <v>210063</v>
      </c>
      <c r="D55" s="2" t="str">
        <f>'UCC Fund Calc FY2022'!D53</f>
        <v>UM St. Joseph Medical Center</v>
      </c>
      <c r="E55" s="300">
        <f>'UCC Fund Calc FY2022'!AE53</f>
        <v>0</v>
      </c>
      <c r="F55" s="301">
        <f>IF(E55=0,0,SUMIFS(Input!M:M,Input!A:A,C55))</f>
        <v>0</v>
      </c>
      <c r="G55" s="301">
        <f t="shared" si="0"/>
        <v>0</v>
      </c>
      <c r="H55" s="183">
        <f t="shared" si="1"/>
        <v>0</v>
      </c>
      <c r="I55" s="18">
        <f t="shared" si="2"/>
        <v>0</v>
      </c>
      <c r="J55" s="32"/>
      <c r="K55" s="300">
        <f>'UCC Fund Calc FY2022'!AD53</f>
        <v>3653384.3325455189</v>
      </c>
      <c r="L55" s="301">
        <f>IF(K55=0,0,SUMIFS(Input!M:M,Input!A:A,C55))</f>
        <v>-852.05048304796219</v>
      </c>
      <c r="M55" s="301">
        <f t="shared" si="3"/>
        <v>3652532.2820624709</v>
      </c>
      <c r="N55" s="183">
        <f t="shared" si="4"/>
        <v>304377.69017187256</v>
      </c>
      <c r="O55" s="18">
        <f t="shared" si="5"/>
        <v>3043776.9017187255</v>
      </c>
      <c r="P55" s="78"/>
      <c r="Q55" s="122">
        <f t="shared" si="7"/>
        <v>3652532.2820624709</v>
      </c>
      <c r="R55" s="442">
        <f t="shared" si="6"/>
        <v>-852.05048304796219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</row>
    <row r="56" spans="1:46">
      <c r="A56" s="26"/>
      <c r="B56" s="26"/>
      <c r="C56" s="2">
        <f>'UCC Fund Calc FY2022'!C54</f>
        <v>210064</v>
      </c>
      <c r="D56" s="2" t="str">
        <f>'UCC Fund Calc FY2022'!D54</f>
        <v>Levindale Hospital</v>
      </c>
      <c r="E56" s="300">
        <f>'UCC Fund Calc FY2022'!AE54</f>
        <v>-99435.011261492968</v>
      </c>
      <c r="F56" s="301">
        <f>IF(E56=0,0,SUMIFS(Input!M:M,Input!A:A,C56))</f>
        <v>13478</v>
      </c>
      <c r="G56" s="301">
        <f>E56+F56</f>
        <v>-85957.011261492968</v>
      </c>
      <c r="H56" s="183">
        <f>G56/12</f>
        <v>-7163.0842717910809</v>
      </c>
      <c r="I56" s="18">
        <f>H56*10</f>
        <v>-71630.842717910811</v>
      </c>
      <c r="J56" s="32"/>
      <c r="K56" s="300">
        <f>'UCC Fund Calc FY2022'!AD54</f>
        <v>0</v>
      </c>
      <c r="L56" s="301">
        <f>IF(K56=0,0,SUMIFS(Input!M:M,Input!A:A,C56))</f>
        <v>0</v>
      </c>
      <c r="M56" s="301">
        <f>K56+L56</f>
        <v>0</v>
      </c>
      <c r="N56" s="183">
        <f>M56/12</f>
        <v>0</v>
      </c>
      <c r="O56" s="18">
        <f>N56*10</f>
        <v>0</v>
      </c>
      <c r="P56" s="78"/>
      <c r="Q56" s="122">
        <f t="shared" si="7"/>
        <v>-85957.011261492968</v>
      </c>
      <c r="R56" s="442">
        <f t="shared" si="6"/>
        <v>13478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</row>
    <row r="57" spans="1:46">
      <c r="A57" s="26"/>
      <c r="B57" s="26"/>
      <c r="C57" s="2">
        <f>'UCC Fund Calc FY2022'!C55</f>
        <v>210065</v>
      </c>
      <c r="D57" s="2" t="str">
        <f>'UCC Fund Calc FY2022'!D55</f>
        <v>Holy Cross Germantown Hospital</v>
      </c>
      <c r="E57" s="300">
        <f>'UCC Fund Calc FY2022'!AE55</f>
        <v>-5767141.8555372804</v>
      </c>
      <c r="F57" s="301">
        <f>IF(E57=0,0,SUMIFS(Input!M:M,Input!A:A,C57))</f>
        <v>-18018.813068211079</v>
      </c>
      <c r="G57" s="301">
        <f t="shared" si="0"/>
        <v>-5785160.6686054915</v>
      </c>
      <c r="H57" s="183">
        <f t="shared" si="1"/>
        <v>-482096.72238379094</v>
      </c>
      <c r="I57" s="18">
        <f t="shared" si="2"/>
        <v>-4820967.2238379093</v>
      </c>
      <c r="J57" s="32"/>
      <c r="K57" s="300">
        <f>'UCC Fund Calc FY2022'!AD55</f>
        <v>0</v>
      </c>
      <c r="L57" s="301">
        <f>IF(K57=0,0,SUMIFS(Input!M:M,Input!A:A,C57))</f>
        <v>0</v>
      </c>
      <c r="M57" s="301">
        <f t="shared" si="3"/>
        <v>0</v>
      </c>
      <c r="N57" s="183">
        <f t="shared" si="4"/>
        <v>0</v>
      </c>
      <c r="O57" s="18">
        <f t="shared" si="5"/>
        <v>0</v>
      </c>
      <c r="P57" s="78"/>
      <c r="Q57" s="122">
        <f t="shared" si="7"/>
        <v>-5785160.6686054915</v>
      </c>
      <c r="R57" s="442">
        <f t="shared" si="6"/>
        <v>-18018.813068211079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</row>
    <row r="58" spans="1:46">
      <c r="A58" s="26"/>
      <c r="B58" s="26"/>
      <c r="C58" s="2">
        <f>'UCC Fund Calc FY2022'!C56</f>
        <v>218992</v>
      </c>
      <c r="D58" s="2" t="str">
        <f>'UCC Fund Calc FY2022'!D56</f>
        <v>UM Shock Trauma Center</v>
      </c>
      <c r="E58" s="304">
        <f>'UCC Fund Calc FY2022'!AE56</f>
        <v>-4108693.7780665457</v>
      </c>
      <c r="F58" s="301">
        <f>IF(E58=0,0,SUMIFS(Input!M:M,Input!A:A,C58))</f>
        <v>5135</v>
      </c>
      <c r="G58" s="305">
        <f>E58+F58</f>
        <v>-4103558.7780665457</v>
      </c>
      <c r="H58" s="306">
        <f>G58/12</f>
        <v>-341963.2315055455</v>
      </c>
      <c r="I58" s="18">
        <f>H58*10</f>
        <v>-3419632.3150554551</v>
      </c>
      <c r="J58" s="32"/>
      <c r="K58" s="304">
        <f>'UCC Fund Calc FY2022'!AD56</f>
        <v>0</v>
      </c>
      <c r="L58" s="305">
        <f>IF(K58=0,0,SUMIFS(Input!M:M,Input!A:A,C58))</f>
        <v>0</v>
      </c>
      <c r="M58" s="305">
        <f>K58+L58</f>
        <v>0</v>
      </c>
      <c r="N58" s="306">
        <f>M58/12</f>
        <v>0</v>
      </c>
      <c r="O58" s="18">
        <f>N58*10</f>
        <v>0</v>
      </c>
      <c r="P58" s="78"/>
      <c r="Q58" s="122">
        <f t="shared" si="7"/>
        <v>-4103558.7780665457</v>
      </c>
      <c r="R58" s="442">
        <f t="shared" si="6"/>
        <v>5135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</row>
    <row r="59" spans="1:46"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46">
      <c r="A60" s="26"/>
      <c r="B60" s="26"/>
      <c r="C60" s="2"/>
      <c r="D60" s="2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23"/>
      <c r="P60" s="26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</row>
    <row r="61" spans="1:46" ht="23">
      <c r="A61" s="26"/>
      <c r="B61" s="26"/>
      <c r="C61" s="2"/>
      <c r="D61" s="35" t="s">
        <v>163</v>
      </c>
      <c r="E61" s="2"/>
      <c r="G61" s="226"/>
      <c r="H61" s="2"/>
      <c r="I61" s="2"/>
      <c r="J61" s="2"/>
      <c r="K61" s="2"/>
      <c r="L61" s="2"/>
      <c r="M61" s="2"/>
      <c r="N61" s="18"/>
      <c r="O61" s="2"/>
      <c r="P61" s="26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</row>
    <row r="62" spans="1:46">
      <c r="A62" s="26"/>
      <c r="B62" s="2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6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</row>
    <row r="63" spans="1:46">
      <c r="A63" s="26"/>
      <c r="B63" s="26"/>
      <c r="C63" s="2"/>
      <c r="D63" s="1" t="str">
        <f>"Total State-wide Monthly Payment at "&amp;TEXT(EDATE('UCC Fund Calc FY2022'!N4,2),"mmmmmm d, yyyy")</f>
        <v>Total State-wide Monthly Payment at September 1, 2021</v>
      </c>
      <c r="E63" s="2"/>
      <c r="F63" s="2"/>
      <c r="G63" s="2"/>
      <c r="H63" s="2"/>
      <c r="I63" s="2"/>
      <c r="J63" s="2"/>
      <c r="K63" s="81">
        <f>-H10</f>
        <v>8561205.647602221</v>
      </c>
      <c r="L63" s="81"/>
      <c r="M63" s="81"/>
      <c r="N63" s="2"/>
      <c r="O63" s="2"/>
      <c r="P63" s="26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</row>
    <row r="64" spans="1:46">
      <c r="A64" s="26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42" t="s">
        <v>181</v>
      </c>
      <c r="N64" s="42"/>
      <c r="O64" s="2"/>
      <c r="P64" s="26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</row>
    <row r="65" spans="1:46">
      <c r="A65" s="26"/>
      <c r="B65" s="26"/>
      <c r="C65" s="2"/>
      <c r="D65" s="2" t="s">
        <v>164</v>
      </c>
      <c r="E65" s="2"/>
      <c r="F65" s="2"/>
      <c r="G65" s="2"/>
      <c r="H65" s="2"/>
      <c r="I65" s="2"/>
      <c r="J65" s="2"/>
      <c r="K65" s="81">
        <f>K63*2</f>
        <v>17122411.295204442</v>
      </c>
      <c r="L65" s="81"/>
      <c r="M65" s="26"/>
      <c r="N65" s="9" t="s">
        <v>183</v>
      </c>
      <c r="O65" s="2"/>
      <c r="P65" s="26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</row>
    <row r="66" spans="1:46">
      <c r="A66" s="26"/>
      <c r="B66" s="26"/>
      <c r="C66" s="2"/>
      <c r="D66" s="2"/>
      <c r="E66" s="2"/>
      <c r="F66" s="2"/>
      <c r="G66" s="2"/>
      <c r="H66" s="2"/>
      <c r="I66" s="2"/>
      <c r="J66" s="2"/>
      <c r="K66" s="2"/>
      <c r="L66" s="2"/>
      <c r="M66" s="82" t="s">
        <v>182</v>
      </c>
      <c r="N66" s="9" t="s">
        <v>184</v>
      </c>
      <c r="O66" s="2"/>
      <c r="P66" s="26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</row>
    <row r="67" spans="1:46">
      <c r="A67" s="26"/>
      <c r="B67" s="2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6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</row>
    <row r="68" spans="1:46">
      <c r="A68" s="26"/>
      <c r="B68" s="26"/>
      <c r="C68" s="2"/>
      <c r="D68" s="113" t="str">
        <f>"Estimated Payments to the UCC Fund (" &amp;TEXT(EDATE('UCC Fund Calc FY2022'!N4,2),"mmmm d, yyyy") &amp; " through " &amp;TEXT(EDATE('UCC Fund Calc FY2022'!N4,14)-1,"mmmm d, yyyy")&amp;")"</f>
        <v>Estimated Payments to the UCC Fund (September 1, 2021 through August 31, 2022)</v>
      </c>
      <c r="E68" s="2"/>
      <c r="F68" s="2"/>
      <c r="G68" s="2"/>
      <c r="H68" s="2"/>
      <c r="I68" s="2"/>
      <c r="J68" s="2"/>
      <c r="K68" s="18">
        <f>M10</f>
        <v>102662219.53536302</v>
      </c>
      <c r="L68" s="18"/>
      <c r="M68" s="18">
        <f>K10</f>
        <v>101569403.19156653</v>
      </c>
      <c r="N68" s="18">
        <f>L10</f>
        <v>1092816.3437964916</v>
      </c>
      <c r="O68" s="18"/>
      <c r="P68" s="26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</row>
    <row r="69" spans="1:46">
      <c r="A69" s="26"/>
      <c r="B69" s="26"/>
      <c r="C69" s="2"/>
      <c r="D69" s="1" t="str">
        <f>Input!A4</f>
        <v>Estimated Additional Interest EarnedYear</v>
      </c>
      <c r="E69" s="2"/>
      <c r="F69" s="2"/>
      <c r="G69" s="2"/>
      <c r="H69" s="2"/>
      <c r="I69" s="2"/>
      <c r="J69" s="2"/>
      <c r="K69" s="256">
        <f>Input!F4</f>
        <v>265177</v>
      </c>
      <c r="L69" s="74"/>
      <c r="M69" s="69"/>
      <c r="N69" s="18">
        <f>K69</f>
        <v>265177</v>
      </c>
      <c r="O69" s="2"/>
      <c r="P69" s="26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</row>
    <row r="70" spans="1:46">
      <c r="A70" s="26"/>
      <c r="B70" s="26"/>
      <c r="C70" s="2"/>
      <c r="D70" s="2" t="s">
        <v>165</v>
      </c>
      <c r="E70" s="2"/>
      <c r="F70" s="2"/>
      <c r="G70" s="2"/>
      <c r="H70" s="2"/>
      <c r="I70" s="2"/>
      <c r="J70" s="1" t="s">
        <v>385</v>
      </c>
      <c r="K70" s="74">
        <f>G10</f>
        <v>-102734467.77122666</v>
      </c>
      <c r="L70" s="74"/>
      <c r="M70" s="74">
        <f>E10</f>
        <v>-101979780.75799976</v>
      </c>
      <c r="N70" s="28">
        <f>F10</f>
        <v>-754687.01322690398</v>
      </c>
      <c r="O70" s="2"/>
      <c r="P70" s="26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</row>
    <row r="71" spans="1:46">
      <c r="A71" s="26"/>
      <c r="B71" s="26"/>
      <c r="C71" s="2"/>
      <c r="D71" s="2"/>
      <c r="E71" s="2"/>
      <c r="F71" s="2"/>
      <c r="G71" s="2"/>
      <c r="H71" s="2"/>
      <c r="I71" s="2"/>
      <c r="J71" s="2"/>
      <c r="K71" s="18"/>
      <c r="L71" s="18"/>
      <c r="M71" s="18"/>
      <c r="N71" s="2"/>
      <c r="O71" s="2"/>
      <c r="P71" s="26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</row>
    <row r="72" spans="1:46">
      <c r="A72" s="26"/>
      <c r="B72" s="26"/>
      <c r="C72" s="2"/>
      <c r="D72" s="1" t="str">
        <f>"Estimated Change to Reserve Fund for this Year (FYE 6/" &amp;RIGHT(Input!A2,2)&amp;")"</f>
        <v>Estimated Change to Reserve Fund for this Year (FYE 6/22)</v>
      </c>
      <c r="E72" s="2"/>
      <c r="F72" s="2"/>
      <c r="G72" s="2"/>
      <c r="H72" s="2"/>
      <c r="I72" s="2"/>
      <c r="J72" s="2"/>
      <c r="K72" s="18">
        <f>K68+K70+K69</f>
        <v>192928.7641363591</v>
      </c>
      <c r="L72" s="18"/>
      <c r="M72" s="18">
        <f>M68+M70+M69</f>
        <v>-410377.566433236</v>
      </c>
      <c r="N72" s="18">
        <f>N68+N70+N69</f>
        <v>603306.33056958765</v>
      </c>
      <c r="O72" s="18"/>
      <c r="P72" s="26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</row>
    <row r="73" spans="1:46">
      <c r="A73" s="26"/>
      <c r="B73" s="26"/>
      <c r="C73" s="2"/>
      <c r="D73" s="2" t="s">
        <v>166</v>
      </c>
      <c r="E73" s="2"/>
      <c r="F73" s="2"/>
      <c r="G73" s="2"/>
      <c r="H73" s="2"/>
      <c r="I73" s="2"/>
      <c r="J73" s="2"/>
      <c r="K73" s="74"/>
      <c r="L73" s="74"/>
      <c r="M73" s="74"/>
      <c r="N73" s="18">
        <f>N72+M72</f>
        <v>192928.76413635164</v>
      </c>
      <c r="O73" s="2"/>
      <c r="P73" s="26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</row>
    <row r="74" spans="1:46">
      <c r="A74" s="26"/>
      <c r="B74" s="26"/>
      <c r="C74" s="2"/>
      <c r="D74" s="1" t="str">
        <f>"Total Estimated Change to Reserve Fund for this Year (FYE 6/" &amp;RIGHT(Input!A2,2)&amp;")"</f>
        <v>Total Estimated Change to Reserve Fund for this Year (FYE 6/22)</v>
      </c>
      <c r="E74" s="2"/>
      <c r="F74" s="2"/>
      <c r="G74" s="2"/>
      <c r="H74" s="2"/>
      <c r="I74" s="2"/>
      <c r="J74" s="2"/>
      <c r="K74" s="81">
        <f>K72+K73</f>
        <v>192928.7641363591</v>
      </c>
      <c r="L74" s="81"/>
      <c r="M74" s="81"/>
      <c r="N74" s="2"/>
      <c r="O74" s="2"/>
      <c r="P74" s="26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</row>
    <row r="75" spans="1:46">
      <c r="A75" s="26"/>
      <c r="B75" s="2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6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</row>
    <row r="76" spans="1:46">
      <c r="A76" s="26"/>
      <c r="B76" s="26"/>
      <c r="C76" s="2"/>
      <c r="D76" s="2" t="s">
        <v>167</v>
      </c>
      <c r="E76" s="2"/>
      <c r="F76" s="443" t="str">
        <f>Input!D3</f>
        <v>As Of June 30, 2021 per Mark Hoffman</v>
      </c>
      <c r="G76" s="440"/>
      <c r="H76" s="440"/>
      <c r="I76" s="5"/>
      <c r="J76" s="5"/>
      <c r="K76" s="74">
        <f>+Input!F3</f>
        <v>9388022.4499999993</v>
      </c>
      <c r="L76" s="74"/>
      <c r="M76" s="83"/>
      <c r="N76" s="84"/>
      <c r="O76" s="2"/>
      <c r="P76" s="26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</row>
    <row r="77" spans="1:46">
      <c r="A77" s="26"/>
      <c r="B77" s="26"/>
      <c r="C77" s="2"/>
      <c r="D77" s="2"/>
      <c r="E77" s="2"/>
      <c r="F77" s="2"/>
      <c r="G77" s="2"/>
      <c r="H77" s="2"/>
      <c r="I77" s="2"/>
      <c r="J77" s="2"/>
      <c r="K77" s="2"/>
      <c r="L77" s="2"/>
      <c r="M77" s="83"/>
      <c r="N77" s="16"/>
      <c r="O77" s="2"/>
      <c r="P77" s="26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</row>
    <row r="78" spans="1:46">
      <c r="A78" s="26"/>
      <c r="B78" s="26"/>
      <c r="C78" s="2"/>
      <c r="D78" s="1" t="str">
        <f>"Revised Estimated Reserve Balance at 6/30/" &amp;VALUE(RIGHT(Input!A2,4))</f>
        <v>Revised Estimated Reserve Balance at 6/30/2022</v>
      </c>
      <c r="E78" s="2"/>
      <c r="F78" s="2"/>
      <c r="G78" s="2"/>
      <c r="H78" s="2"/>
      <c r="I78" s="2"/>
      <c r="J78" s="2"/>
      <c r="K78" s="81">
        <f>K74+K76</f>
        <v>9580951.2141363584</v>
      </c>
      <c r="L78" s="81"/>
      <c r="M78" s="74"/>
      <c r="N78" s="29"/>
      <c r="O78" s="2"/>
      <c r="P78" s="26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</row>
    <row r="79" spans="1:46">
      <c r="A79" s="26"/>
      <c r="B79" s="26"/>
      <c r="C79" s="2"/>
      <c r="D79" s="2"/>
      <c r="E79" s="2"/>
      <c r="F79" s="2"/>
      <c r="G79" s="2"/>
      <c r="H79" s="2"/>
      <c r="I79" s="2"/>
      <c r="J79" s="2"/>
      <c r="K79" s="81"/>
      <c r="L79" s="81"/>
      <c r="M79" s="81"/>
      <c r="N79" s="16"/>
      <c r="O79" s="2"/>
      <c r="P79" s="26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</row>
    <row r="80" spans="1:46">
      <c r="A80" s="26"/>
      <c r="B80" s="26"/>
      <c r="C80" s="2"/>
      <c r="D80" s="2" t="s">
        <v>168</v>
      </c>
      <c r="E80" s="2"/>
      <c r="F80" s="2"/>
      <c r="G80" s="2"/>
      <c r="H80" s="2"/>
      <c r="I80" s="2"/>
      <c r="J80" s="2"/>
      <c r="K80" s="317">
        <f>K78-K65</f>
        <v>-7541460.0810680836</v>
      </c>
      <c r="L80" s="81"/>
      <c r="M80" s="81"/>
      <c r="N80" s="2"/>
      <c r="O80" s="17"/>
      <c r="P80" s="26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</row>
    <row r="81" spans="1:16">
      <c r="A81" s="26"/>
      <c r="B81" s="26"/>
      <c r="C81" s="2"/>
      <c r="D81" s="2"/>
      <c r="E81" s="2"/>
      <c r="F81" s="2"/>
      <c r="G81" s="2"/>
      <c r="H81" s="2"/>
      <c r="I81" s="2"/>
      <c r="J81" s="2"/>
      <c r="K81" s="81"/>
      <c r="L81" s="81"/>
      <c r="M81" s="81"/>
      <c r="N81" s="2"/>
      <c r="O81" s="2"/>
      <c r="P81" s="26"/>
    </row>
    <row r="82" spans="1:16">
      <c r="A82" s="26"/>
      <c r="B82" s="26"/>
      <c r="C82" s="2"/>
      <c r="D82" s="2" t="s">
        <v>169</v>
      </c>
      <c r="E82" s="2"/>
      <c r="F82" s="2"/>
      <c r="G82" s="2"/>
      <c r="H82" s="2"/>
      <c r="I82" s="2"/>
      <c r="J82" s="2"/>
      <c r="K82" s="444">
        <f>+K78/K63</f>
        <v>1.1191123783856007</v>
      </c>
      <c r="L82" s="81"/>
      <c r="M82" s="81"/>
      <c r="N82" s="2"/>
      <c r="O82" s="2"/>
      <c r="P82" s="26"/>
    </row>
    <row r="83" spans="1:16">
      <c r="A83" s="26"/>
      <c r="B83" s="26"/>
      <c r="C83" s="2"/>
      <c r="D83" s="2"/>
      <c r="E83" s="2"/>
      <c r="F83" s="2"/>
      <c r="G83" s="2"/>
      <c r="H83" s="2"/>
      <c r="I83" s="2"/>
      <c r="J83" s="2"/>
      <c r="K83" s="81"/>
      <c r="L83" s="81"/>
      <c r="M83" s="81"/>
      <c r="N83" s="2"/>
      <c r="O83" s="17"/>
      <c r="P83" s="26"/>
    </row>
    <row r="84" spans="1:16">
      <c r="A84" s="26"/>
      <c r="B84" s="26"/>
      <c r="C84" s="26"/>
      <c r="D84" s="26" t="s">
        <v>296</v>
      </c>
      <c r="E84" s="26"/>
      <c r="F84" s="26"/>
      <c r="G84" s="26"/>
      <c r="H84" s="26"/>
      <c r="I84" s="26"/>
      <c r="J84" s="26"/>
      <c r="K84" s="79">
        <f>K63*1</f>
        <v>8561205.647602221</v>
      </c>
      <c r="L84" s="26"/>
      <c r="M84" s="26"/>
      <c r="N84" s="26"/>
      <c r="O84" s="26"/>
      <c r="P84" s="26"/>
    </row>
    <row r="85" spans="1:16">
      <c r="A85" s="26"/>
      <c r="B85" s="26"/>
      <c r="C85" s="26"/>
      <c r="D85" s="26" t="s">
        <v>295</v>
      </c>
      <c r="E85" s="26"/>
      <c r="F85" s="26"/>
      <c r="G85" s="26"/>
      <c r="H85" s="26"/>
      <c r="I85" s="26"/>
      <c r="J85" s="26"/>
      <c r="K85" s="79">
        <f>K84-K78</f>
        <v>-1019745.5665341374</v>
      </c>
      <c r="L85" s="26"/>
      <c r="M85" s="26"/>
      <c r="N85" s="26"/>
      <c r="O85" s="26"/>
      <c r="P85" s="26"/>
    </row>
    <row r="86" spans="1:1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79"/>
      <c r="L87" s="26"/>
      <c r="M87" s="26"/>
      <c r="N87" s="26"/>
      <c r="O87" s="26"/>
      <c r="P87" s="26"/>
    </row>
    <row r="88" spans="1:1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79"/>
      <c r="L88" s="26"/>
      <c r="M88" s="26"/>
      <c r="N88" s="26"/>
      <c r="O88" s="26"/>
      <c r="P88" s="26"/>
    </row>
  </sheetData>
  <pageMargins left="0" right="0" top="0" bottom="0" header="0" footer="0"/>
  <pageSetup scale="49" orientation="portrait" r:id="rId1"/>
  <headerFooter alignWithMargins="0">
    <oddFooter>&amp;L&amp;"Arial"&amp;12&amp;D&amp;C&amp;"Arial"&amp;12&amp;T&amp;R&amp;"Arial"&amp;12&amp;F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6"/>
  <sheetViews>
    <sheetView zoomScale="87" zoomScaleNormal="87" workbookViewId="0">
      <pane xSplit="2" ySplit="8" topLeftCell="C9" activePane="bottomRight" state="frozen"/>
      <selection activeCell="G9" sqref="G9"/>
      <selection pane="topRight" activeCell="G9" sqref="G9"/>
      <selection pane="bottomLeft" activeCell="G9" sqref="G9"/>
      <selection pane="bottomRight" activeCell="A57" sqref="A9:A57"/>
    </sheetView>
  </sheetViews>
  <sheetFormatPr defaultColWidth="9.84375" defaultRowHeight="15.5"/>
  <cols>
    <col min="1" max="1" width="21.84375" style="75" customWidth="1"/>
    <col min="2" max="2" width="17.84375" style="75" customWidth="1"/>
    <col min="3" max="31" width="9.84375" style="75" customWidth="1"/>
    <col min="32" max="32" width="11.84375" style="75" customWidth="1"/>
    <col min="33" max="38" width="9.84375" style="75" customWidth="1"/>
    <col min="39" max="39" width="11.84375" style="75" customWidth="1"/>
    <col min="40" max="16384" width="9.84375" style="75"/>
  </cols>
  <sheetData>
    <row r="1" spans="1:43">
      <c r="A1" s="26" t="s">
        <v>186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43">
      <c r="A2" s="26"/>
      <c r="B2" s="227"/>
      <c r="C2" s="228" t="s">
        <v>188</v>
      </c>
      <c r="D2" s="228" t="s">
        <v>191</v>
      </c>
      <c r="E2" s="228" t="s">
        <v>193</v>
      </c>
      <c r="F2" s="228" t="s">
        <v>195</v>
      </c>
      <c r="G2" s="228" t="s">
        <v>198</v>
      </c>
      <c r="H2" s="228" t="s">
        <v>200</v>
      </c>
      <c r="I2" s="228" t="s">
        <v>202</v>
      </c>
      <c r="J2" s="228" t="s">
        <v>204</v>
      </c>
      <c r="K2" s="228" t="s">
        <v>206</v>
      </c>
      <c r="L2" s="228" t="s">
        <v>208</v>
      </c>
      <c r="M2" s="228" t="s">
        <v>211</v>
      </c>
      <c r="N2" s="228" t="s">
        <v>213</v>
      </c>
      <c r="O2" s="228" t="s">
        <v>215</v>
      </c>
      <c r="P2" s="228" t="s">
        <v>217</v>
      </c>
      <c r="Q2" s="228" t="s">
        <v>219</v>
      </c>
      <c r="R2" s="228" t="s">
        <v>221</v>
      </c>
      <c r="S2" s="228" t="s">
        <v>225</v>
      </c>
      <c r="T2" s="228" t="s">
        <v>227</v>
      </c>
      <c r="U2" s="228" t="s">
        <v>229</v>
      </c>
      <c r="V2" s="228" t="s">
        <v>231</v>
      </c>
      <c r="W2" s="228" t="s">
        <v>234</v>
      </c>
      <c r="X2" s="228" t="s">
        <v>236</v>
      </c>
      <c r="Y2" s="228" t="s">
        <v>238</v>
      </c>
      <c r="Z2" s="228" t="s">
        <v>242</v>
      </c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</row>
    <row r="3" spans="1:43">
      <c r="A3" s="85"/>
      <c r="B3" s="85"/>
      <c r="C3" s="26" t="s">
        <v>189</v>
      </c>
      <c r="D3" s="26" t="s">
        <v>192</v>
      </c>
      <c r="E3" s="26" t="s">
        <v>194</v>
      </c>
      <c r="F3" s="26" t="s">
        <v>196</v>
      </c>
      <c r="G3" s="26" t="s">
        <v>199</v>
      </c>
      <c r="H3" s="26" t="s">
        <v>201</v>
      </c>
      <c r="I3" s="26" t="s">
        <v>203</v>
      </c>
      <c r="J3" s="26" t="s">
        <v>205</v>
      </c>
      <c r="K3" s="26" t="s">
        <v>207</v>
      </c>
      <c r="L3" s="26" t="s">
        <v>209</v>
      </c>
      <c r="M3" s="26" t="s">
        <v>212</v>
      </c>
      <c r="N3" s="26" t="s">
        <v>214</v>
      </c>
      <c r="O3" s="26" t="s">
        <v>216</v>
      </c>
      <c r="P3" s="26" t="s">
        <v>218</v>
      </c>
      <c r="Q3" s="26" t="s">
        <v>220</v>
      </c>
      <c r="R3" s="26" t="s">
        <v>222</v>
      </c>
      <c r="S3" s="26" t="s">
        <v>226</v>
      </c>
      <c r="T3" s="26" t="s">
        <v>228</v>
      </c>
      <c r="U3" s="26" t="s">
        <v>230</v>
      </c>
      <c r="V3" s="26" t="s">
        <v>232</v>
      </c>
      <c r="W3" s="26" t="s">
        <v>235</v>
      </c>
      <c r="X3" s="26" t="s">
        <v>237</v>
      </c>
      <c r="Y3" s="26" t="s">
        <v>239</v>
      </c>
      <c r="Z3" s="26" t="s">
        <v>243</v>
      </c>
      <c r="AA3" s="26" t="s">
        <v>246</v>
      </c>
      <c r="AB3" s="26"/>
      <c r="AC3" s="100" t="s">
        <v>197</v>
      </c>
      <c r="AD3" s="26"/>
      <c r="AE3" s="26"/>
      <c r="AF3" s="26"/>
      <c r="AG3" s="26"/>
      <c r="AH3" s="26"/>
      <c r="AI3" s="26"/>
      <c r="AJ3" s="26"/>
      <c r="AK3" s="26"/>
      <c r="AL3" s="26"/>
      <c r="AM3" s="26"/>
    </row>
    <row r="4" spans="1:43">
      <c r="A4" s="85"/>
      <c r="B4" s="8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100" t="s">
        <v>259</v>
      </c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43">
      <c r="A5" s="26" t="s">
        <v>186</v>
      </c>
      <c r="B5" s="85"/>
      <c r="C5" s="77" t="s">
        <v>190</v>
      </c>
      <c r="D5" s="77" t="s">
        <v>190</v>
      </c>
      <c r="E5" s="77" t="s">
        <v>190</v>
      </c>
      <c r="F5" s="77" t="s">
        <v>197</v>
      </c>
      <c r="G5" s="77" t="s">
        <v>197</v>
      </c>
      <c r="H5" s="77" t="s">
        <v>197</v>
      </c>
      <c r="I5" s="77" t="s">
        <v>94</v>
      </c>
      <c r="J5" s="77" t="s">
        <v>94</v>
      </c>
      <c r="K5" s="77" t="s">
        <v>94</v>
      </c>
      <c r="L5" s="77" t="s">
        <v>210</v>
      </c>
      <c r="M5" s="77" t="s">
        <v>210</v>
      </c>
      <c r="N5" s="77" t="s">
        <v>210</v>
      </c>
      <c r="O5" s="77" t="s">
        <v>84</v>
      </c>
      <c r="P5" s="77" t="s">
        <v>84</v>
      </c>
      <c r="Q5" s="77" t="s">
        <v>84</v>
      </c>
      <c r="R5" s="77" t="s">
        <v>223</v>
      </c>
      <c r="S5" s="77" t="s">
        <v>100</v>
      </c>
      <c r="T5" s="77" t="s">
        <v>100</v>
      </c>
      <c r="U5" s="77" t="s">
        <v>100</v>
      </c>
      <c r="V5" s="77" t="s">
        <v>233</v>
      </c>
      <c r="W5" s="77" t="s">
        <v>233</v>
      </c>
      <c r="X5" s="77" t="s">
        <v>233</v>
      </c>
      <c r="Y5" s="77"/>
      <c r="Z5" s="77" t="s">
        <v>244</v>
      </c>
      <c r="AA5" s="130" t="s">
        <v>293</v>
      </c>
      <c r="AB5" s="77" t="s">
        <v>148</v>
      </c>
      <c r="AC5" s="77" t="s">
        <v>148</v>
      </c>
      <c r="AD5" s="77" t="s">
        <v>56</v>
      </c>
      <c r="AE5" s="26" t="s">
        <v>249</v>
      </c>
      <c r="AF5" s="26"/>
      <c r="AG5" s="26"/>
      <c r="AH5" s="26"/>
      <c r="AI5" s="26"/>
      <c r="AJ5" s="26"/>
      <c r="AK5" s="26"/>
      <c r="AL5" s="26"/>
      <c r="AM5" s="26"/>
    </row>
    <row r="6" spans="1:43">
      <c r="A6" s="26" t="str">
        <f>"Fiscal Year End " &amp;VALUE(RIGHT(Input!A2,4)-2)</f>
        <v>Fiscal Year End 2020</v>
      </c>
      <c r="B6" s="85"/>
      <c r="C6" s="77" t="s">
        <v>55</v>
      </c>
      <c r="D6" s="77" t="s">
        <v>54</v>
      </c>
      <c r="E6" s="77" t="s">
        <v>56</v>
      </c>
      <c r="F6" s="77" t="s">
        <v>55</v>
      </c>
      <c r="G6" s="77" t="s">
        <v>54</v>
      </c>
      <c r="H6" s="77" t="s">
        <v>56</v>
      </c>
      <c r="I6" s="77" t="s">
        <v>55</v>
      </c>
      <c r="J6" s="77" t="s">
        <v>54</v>
      </c>
      <c r="K6" s="77" t="s">
        <v>56</v>
      </c>
      <c r="L6" s="77" t="s">
        <v>55</v>
      </c>
      <c r="M6" s="77" t="s">
        <v>54</v>
      </c>
      <c r="N6" s="77" t="s">
        <v>56</v>
      </c>
      <c r="O6" s="77" t="s">
        <v>55</v>
      </c>
      <c r="P6" s="77" t="s">
        <v>54</v>
      </c>
      <c r="Q6" s="77" t="s">
        <v>56</v>
      </c>
      <c r="R6" s="77" t="s">
        <v>224</v>
      </c>
      <c r="S6" s="77" t="s">
        <v>55</v>
      </c>
      <c r="T6" s="77" t="s">
        <v>54</v>
      </c>
      <c r="U6" s="77" t="s">
        <v>56</v>
      </c>
      <c r="V6" s="77" t="s">
        <v>55</v>
      </c>
      <c r="W6" s="77" t="s">
        <v>54</v>
      </c>
      <c r="X6" s="77" t="s">
        <v>56</v>
      </c>
      <c r="Y6" s="77" t="s">
        <v>240</v>
      </c>
      <c r="Z6" s="77" t="s">
        <v>190</v>
      </c>
      <c r="AA6" s="130"/>
      <c r="AB6" s="77" t="s">
        <v>247</v>
      </c>
      <c r="AC6" s="77" t="s">
        <v>248</v>
      </c>
      <c r="AD6" s="77" t="s">
        <v>94</v>
      </c>
      <c r="AE6" s="77" t="s">
        <v>149</v>
      </c>
      <c r="AF6" s="26"/>
      <c r="AG6" s="26"/>
      <c r="AH6" s="26"/>
      <c r="AI6" s="26"/>
      <c r="AJ6" s="26"/>
      <c r="AK6" s="26"/>
      <c r="AL6" s="26"/>
      <c r="AM6" s="26"/>
    </row>
    <row r="7" spans="1:43">
      <c r="A7" s="100" t="s">
        <v>260</v>
      </c>
      <c r="B7" s="85"/>
      <c r="C7" s="77" t="s">
        <v>53</v>
      </c>
      <c r="D7" s="77" t="s">
        <v>53</v>
      </c>
      <c r="E7" s="77" t="s">
        <v>53</v>
      </c>
      <c r="F7" s="77" t="s">
        <v>53</v>
      </c>
      <c r="G7" s="77" t="s">
        <v>53</v>
      </c>
      <c r="H7" s="77" t="s">
        <v>53</v>
      </c>
      <c r="I7" s="77" t="s">
        <v>53</v>
      </c>
      <c r="J7" s="77" t="s">
        <v>53</v>
      </c>
      <c r="K7" s="77" t="s">
        <v>53</v>
      </c>
      <c r="L7" s="77" t="s">
        <v>53</v>
      </c>
      <c r="M7" s="77" t="s">
        <v>53</v>
      </c>
      <c r="N7" s="77" t="s">
        <v>53</v>
      </c>
      <c r="O7" s="77" t="s">
        <v>53</v>
      </c>
      <c r="P7" s="77" t="s">
        <v>53</v>
      </c>
      <c r="Q7" s="77" t="s">
        <v>53</v>
      </c>
      <c r="R7" s="77" t="s">
        <v>94</v>
      </c>
      <c r="S7" s="77" t="s">
        <v>53</v>
      </c>
      <c r="T7" s="77" t="s">
        <v>53</v>
      </c>
      <c r="U7" s="77" t="s">
        <v>53</v>
      </c>
      <c r="V7" s="77" t="s">
        <v>53</v>
      </c>
      <c r="W7" s="77" t="s">
        <v>53</v>
      </c>
      <c r="X7" s="77" t="s">
        <v>53</v>
      </c>
      <c r="Y7" s="77" t="s">
        <v>241</v>
      </c>
      <c r="Z7" s="77" t="s">
        <v>53</v>
      </c>
      <c r="AA7" s="130"/>
      <c r="AB7" s="77"/>
      <c r="AC7" s="77"/>
      <c r="AD7" s="77" t="s">
        <v>149</v>
      </c>
      <c r="AE7" s="26"/>
      <c r="AF7" s="108" t="s">
        <v>250</v>
      </c>
      <c r="AG7" s="126"/>
      <c r="AH7" s="126"/>
      <c r="AI7" s="126"/>
      <c r="AJ7" s="126"/>
      <c r="AK7" s="126"/>
      <c r="AL7" s="126"/>
      <c r="AM7" s="126"/>
    </row>
    <row r="8" spans="1:43">
      <c r="A8" s="100" t="s">
        <v>261</v>
      </c>
      <c r="B8" s="85"/>
      <c r="C8" s="26"/>
      <c r="D8" s="26"/>
      <c r="E8" s="26"/>
      <c r="F8" s="77"/>
      <c r="G8" s="77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77"/>
      <c r="Z8" s="77"/>
      <c r="AA8" s="130"/>
      <c r="AB8" s="77"/>
      <c r="AC8" s="77"/>
      <c r="AD8" s="77"/>
      <c r="AE8" s="26"/>
      <c r="AF8" s="109"/>
      <c r="AG8" s="127"/>
      <c r="AH8" s="127"/>
      <c r="AI8" s="127"/>
      <c r="AJ8" s="127"/>
      <c r="AK8" s="127"/>
      <c r="AL8" s="127"/>
      <c r="AM8" s="127"/>
    </row>
    <row r="9" spans="1:43">
      <c r="A9" s="33">
        <f>'UCC Fund Calc FY2022'!C9</f>
        <v>210001</v>
      </c>
      <c r="B9" s="33" t="str">
        <f>'UCC Fund Calc FY2022'!D9</f>
        <v>Meritus Medical Center</v>
      </c>
      <c r="C9" s="87">
        <f>INDEX('Marcellas PDA FY 2020'!$B$7:$AE$63,MATCH($A9,'Marcellas PDA FY 2020'!$B$7:$B$63,0),MATCH(C$2,'Marcellas PDA FY 2020'!$B$7:$AE$7,0))</f>
        <v>207215.2</v>
      </c>
      <c r="D9" s="87">
        <f>INDEX('Marcellas PDA FY 2020'!$B$7:$AE$63,MATCH($A9,'Marcellas PDA FY 2020'!$B$7:$B$63,0),MATCH(D$2,'Marcellas PDA FY 2020'!$B$7:$AE$7,0))</f>
        <v>155743.79999999999</v>
      </c>
      <c r="E9" s="87">
        <f>INDEX('Marcellas PDA FY 2020'!$B$7:$AE$63,MATCH($A9,'Marcellas PDA FY 2020'!$B$7:$B$63,0),MATCH(E$2,'Marcellas PDA FY 2020'!$B$7:$AE$7,0))</f>
        <v>362959</v>
      </c>
      <c r="F9" s="87">
        <f>INDEX('Marcellas PDA FY 2020'!$B$7:$AE$63,MATCH($A9,'Marcellas PDA FY 2020'!$B$7:$B$63,0),MATCH(F$2,'Marcellas PDA FY 2020'!$B$7:$AE$7,0))</f>
        <v>98677.7</v>
      </c>
      <c r="G9" s="87">
        <f>INDEX('Marcellas PDA FY 2020'!$B$7:$AE$63,MATCH($A9,'Marcellas PDA FY 2020'!$B$7:$B$63,0),MATCH(G$2,'Marcellas PDA FY 2020'!$B$7:$AE$7,0))</f>
        <v>55067</v>
      </c>
      <c r="H9" s="87">
        <f>INDEX('Marcellas PDA FY 2020'!$B$7:$AE$63,MATCH($A9,'Marcellas PDA FY 2020'!$B$7:$B$63,0),MATCH(H$2,'Marcellas PDA FY 2020'!$B$7:$AE$7,0))</f>
        <v>153744.70000000001</v>
      </c>
      <c r="I9" s="87">
        <f>INDEX('Marcellas PDA FY 2020'!$B$7:$AE$63,MATCH($A9,'Marcellas PDA FY 2020'!$B$7:$B$63,0),MATCH(I$2,'Marcellas PDA FY 2020'!$B$7:$AE$7,0))</f>
        <v>5758.2</v>
      </c>
      <c r="J9" s="87">
        <f>INDEX('Marcellas PDA FY 2020'!$B$7:$AE$63,MATCH($A9,'Marcellas PDA FY 2020'!$B$7:$B$63,0),MATCH(J$2,'Marcellas PDA FY 2020'!$B$7:$AE$7,0))</f>
        <v>2322.4</v>
      </c>
      <c r="K9" s="87">
        <f>INDEX('Marcellas PDA FY 2020'!$B$7:$AE$63,MATCH($A9,'Marcellas PDA FY 2020'!$B$7:$B$63,0),MATCH(K$2,'Marcellas PDA FY 2020'!$B$7:$AE$7,0))</f>
        <v>8080.6</v>
      </c>
      <c r="L9" s="87">
        <f>INDEX('Marcellas PDA FY 2020'!$B$7:$AE$63,MATCH($A9,'Marcellas PDA FY 2020'!$B$7:$B$63,0),MATCH(L$2,'Marcellas PDA FY 2020'!$B$7:$AE$7,0))</f>
        <v>19782.3</v>
      </c>
      <c r="M9" s="87">
        <f>INDEX('Marcellas PDA FY 2020'!$B$7:$AE$63,MATCH($A9,'Marcellas PDA FY 2020'!$B$7:$B$63,0),MATCH(M$2,'Marcellas PDA FY 2020'!$B$7:$AE$7,0))</f>
        <v>21974.7</v>
      </c>
      <c r="N9" s="87">
        <f>INDEX('Marcellas PDA FY 2020'!$B$7:$AE$63,MATCH($A9,'Marcellas PDA FY 2020'!$B$7:$B$63,0),MATCH(N$2,'Marcellas PDA FY 2020'!$B$7:$AE$7,0))</f>
        <v>41757</v>
      </c>
      <c r="O9" s="87">
        <f>INDEX('Marcellas PDA FY 2020'!$B$7:$AE$63,MATCH($A9,'Marcellas PDA FY 2020'!$B$7:$B$63,0),MATCH(O$2,'Marcellas PDA FY 2020'!$B$7:$AE$7,0))</f>
        <v>51137.1</v>
      </c>
      <c r="P9" s="87">
        <f>INDEX('Marcellas PDA FY 2020'!$B$7:$AE$63,MATCH($A9,'Marcellas PDA FY 2020'!$B$7:$B$63,0),MATCH(P$2,'Marcellas PDA FY 2020'!$B$7:$AE$7,0))</f>
        <v>37306</v>
      </c>
      <c r="Q9" s="87">
        <f>INDEX('Marcellas PDA FY 2020'!$B$7:$AE$63,MATCH($A9,'Marcellas PDA FY 2020'!$B$7:$B$63,0),MATCH(Q$2,'Marcellas PDA FY 2020'!$B$7:$AE$7,0))</f>
        <v>88443.1</v>
      </c>
      <c r="R9" s="87">
        <f>INDEX('Marcellas PDA FY 2020'!$B$7:$AE$63,MATCH($A9,'Marcellas PDA FY 2020'!$B$7:$B$63,0),MATCH(R$2,'Marcellas PDA FY 2020'!$B$7:$AE$7,0))</f>
        <v>0</v>
      </c>
      <c r="S9" s="87">
        <f>INDEX('Marcellas PDA FY 2020'!$B$7:$AE$63,MATCH($A9,'Marcellas PDA FY 2020'!$B$7:$B$63,0),MATCH(S$2,'Marcellas PDA FY 2020'!$B$7:$AE$7,0))</f>
        <v>7050.5</v>
      </c>
      <c r="T9" s="87">
        <f>INDEX('Marcellas PDA FY 2020'!$B$7:$AE$63,MATCH($A9,'Marcellas PDA FY 2020'!$B$7:$B$63,0),MATCH(T$2,'Marcellas PDA FY 2020'!$B$7:$AE$7,0))</f>
        <v>11777.6</v>
      </c>
      <c r="U9" s="87">
        <f>INDEX('Marcellas PDA FY 2020'!$B$7:$AE$63,MATCH($A9,'Marcellas PDA FY 2020'!$B$7:$B$63,0),MATCH(U$2,'Marcellas PDA FY 2020'!$B$7:$AE$7,0))</f>
        <v>18828.099999999999</v>
      </c>
      <c r="V9" s="87">
        <f>INDEX('Marcellas PDA FY 2020'!$B$7:$AE$63,MATCH($A9,'Marcellas PDA FY 2020'!$B$7:$B$63,0),MATCH(V$2,'Marcellas PDA FY 2020'!$B$7:$AE$7,0))</f>
        <v>24809.400000000016</v>
      </c>
      <c r="W9" s="87">
        <f>INDEX('Marcellas PDA FY 2020'!$B$7:$AE$63,MATCH($A9,'Marcellas PDA FY 2020'!$B$7:$B$63,0),MATCH(W$2,'Marcellas PDA FY 2020'!$B$7:$AE$7,0))</f>
        <v>27296.1</v>
      </c>
      <c r="X9" s="87">
        <f>INDEX('Marcellas PDA FY 2020'!$B$7:$AE$63,MATCH($A9,'Marcellas PDA FY 2020'!$B$7:$B$63,0),MATCH(X$2,'Marcellas PDA FY 2020'!$B$7:$AE$7,0))</f>
        <v>52105.500000000015</v>
      </c>
      <c r="Y9" s="87">
        <f>INDEX('Marcellas PDA FY 2020'!$B$7:$AE$63,MATCH($A9,'Marcellas PDA FY 2020'!$B$7:$B$63,0),MATCH(Y$2,'Marcellas PDA FY 2020'!$B$7:$AE$7,0))</f>
        <v>296182.45270843536</v>
      </c>
      <c r="Z9" s="87">
        <f>INDEX('Marcellas PDA FY 2020'!$B$7:$AE$63,MATCH($A9,'Marcellas PDA FY 2020'!$B$7:$B$63,0),MATCH(Z$2,'Marcellas PDA FY 2020'!$B$7:$AE$7,0))</f>
        <v>332955.263998957</v>
      </c>
      <c r="AA9" s="131">
        <f t="shared" ref="AA9:AA57" si="0">H9/E9</f>
        <v>0.42358696161274417</v>
      </c>
      <c r="AB9" s="80">
        <f t="shared" ref="AB9:AB57" si="1">K9/E9</f>
        <v>2.2263120627949714E-2</v>
      </c>
      <c r="AC9" s="80">
        <f t="shared" ref="AC9:AC57" si="2">Q9/E9</f>
        <v>0.24367242581117979</v>
      </c>
      <c r="AD9" s="80">
        <f t="shared" ref="AD9:AD57" si="3">(K9+Q9)/E9</f>
        <v>0.26593554643912953</v>
      </c>
      <c r="AE9" s="80">
        <f t="shared" ref="AE9:AE57" si="4">U9/E9</f>
        <v>5.1873903113023784E-2</v>
      </c>
      <c r="AF9" s="128">
        <f>C9+D9-E9</f>
        <v>0</v>
      </c>
      <c r="AG9" s="110">
        <f>F9+G9-H9</f>
        <v>0</v>
      </c>
      <c r="AH9" s="110">
        <f>I9+J9-K9</f>
        <v>0</v>
      </c>
      <c r="AI9" s="110">
        <f>L9+M9-N9</f>
        <v>0</v>
      </c>
      <c r="AJ9" s="110">
        <f>O9+P9-Q9</f>
        <v>0</v>
      </c>
      <c r="AK9" s="110">
        <f>S9+T9-U9</f>
        <v>0</v>
      </c>
      <c r="AL9" s="110">
        <f>V9+W9-X9</f>
        <v>0</v>
      </c>
      <c r="AM9" s="110">
        <f t="shared" ref="AM9:AM40" si="5">SUM(AG9:AL9)</f>
        <v>0</v>
      </c>
      <c r="AN9" s="190"/>
      <c r="AP9" s="112">
        <f t="shared" ref="AP9:AP57" si="6">+U9/E9</f>
        <v>5.1873903113023784E-2</v>
      </c>
      <c r="AQ9" s="382">
        <f>'PDA Schedules FY 2018'!AP9</f>
        <v>4.3260453974085906E-2</v>
      </c>
    </row>
    <row r="10" spans="1:43">
      <c r="A10" s="33">
        <f>'UCC Fund Calc FY2022'!C10</f>
        <v>210002</v>
      </c>
      <c r="B10" s="33" t="str">
        <f>'UCC Fund Calc FY2022'!D10</f>
        <v>UM Medical Center</v>
      </c>
      <c r="C10" s="87">
        <f>INDEX('Marcellas PDA FY 2020'!$B$7:$AE$63,MATCH($A10,'Marcellas PDA FY 2020'!$B$7:$B$63,0),MATCH(C$2,'Marcellas PDA FY 2020'!$B$7:$AE$7,0))</f>
        <v>1064456.0551300005</v>
      </c>
      <c r="D10" s="87">
        <f>INDEX('Marcellas PDA FY 2020'!$B$7:$AE$63,MATCH($A10,'Marcellas PDA FY 2020'!$B$7:$B$63,0),MATCH(D$2,'Marcellas PDA FY 2020'!$B$7:$AE$7,0))</f>
        <v>537865.85060000012</v>
      </c>
      <c r="E10" s="87">
        <f>INDEX('Marcellas PDA FY 2020'!$B$7:$AE$63,MATCH($A10,'Marcellas PDA FY 2020'!$B$7:$B$63,0),MATCH(E$2,'Marcellas PDA FY 2020'!$B$7:$AE$7,0))</f>
        <v>1602321.9057300007</v>
      </c>
      <c r="F10" s="87">
        <f>INDEX('Marcellas PDA FY 2020'!$B$7:$AE$63,MATCH($A10,'Marcellas PDA FY 2020'!$B$7:$B$63,0),MATCH(F$2,'Marcellas PDA FY 2020'!$B$7:$AE$7,0))</f>
        <v>363074.76472836058</v>
      </c>
      <c r="G10" s="87">
        <f>INDEX('Marcellas PDA FY 2020'!$B$7:$AE$63,MATCH($A10,'Marcellas PDA FY 2020'!$B$7:$B$63,0),MATCH(G$2,'Marcellas PDA FY 2020'!$B$7:$AE$7,0))</f>
        <v>167878.70556155048</v>
      </c>
      <c r="H10" s="87">
        <f>INDEX('Marcellas PDA FY 2020'!$B$7:$AE$63,MATCH($A10,'Marcellas PDA FY 2020'!$B$7:$B$63,0),MATCH(H$2,'Marcellas PDA FY 2020'!$B$7:$AE$7,0))</f>
        <v>530953.47028991103</v>
      </c>
      <c r="I10" s="87">
        <f>INDEX('Marcellas PDA FY 2020'!$B$7:$AE$63,MATCH($A10,'Marcellas PDA FY 2020'!$B$7:$B$63,0),MATCH(I$2,'Marcellas PDA FY 2020'!$B$7:$AE$7,0))</f>
        <v>50168.074788347978</v>
      </c>
      <c r="J10" s="87">
        <f>INDEX('Marcellas PDA FY 2020'!$B$7:$AE$63,MATCH($A10,'Marcellas PDA FY 2020'!$B$7:$B$63,0),MATCH(J$2,'Marcellas PDA FY 2020'!$B$7:$AE$7,0))</f>
        <v>9073.8005051422606</v>
      </c>
      <c r="K10" s="87">
        <f>INDEX('Marcellas PDA FY 2020'!$B$7:$AE$63,MATCH($A10,'Marcellas PDA FY 2020'!$B$7:$B$63,0),MATCH(K$2,'Marcellas PDA FY 2020'!$B$7:$AE$7,0))</f>
        <v>59241.875293490237</v>
      </c>
      <c r="L10" s="87">
        <f>INDEX('Marcellas PDA FY 2020'!$B$7:$AE$63,MATCH($A10,'Marcellas PDA FY 2020'!$B$7:$B$63,0),MATCH(L$2,'Marcellas PDA FY 2020'!$B$7:$AE$7,0))</f>
        <v>115330.66623868723</v>
      </c>
      <c r="M10" s="87">
        <f>INDEX('Marcellas PDA FY 2020'!$B$7:$AE$63,MATCH($A10,'Marcellas PDA FY 2020'!$B$7:$B$63,0),MATCH(M$2,'Marcellas PDA FY 2020'!$B$7:$AE$7,0))</f>
        <v>72480.147015053648</v>
      </c>
      <c r="N10" s="87">
        <f>INDEX('Marcellas PDA FY 2020'!$B$7:$AE$63,MATCH($A10,'Marcellas PDA FY 2020'!$B$7:$B$63,0),MATCH(N$2,'Marcellas PDA FY 2020'!$B$7:$AE$7,0))</f>
        <v>187810.8132537409</v>
      </c>
      <c r="O10" s="87">
        <f>INDEX('Marcellas PDA FY 2020'!$B$7:$AE$63,MATCH($A10,'Marcellas PDA FY 2020'!$B$7:$B$63,0),MATCH(O$2,'Marcellas PDA FY 2020'!$B$7:$AE$7,0))</f>
        <v>290170.2189081969</v>
      </c>
      <c r="P10" s="87">
        <f>INDEX('Marcellas PDA FY 2020'!$B$7:$AE$63,MATCH($A10,'Marcellas PDA FY 2020'!$B$7:$B$63,0),MATCH(P$2,'Marcellas PDA FY 2020'!$B$7:$AE$7,0))</f>
        <v>133267.73630008253</v>
      </c>
      <c r="Q10" s="87">
        <f>INDEX('Marcellas PDA FY 2020'!$B$7:$AE$63,MATCH($A10,'Marcellas PDA FY 2020'!$B$7:$B$63,0),MATCH(Q$2,'Marcellas PDA FY 2020'!$B$7:$AE$7,0))</f>
        <v>423437.95520827943</v>
      </c>
      <c r="R10" s="87">
        <f>INDEX('Marcellas PDA FY 2020'!$B$7:$AE$63,MATCH($A10,'Marcellas PDA FY 2020'!$B$7:$B$63,0),MATCH(R$2,'Marcellas PDA FY 2020'!$B$7:$AE$7,0))</f>
        <v>7043.4110600000113</v>
      </c>
      <c r="S10" s="87">
        <f>INDEX('Marcellas PDA FY 2020'!$B$7:$AE$63,MATCH($A10,'Marcellas PDA FY 2020'!$B$7:$B$63,0),MATCH(S$2,'Marcellas PDA FY 2020'!$B$7:$AE$7,0))</f>
        <v>41667.306856648698</v>
      </c>
      <c r="T10" s="87">
        <f>INDEX('Marcellas PDA FY 2020'!$B$7:$AE$63,MATCH($A10,'Marcellas PDA FY 2020'!$B$7:$B$63,0),MATCH(T$2,'Marcellas PDA FY 2020'!$B$7:$AE$7,0))</f>
        <v>21054.337683351299</v>
      </c>
      <c r="U10" s="87">
        <f>INDEX('Marcellas PDA FY 2020'!$B$7:$AE$63,MATCH($A10,'Marcellas PDA FY 2020'!$B$7:$B$63,0),MATCH(U$2,'Marcellas PDA FY 2020'!$B$7:$AE$7,0))</f>
        <v>62721.644539999994</v>
      </c>
      <c r="V10" s="87">
        <f>INDEX('Marcellas PDA FY 2020'!$B$7:$AE$63,MATCH($A10,'Marcellas PDA FY 2020'!$B$7:$B$63,0),MATCH(V$2,'Marcellas PDA FY 2020'!$B$7:$AE$7,0))</f>
        <v>204045.02360975911</v>
      </c>
      <c r="W10" s="87">
        <f>INDEX('Marcellas PDA FY 2020'!$B$7:$AE$63,MATCH($A10,'Marcellas PDA FY 2020'!$B$7:$B$63,0),MATCH(W$2,'Marcellas PDA FY 2020'!$B$7:$AE$7,0))</f>
        <v>134111.12353481993</v>
      </c>
      <c r="X10" s="87">
        <f>INDEX('Marcellas PDA FY 2020'!$B$7:$AE$63,MATCH($A10,'Marcellas PDA FY 2020'!$B$7:$B$63,0),MATCH(X$2,'Marcellas PDA FY 2020'!$B$7:$AE$7,0))</f>
        <v>338156.14714457904</v>
      </c>
      <c r="Y10" s="87">
        <f>INDEX('Marcellas PDA FY 2020'!$B$7:$AE$63,MATCH($A10,'Marcellas PDA FY 2020'!$B$7:$B$63,0),MATCH(Y$2,'Marcellas PDA FY 2020'!$B$7:$AE$7,0))</f>
        <v>1376789.0277801517</v>
      </c>
      <c r="Z10" s="87">
        <f>INDEX('Marcellas PDA FY 2020'!$B$7:$AE$63,MATCH($A10,'Marcellas PDA FY 2020'!$B$7:$B$63,0),MATCH(Z$2,'Marcellas PDA FY 2020'!$B$7:$AE$7,0))</f>
        <v>1521015.0180220413</v>
      </c>
      <c r="AA10" s="131">
        <f t="shared" si="0"/>
        <v>0.33136504493334895</v>
      </c>
      <c r="AB10" s="80">
        <f t="shared" si="1"/>
        <v>3.6972517870246725E-2</v>
      </c>
      <c r="AC10" s="80">
        <f t="shared" si="2"/>
        <v>0.26426522267094987</v>
      </c>
      <c r="AD10" s="80">
        <f t="shared" si="3"/>
        <v>0.30123774054119662</v>
      </c>
      <c r="AE10" s="80">
        <f t="shared" si="4"/>
        <v>3.9144222091518299E-2</v>
      </c>
      <c r="AF10" s="128">
        <f t="shared" ref="AF10:AF57" si="7">C10+D10-E10</f>
        <v>0</v>
      </c>
      <c r="AG10" s="110">
        <f t="shared" ref="AG10:AG57" si="8">F10+G10-H10</f>
        <v>0</v>
      </c>
      <c r="AH10" s="110">
        <f t="shared" ref="AH10:AH57" si="9">I10+J10-K10</f>
        <v>0</v>
      </c>
      <c r="AI10" s="110">
        <f t="shared" ref="AI10:AI57" si="10">L10+M10-N10</f>
        <v>0</v>
      </c>
      <c r="AJ10" s="110">
        <f t="shared" ref="AJ10:AJ57" si="11">O10+P10-Q10</f>
        <v>0</v>
      </c>
      <c r="AK10" s="110">
        <f t="shared" ref="AK10:AK57" si="12">S10+T10-U10</f>
        <v>0</v>
      </c>
      <c r="AL10" s="110">
        <f t="shared" ref="AL10:AL57" si="13">V10+W10-X10</f>
        <v>0</v>
      </c>
      <c r="AM10" s="110">
        <f t="shared" si="5"/>
        <v>0</v>
      </c>
      <c r="AN10" s="190"/>
      <c r="AP10" s="112">
        <f t="shared" si="6"/>
        <v>3.9144222091518299E-2</v>
      </c>
      <c r="AQ10" s="382">
        <f>'PDA Schedules FY 2018'!AP10</f>
        <v>4.0956171681385177E-2</v>
      </c>
    </row>
    <row r="11" spans="1:43">
      <c r="A11" s="33">
        <f>'UCC Fund Calc FY2022'!C11</f>
        <v>210003</v>
      </c>
      <c r="B11" s="33" t="str">
        <f>'UCC Fund Calc FY2022'!D11</f>
        <v>Prince Georges Hospital Center</v>
      </c>
      <c r="C11" s="87">
        <f>INDEX('Marcellas PDA FY 2020'!$B$7:$AE$63,MATCH($A11,'Marcellas PDA FY 2020'!$B$7:$B$63,0),MATCH(C$2,'Marcellas PDA FY 2020'!$B$7:$AE$7,0))</f>
        <v>259837.14415999988</v>
      </c>
      <c r="D11" s="87">
        <f>INDEX('Marcellas PDA FY 2020'!$B$7:$AE$63,MATCH($A11,'Marcellas PDA FY 2020'!$B$7:$B$63,0),MATCH(D$2,'Marcellas PDA FY 2020'!$B$7:$AE$7,0))</f>
        <v>79742.277359999935</v>
      </c>
      <c r="E11" s="87">
        <f>INDEX('Marcellas PDA FY 2020'!$B$7:$AE$63,MATCH($A11,'Marcellas PDA FY 2020'!$B$7:$B$63,0),MATCH(E$2,'Marcellas PDA FY 2020'!$B$7:$AE$7,0))</f>
        <v>339579.4215199998</v>
      </c>
      <c r="F11" s="87">
        <f>INDEX('Marcellas PDA FY 2020'!$B$7:$AE$63,MATCH($A11,'Marcellas PDA FY 2020'!$B$7:$B$63,0),MATCH(F$2,'Marcellas PDA FY 2020'!$B$7:$AE$7,0))</f>
        <v>87010.694724496381</v>
      </c>
      <c r="G11" s="87">
        <f>INDEX('Marcellas PDA FY 2020'!$B$7:$AE$63,MATCH($A11,'Marcellas PDA FY 2020'!$B$7:$B$63,0),MATCH(G$2,'Marcellas PDA FY 2020'!$B$7:$AE$7,0))</f>
        <v>15516.345694933772</v>
      </c>
      <c r="H11" s="87">
        <f>INDEX('Marcellas PDA FY 2020'!$B$7:$AE$63,MATCH($A11,'Marcellas PDA FY 2020'!$B$7:$B$63,0),MATCH(H$2,'Marcellas PDA FY 2020'!$B$7:$AE$7,0))</f>
        <v>102527.04041943015</v>
      </c>
      <c r="I11" s="87">
        <f>INDEX('Marcellas PDA FY 2020'!$B$7:$AE$63,MATCH($A11,'Marcellas PDA FY 2020'!$B$7:$B$63,0),MATCH(I$2,'Marcellas PDA FY 2020'!$B$7:$AE$7,0))</f>
        <v>25397.99552202845</v>
      </c>
      <c r="J11" s="87">
        <f>INDEX('Marcellas PDA FY 2020'!$B$7:$AE$63,MATCH($A11,'Marcellas PDA FY 2020'!$B$7:$B$63,0),MATCH(J$2,'Marcellas PDA FY 2020'!$B$7:$AE$7,0))</f>
        <v>2474.2962516208167</v>
      </c>
      <c r="K11" s="87">
        <f>INDEX('Marcellas PDA FY 2020'!$B$7:$AE$63,MATCH($A11,'Marcellas PDA FY 2020'!$B$7:$B$63,0),MATCH(K$2,'Marcellas PDA FY 2020'!$B$7:$AE$7,0))</f>
        <v>27872.291773649267</v>
      </c>
      <c r="L11" s="87">
        <f>INDEX('Marcellas PDA FY 2020'!$B$7:$AE$63,MATCH($A11,'Marcellas PDA FY 2020'!$B$7:$B$63,0),MATCH(L$2,'Marcellas PDA FY 2020'!$B$7:$AE$7,0))</f>
        <v>17751.938446797561</v>
      </c>
      <c r="M11" s="87">
        <f>INDEX('Marcellas PDA FY 2020'!$B$7:$AE$63,MATCH($A11,'Marcellas PDA FY 2020'!$B$7:$B$63,0),MATCH(M$2,'Marcellas PDA FY 2020'!$B$7:$AE$7,0))</f>
        <v>7690.6779517226887</v>
      </c>
      <c r="N11" s="87">
        <f>INDEX('Marcellas PDA FY 2020'!$B$7:$AE$63,MATCH($A11,'Marcellas PDA FY 2020'!$B$7:$B$63,0),MATCH(N$2,'Marcellas PDA FY 2020'!$B$7:$AE$7,0))</f>
        <v>25442.616398520251</v>
      </c>
      <c r="O11" s="87">
        <f>INDEX('Marcellas PDA FY 2020'!$B$7:$AE$63,MATCH($A11,'Marcellas PDA FY 2020'!$B$7:$B$63,0),MATCH(O$2,'Marcellas PDA FY 2020'!$B$7:$AE$7,0))</f>
        <v>58605.110089650319</v>
      </c>
      <c r="P11" s="87">
        <f>INDEX('Marcellas PDA FY 2020'!$B$7:$AE$63,MATCH($A11,'Marcellas PDA FY 2020'!$B$7:$B$63,0),MATCH(P$2,'Marcellas PDA FY 2020'!$B$7:$AE$7,0))</f>
        <v>20163.102891715342</v>
      </c>
      <c r="Q11" s="87">
        <f>INDEX('Marcellas PDA FY 2020'!$B$7:$AE$63,MATCH($A11,'Marcellas PDA FY 2020'!$B$7:$B$63,0),MATCH(Q$2,'Marcellas PDA FY 2020'!$B$7:$AE$7,0))</f>
        <v>78768.212981365665</v>
      </c>
      <c r="R11" s="87">
        <f>INDEX('Marcellas PDA FY 2020'!$B$7:$AE$63,MATCH($A11,'Marcellas PDA FY 2020'!$B$7:$B$63,0),MATCH(R$2,'Marcellas PDA FY 2020'!$B$7:$AE$7,0))</f>
        <v>1802.9894199999947</v>
      </c>
      <c r="S11" s="87">
        <f>INDEX('Marcellas PDA FY 2020'!$B$7:$AE$63,MATCH($A11,'Marcellas PDA FY 2020'!$B$7:$B$63,0),MATCH(S$2,'Marcellas PDA FY 2020'!$B$7:$AE$7,0))</f>
        <v>22827.226483954277</v>
      </c>
      <c r="T11" s="87">
        <f>INDEX('Marcellas PDA FY 2020'!$B$7:$AE$63,MATCH($A11,'Marcellas PDA FY 2020'!$B$7:$B$63,0),MATCH(T$2,'Marcellas PDA FY 2020'!$B$7:$AE$7,0))</f>
        <v>7005.522753598827</v>
      </c>
      <c r="U11" s="87">
        <f>INDEX('Marcellas PDA FY 2020'!$B$7:$AE$63,MATCH($A11,'Marcellas PDA FY 2020'!$B$7:$B$63,0),MATCH(U$2,'Marcellas PDA FY 2020'!$B$7:$AE$7,0))</f>
        <v>29832.749237553104</v>
      </c>
      <c r="V11" s="87">
        <f>INDEX('Marcellas PDA FY 2020'!$B$7:$AE$63,MATCH($A11,'Marcellas PDA FY 2020'!$B$7:$B$63,0),MATCH(V$2,'Marcellas PDA FY 2020'!$B$7:$AE$7,0))</f>
        <v>48244.178893072909</v>
      </c>
      <c r="W11" s="87">
        <f>INDEX('Marcellas PDA FY 2020'!$B$7:$AE$63,MATCH($A11,'Marcellas PDA FY 2020'!$B$7:$B$63,0),MATCH(W$2,'Marcellas PDA FY 2020'!$B$7:$AE$7,0))</f>
        <v>26892.331816408489</v>
      </c>
      <c r="X11" s="87">
        <f>INDEX('Marcellas PDA FY 2020'!$B$7:$AE$63,MATCH($A11,'Marcellas PDA FY 2020'!$B$7:$B$63,0),MATCH(X$2,'Marcellas PDA FY 2020'!$B$7:$AE$7,0))</f>
        <v>75136.510709481401</v>
      </c>
      <c r="Y11" s="87">
        <f>INDEX('Marcellas PDA FY 2020'!$B$7:$AE$63,MATCH($A11,'Marcellas PDA FY 2020'!$B$7:$B$63,0),MATCH(Y$2,'Marcellas PDA FY 2020'!$B$7:$AE$7,0))</f>
        <v>266978.57785799663</v>
      </c>
      <c r="Z11" s="87">
        <f>INDEX('Marcellas PDA FY 2020'!$B$7:$AE$63,MATCH($A11,'Marcellas PDA FY 2020'!$B$7:$B$63,0),MATCH(Z$2,'Marcellas PDA FY 2020'!$B$7:$AE$7,0))</f>
        <v>311027.36137114267</v>
      </c>
      <c r="AA11" s="131">
        <f t="shared" si="0"/>
        <v>0.30192359702041527</v>
      </c>
      <c r="AB11" s="80">
        <f t="shared" si="1"/>
        <v>8.2078859928818471E-2</v>
      </c>
      <c r="AC11" s="80">
        <f t="shared" si="2"/>
        <v>0.23195814584049096</v>
      </c>
      <c r="AD11" s="80">
        <f t="shared" si="3"/>
        <v>0.31403700576930943</v>
      </c>
      <c r="AE11" s="80">
        <f t="shared" si="4"/>
        <v>8.7852052706898442E-2</v>
      </c>
      <c r="AF11" s="128">
        <f t="shared" si="7"/>
        <v>0</v>
      </c>
      <c r="AG11" s="110">
        <f t="shared" si="8"/>
        <v>0</v>
      </c>
      <c r="AH11" s="110">
        <f t="shared" si="9"/>
        <v>0</v>
      </c>
      <c r="AI11" s="110">
        <f t="shared" si="10"/>
        <v>0</v>
      </c>
      <c r="AJ11" s="110">
        <f t="shared" si="11"/>
        <v>0</v>
      </c>
      <c r="AK11" s="110">
        <f t="shared" si="12"/>
        <v>0</v>
      </c>
      <c r="AL11" s="110">
        <f t="shared" si="13"/>
        <v>0</v>
      </c>
      <c r="AM11" s="110">
        <f t="shared" si="5"/>
        <v>0</v>
      </c>
      <c r="AN11" s="190"/>
      <c r="AP11" s="112">
        <f t="shared" si="6"/>
        <v>8.7852052706898442E-2</v>
      </c>
      <c r="AQ11" s="382">
        <f>'PDA Schedules FY 2018'!AP11</f>
        <v>9.1424403406464239E-2</v>
      </c>
    </row>
    <row r="12" spans="1:43">
      <c r="A12" s="33">
        <f>'UCC Fund Calc FY2022'!C12</f>
        <v>210004</v>
      </c>
      <c r="B12" s="33" t="str">
        <f>'UCC Fund Calc FY2022'!D12</f>
        <v>Holy Cross Hospital</v>
      </c>
      <c r="C12" s="87">
        <f>INDEX('Marcellas PDA FY 2020'!$B$7:$AE$63,MATCH($A12,'Marcellas PDA FY 2020'!$B$7:$B$63,0),MATCH(C$2,'Marcellas PDA FY 2020'!$B$7:$AE$7,0))</f>
        <v>367225.69999999995</v>
      </c>
      <c r="D12" s="87">
        <f>INDEX('Marcellas PDA FY 2020'!$B$7:$AE$63,MATCH($A12,'Marcellas PDA FY 2020'!$B$7:$B$63,0),MATCH(D$2,'Marcellas PDA FY 2020'!$B$7:$AE$7,0))</f>
        <v>145405.5</v>
      </c>
      <c r="E12" s="87">
        <f>INDEX('Marcellas PDA FY 2020'!$B$7:$AE$63,MATCH($A12,'Marcellas PDA FY 2020'!$B$7:$B$63,0),MATCH(E$2,'Marcellas PDA FY 2020'!$B$7:$AE$7,0))</f>
        <v>512631.19999999995</v>
      </c>
      <c r="F12" s="87">
        <f>INDEX('Marcellas PDA FY 2020'!$B$7:$AE$63,MATCH($A12,'Marcellas PDA FY 2020'!$B$7:$B$63,0),MATCH(F$2,'Marcellas PDA FY 2020'!$B$7:$AE$7,0))</f>
        <v>76664.308837841512</v>
      </c>
      <c r="G12" s="87">
        <f>INDEX('Marcellas PDA FY 2020'!$B$7:$AE$63,MATCH($A12,'Marcellas PDA FY 2020'!$B$7:$B$63,0),MATCH(G$2,'Marcellas PDA FY 2020'!$B$7:$AE$7,0))</f>
        <v>25728.963057305795</v>
      </c>
      <c r="H12" s="87">
        <f>INDEX('Marcellas PDA FY 2020'!$B$7:$AE$63,MATCH($A12,'Marcellas PDA FY 2020'!$B$7:$B$63,0),MATCH(H$2,'Marcellas PDA FY 2020'!$B$7:$AE$7,0))</f>
        <v>102393.27189514731</v>
      </c>
      <c r="I12" s="87">
        <f>INDEX('Marcellas PDA FY 2020'!$B$7:$AE$63,MATCH($A12,'Marcellas PDA FY 2020'!$B$7:$B$63,0),MATCH(I$2,'Marcellas PDA FY 2020'!$B$7:$AE$7,0))</f>
        <v>33533.65149585891</v>
      </c>
      <c r="J12" s="87">
        <f>INDEX('Marcellas PDA FY 2020'!$B$7:$AE$63,MATCH($A12,'Marcellas PDA FY 2020'!$B$7:$B$63,0),MATCH(J$2,'Marcellas PDA FY 2020'!$B$7:$AE$7,0))</f>
        <v>4423.1292559377007</v>
      </c>
      <c r="K12" s="87">
        <f>INDEX('Marcellas PDA FY 2020'!$B$7:$AE$63,MATCH($A12,'Marcellas PDA FY 2020'!$B$7:$B$63,0),MATCH(K$2,'Marcellas PDA FY 2020'!$B$7:$AE$7,0))</f>
        <v>37956.780751796614</v>
      </c>
      <c r="L12" s="87">
        <f>INDEX('Marcellas PDA FY 2020'!$B$7:$AE$63,MATCH($A12,'Marcellas PDA FY 2020'!$B$7:$B$63,0),MATCH(L$2,'Marcellas PDA FY 2020'!$B$7:$AE$7,0))</f>
        <v>39023.175978350424</v>
      </c>
      <c r="M12" s="87">
        <f>INDEX('Marcellas PDA FY 2020'!$B$7:$AE$63,MATCH($A12,'Marcellas PDA FY 2020'!$B$7:$B$63,0),MATCH(M$2,'Marcellas PDA FY 2020'!$B$7:$AE$7,0))</f>
        <v>18255.749766701578</v>
      </c>
      <c r="N12" s="87">
        <f>INDEX('Marcellas PDA FY 2020'!$B$7:$AE$63,MATCH($A12,'Marcellas PDA FY 2020'!$B$7:$B$63,0),MATCH(N$2,'Marcellas PDA FY 2020'!$B$7:$AE$7,0))</f>
        <v>57278.925745052002</v>
      </c>
      <c r="O12" s="87">
        <f>INDEX('Marcellas PDA FY 2020'!$B$7:$AE$63,MATCH($A12,'Marcellas PDA FY 2020'!$B$7:$B$63,0),MATCH(O$2,'Marcellas PDA FY 2020'!$B$7:$AE$7,0))</f>
        <v>119390.25272950483</v>
      </c>
      <c r="P12" s="87">
        <f>INDEX('Marcellas PDA FY 2020'!$B$7:$AE$63,MATCH($A12,'Marcellas PDA FY 2020'!$B$7:$B$63,0),MATCH(P$2,'Marcellas PDA FY 2020'!$B$7:$AE$7,0))</f>
        <v>29869.126946299028</v>
      </c>
      <c r="Q12" s="87">
        <f>INDEX('Marcellas PDA FY 2020'!$B$7:$AE$63,MATCH($A12,'Marcellas PDA FY 2020'!$B$7:$B$63,0),MATCH(Q$2,'Marcellas PDA FY 2020'!$B$7:$AE$7,0))</f>
        <v>149259.37967580385</v>
      </c>
      <c r="R12" s="87">
        <f>INDEX('Marcellas PDA FY 2020'!$B$7:$AE$63,MATCH($A12,'Marcellas PDA FY 2020'!$B$7:$B$63,0),MATCH(R$2,'Marcellas PDA FY 2020'!$B$7:$AE$7,0))</f>
        <v>4403.051840000001</v>
      </c>
      <c r="S12" s="87">
        <f>INDEX('Marcellas PDA FY 2020'!$B$7:$AE$63,MATCH($A12,'Marcellas PDA FY 2020'!$B$7:$B$63,0),MATCH(S$2,'Marcellas PDA FY 2020'!$B$7:$AE$7,0))</f>
        <v>14827.284212436683</v>
      </c>
      <c r="T12" s="87">
        <f>INDEX('Marcellas PDA FY 2020'!$B$7:$AE$63,MATCH($A12,'Marcellas PDA FY 2020'!$B$7:$B$63,0),MATCH(T$2,'Marcellas PDA FY 2020'!$B$7:$AE$7,0))</f>
        <v>25910.331057563322</v>
      </c>
      <c r="U12" s="87">
        <f>INDEX('Marcellas PDA FY 2020'!$B$7:$AE$63,MATCH($A12,'Marcellas PDA FY 2020'!$B$7:$B$63,0),MATCH(U$2,'Marcellas PDA FY 2020'!$B$7:$AE$7,0))</f>
        <v>40737.615270000009</v>
      </c>
      <c r="V12" s="87">
        <f>INDEX('Marcellas PDA FY 2020'!$B$7:$AE$63,MATCH($A12,'Marcellas PDA FY 2020'!$B$7:$B$63,0),MATCH(V$2,'Marcellas PDA FY 2020'!$B$7:$AE$7,0))</f>
        <v>83787.026746007599</v>
      </c>
      <c r="W12" s="87">
        <f>INDEX('Marcellas PDA FY 2020'!$B$7:$AE$63,MATCH($A12,'Marcellas PDA FY 2020'!$B$7:$B$63,0),MATCH(W$2,'Marcellas PDA FY 2020'!$B$7:$AE$7,0))</f>
        <v>41218.199916192563</v>
      </c>
      <c r="X12" s="87">
        <f>INDEX('Marcellas PDA FY 2020'!$B$7:$AE$63,MATCH($A12,'Marcellas PDA FY 2020'!$B$7:$B$63,0),MATCH(X$2,'Marcellas PDA FY 2020'!$B$7:$AE$7,0))</f>
        <v>125005.22666220016</v>
      </c>
      <c r="Y12" s="87">
        <f>INDEX('Marcellas PDA FY 2020'!$B$7:$AE$63,MATCH($A12,'Marcellas PDA FY 2020'!$B$7:$B$63,0),MATCH(Y$2,'Marcellas PDA FY 2020'!$B$7:$AE$7,0))</f>
        <v>401564.62488811475</v>
      </c>
      <c r="Z12" s="87">
        <f>INDEX('Marcellas PDA FY 2020'!$B$7:$AE$63,MATCH($A12,'Marcellas PDA FY 2020'!$B$7:$B$63,0),MATCH(Z$2,'Marcellas PDA FY 2020'!$B$7:$AE$7,0))</f>
        <v>461924.00345796533</v>
      </c>
      <c r="AA12" s="131">
        <f t="shared" si="0"/>
        <v>0.19974061644150282</v>
      </c>
      <c r="AB12" s="80">
        <f t="shared" si="1"/>
        <v>7.4043056200630425E-2</v>
      </c>
      <c r="AC12" s="80">
        <f t="shared" si="2"/>
        <v>0.29116327620286059</v>
      </c>
      <c r="AD12" s="80">
        <f t="shared" si="3"/>
        <v>0.36520633240349104</v>
      </c>
      <c r="AE12" s="80">
        <f t="shared" si="4"/>
        <v>7.9467686067488705E-2</v>
      </c>
      <c r="AF12" s="128">
        <f t="shared" si="7"/>
        <v>0</v>
      </c>
      <c r="AG12" s="110">
        <f t="shared" si="8"/>
        <v>0</v>
      </c>
      <c r="AH12" s="110">
        <f t="shared" si="9"/>
        <v>0</v>
      </c>
      <c r="AI12" s="110">
        <f t="shared" si="10"/>
        <v>0</v>
      </c>
      <c r="AJ12" s="110">
        <f t="shared" si="11"/>
        <v>0</v>
      </c>
      <c r="AK12" s="110">
        <f t="shared" si="12"/>
        <v>0</v>
      </c>
      <c r="AL12" s="110">
        <f t="shared" si="13"/>
        <v>0</v>
      </c>
      <c r="AM12" s="110">
        <f t="shared" si="5"/>
        <v>0</v>
      </c>
      <c r="AN12" s="190"/>
      <c r="AP12" s="112">
        <f t="shared" si="6"/>
        <v>7.9467686067488705E-2</v>
      </c>
      <c r="AQ12" s="382">
        <f>'PDA Schedules FY 2018'!AP12</f>
        <v>7.303669765697296E-2</v>
      </c>
    </row>
    <row r="13" spans="1:43">
      <c r="A13" s="33">
        <f>'UCC Fund Calc FY2022'!C13</f>
        <v>210005</v>
      </c>
      <c r="B13" s="33" t="str">
        <f>'UCC Fund Calc FY2022'!D13</f>
        <v>Frederick Memorial Hospital</v>
      </c>
      <c r="C13" s="87">
        <f>INDEX('Marcellas PDA FY 2020'!$B$7:$AE$63,MATCH($A13,'Marcellas PDA FY 2020'!$B$7:$B$63,0),MATCH(C$2,'Marcellas PDA FY 2020'!$B$7:$AE$7,0))</f>
        <v>232671.5</v>
      </c>
      <c r="D13" s="87">
        <f>INDEX('Marcellas PDA FY 2020'!$B$7:$AE$63,MATCH($A13,'Marcellas PDA FY 2020'!$B$7:$B$63,0),MATCH(D$2,'Marcellas PDA FY 2020'!$B$7:$AE$7,0))</f>
        <v>126082.70000000001</v>
      </c>
      <c r="E13" s="87">
        <f>INDEX('Marcellas PDA FY 2020'!$B$7:$AE$63,MATCH($A13,'Marcellas PDA FY 2020'!$B$7:$B$63,0),MATCH(E$2,'Marcellas PDA FY 2020'!$B$7:$AE$7,0))</f>
        <v>358754.2</v>
      </c>
      <c r="F13" s="87">
        <f>INDEX('Marcellas PDA FY 2020'!$B$7:$AE$63,MATCH($A13,'Marcellas PDA FY 2020'!$B$7:$B$63,0),MATCH(F$2,'Marcellas PDA FY 2020'!$B$7:$AE$7,0))</f>
        <v>102105.1640167178</v>
      </c>
      <c r="G13" s="87">
        <f>INDEX('Marcellas PDA FY 2020'!$B$7:$AE$63,MATCH($A13,'Marcellas PDA FY 2020'!$B$7:$B$63,0),MATCH(G$2,'Marcellas PDA FY 2020'!$B$7:$AE$7,0))</f>
        <v>39220.893312785258</v>
      </c>
      <c r="H13" s="87">
        <f>INDEX('Marcellas PDA FY 2020'!$B$7:$AE$63,MATCH($A13,'Marcellas PDA FY 2020'!$B$7:$B$63,0),MATCH(H$2,'Marcellas PDA FY 2020'!$B$7:$AE$7,0))</f>
        <v>141326.05732950306</v>
      </c>
      <c r="I13" s="87">
        <f>INDEX('Marcellas PDA FY 2020'!$B$7:$AE$63,MATCH($A13,'Marcellas PDA FY 2020'!$B$7:$B$63,0),MATCH(I$2,'Marcellas PDA FY 2020'!$B$7:$AE$7,0))</f>
        <v>6064.4116790110556</v>
      </c>
      <c r="J13" s="87">
        <f>INDEX('Marcellas PDA FY 2020'!$B$7:$AE$63,MATCH($A13,'Marcellas PDA FY 2020'!$B$7:$B$63,0),MATCH(J$2,'Marcellas PDA FY 2020'!$B$7:$AE$7,0))</f>
        <v>1559.9719874695211</v>
      </c>
      <c r="K13" s="87">
        <f>INDEX('Marcellas PDA FY 2020'!$B$7:$AE$63,MATCH($A13,'Marcellas PDA FY 2020'!$B$7:$B$63,0),MATCH(K$2,'Marcellas PDA FY 2020'!$B$7:$AE$7,0))</f>
        <v>7624.3836664805767</v>
      </c>
      <c r="L13" s="87">
        <f>INDEX('Marcellas PDA FY 2020'!$B$7:$AE$63,MATCH($A13,'Marcellas PDA FY 2020'!$B$7:$B$63,0),MATCH(L$2,'Marcellas PDA FY 2020'!$B$7:$AE$7,0))</f>
        <v>39419.780130036786</v>
      </c>
      <c r="M13" s="87">
        <f>INDEX('Marcellas PDA FY 2020'!$B$7:$AE$63,MATCH($A13,'Marcellas PDA FY 2020'!$B$7:$B$63,0),MATCH(M$2,'Marcellas PDA FY 2020'!$B$7:$AE$7,0))</f>
        <v>24744.56775646922</v>
      </c>
      <c r="N13" s="87">
        <f>INDEX('Marcellas PDA FY 2020'!$B$7:$AE$63,MATCH($A13,'Marcellas PDA FY 2020'!$B$7:$B$63,0),MATCH(N$2,'Marcellas PDA FY 2020'!$B$7:$AE$7,0))</f>
        <v>64164.347886506002</v>
      </c>
      <c r="O13" s="87">
        <f>INDEX('Marcellas PDA FY 2020'!$B$7:$AE$63,MATCH($A13,'Marcellas PDA FY 2020'!$B$7:$B$63,0),MATCH(O$2,'Marcellas PDA FY 2020'!$B$7:$AE$7,0))</f>
        <v>39675.915278484128</v>
      </c>
      <c r="P13" s="87">
        <f>INDEX('Marcellas PDA FY 2020'!$B$7:$AE$63,MATCH($A13,'Marcellas PDA FY 2020'!$B$7:$B$63,0),MATCH(P$2,'Marcellas PDA FY 2020'!$B$7:$AE$7,0))</f>
        <v>23349.663528310783</v>
      </c>
      <c r="Q13" s="87">
        <f>INDEX('Marcellas PDA FY 2020'!$B$7:$AE$63,MATCH($A13,'Marcellas PDA FY 2020'!$B$7:$B$63,0),MATCH(Q$2,'Marcellas PDA FY 2020'!$B$7:$AE$7,0))</f>
        <v>63025.578806794911</v>
      </c>
      <c r="R13" s="87">
        <f>INDEX('Marcellas PDA FY 2020'!$B$7:$AE$63,MATCH($A13,'Marcellas PDA FY 2020'!$B$7:$B$63,0),MATCH(R$2,'Marcellas PDA FY 2020'!$B$7:$AE$7,0))</f>
        <v>1925.154</v>
      </c>
      <c r="S13" s="87">
        <f>INDEX('Marcellas PDA FY 2020'!$B$7:$AE$63,MATCH($A13,'Marcellas PDA FY 2020'!$B$7:$B$63,0),MATCH(S$2,'Marcellas PDA FY 2020'!$B$7:$AE$7,0))</f>
        <v>6076.78557</v>
      </c>
      <c r="T13" s="87">
        <f>INDEX('Marcellas PDA FY 2020'!$B$7:$AE$63,MATCH($A13,'Marcellas PDA FY 2020'!$B$7:$B$63,0),MATCH(T$2,'Marcellas PDA FY 2020'!$B$7:$AE$7,0))</f>
        <v>10132.40871</v>
      </c>
      <c r="U13" s="87">
        <f>INDEX('Marcellas PDA FY 2020'!$B$7:$AE$63,MATCH($A13,'Marcellas PDA FY 2020'!$B$7:$B$63,0),MATCH(U$2,'Marcellas PDA FY 2020'!$B$7:$AE$7,0))</f>
        <v>16209.19428</v>
      </c>
      <c r="V13" s="87">
        <f>INDEX('Marcellas PDA FY 2020'!$B$7:$AE$63,MATCH($A13,'Marcellas PDA FY 2020'!$B$7:$B$63,0),MATCH(V$2,'Marcellas PDA FY 2020'!$B$7:$AE$7,0))</f>
        <v>39329.443325750231</v>
      </c>
      <c r="W13" s="87">
        <f>INDEX('Marcellas PDA FY 2020'!$B$7:$AE$63,MATCH($A13,'Marcellas PDA FY 2020'!$B$7:$B$63,0),MATCH(W$2,'Marcellas PDA FY 2020'!$B$7:$AE$7,0))</f>
        <v>27075.194704965248</v>
      </c>
      <c r="X13" s="87">
        <f>INDEX('Marcellas PDA FY 2020'!$B$7:$AE$63,MATCH($A13,'Marcellas PDA FY 2020'!$B$7:$B$63,0),MATCH(X$2,'Marcellas PDA FY 2020'!$B$7:$AE$7,0))</f>
        <v>66404.638030715476</v>
      </c>
      <c r="Y13" s="87">
        <f>INDEX('Marcellas PDA FY 2020'!$B$7:$AE$63,MATCH($A13,'Marcellas PDA FY 2020'!$B$7:$B$63,0),MATCH(Y$2,'Marcellas PDA FY 2020'!$B$7:$AE$7,0))</f>
        <v>281795.03417954262</v>
      </c>
      <c r="Z13" s="87">
        <f>INDEX('Marcellas PDA FY 2020'!$B$7:$AE$63,MATCH($A13,'Marcellas PDA FY 2020'!$B$7:$B$63,0),MATCH(Z$2,'Marcellas PDA FY 2020'!$B$7:$AE$7,0))</f>
        <v>312632.06017235073</v>
      </c>
      <c r="AA13" s="131">
        <f t="shared" si="0"/>
        <v>0.39393561756072282</v>
      </c>
      <c r="AB13" s="80">
        <f t="shared" si="1"/>
        <v>2.1252388589403488E-2</v>
      </c>
      <c r="AC13" s="80">
        <f t="shared" si="2"/>
        <v>0.17567899917769578</v>
      </c>
      <c r="AD13" s="80">
        <f t="shared" si="3"/>
        <v>0.19693138776709929</v>
      </c>
      <c r="AE13" s="80">
        <f t="shared" si="4"/>
        <v>4.5181894121378928E-2</v>
      </c>
      <c r="AF13" s="128">
        <f t="shared" si="7"/>
        <v>0</v>
      </c>
      <c r="AG13" s="110">
        <f t="shared" si="8"/>
        <v>0</v>
      </c>
      <c r="AH13" s="110">
        <f t="shared" si="9"/>
        <v>0</v>
      </c>
      <c r="AI13" s="110">
        <f t="shared" si="10"/>
        <v>0</v>
      </c>
      <c r="AJ13" s="110">
        <f t="shared" si="11"/>
        <v>0</v>
      </c>
      <c r="AK13" s="110">
        <f t="shared" si="12"/>
        <v>0</v>
      </c>
      <c r="AL13" s="110">
        <f t="shared" si="13"/>
        <v>0</v>
      </c>
      <c r="AM13" s="110">
        <f t="shared" si="5"/>
        <v>0</v>
      </c>
      <c r="AN13" s="190"/>
      <c r="AP13" s="112">
        <f t="shared" si="6"/>
        <v>4.5181894121378928E-2</v>
      </c>
      <c r="AQ13" s="382">
        <f>'PDA Schedules FY 2018'!AP13</f>
        <v>4.342057197905156E-2</v>
      </c>
    </row>
    <row r="14" spans="1:43">
      <c r="A14" s="33">
        <f>'UCC Fund Calc FY2022'!C14</f>
        <v>210006</v>
      </c>
      <c r="B14" s="33" t="str">
        <f>'UCC Fund Calc FY2022'!D14</f>
        <v>UM Harford Memorial Hospital</v>
      </c>
      <c r="C14" s="121">
        <f>INDEX('Marcellas PDA FY 2020'!$B$7:$AE$63,MATCH($A14,'Marcellas PDA FY 2020'!$B$7:$B$63,0),MATCH(C$2,'Marcellas PDA FY 2020'!$B$7:$AE$7,0))</f>
        <v>54031.936860000016</v>
      </c>
      <c r="D14" s="121">
        <f>INDEX('Marcellas PDA FY 2020'!$B$7:$AE$63,MATCH($A14,'Marcellas PDA FY 2020'!$B$7:$B$63,0),MATCH(D$2,'Marcellas PDA FY 2020'!$B$7:$AE$7,0))</f>
        <v>46279.413620000007</v>
      </c>
      <c r="E14" s="121">
        <f>INDEX('Marcellas PDA FY 2020'!$B$7:$AE$63,MATCH($A14,'Marcellas PDA FY 2020'!$B$7:$B$63,0),MATCH(E$2,'Marcellas PDA FY 2020'!$B$7:$AE$7,0))</f>
        <v>100311.35048000002</v>
      </c>
      <c r="F14" s="121">
        <f>INDEX('Marcellas PDA FY 2020'!$B$7:$AE$63,MATCH($A14,'Marcellas PDA FY 2020'!$B$7:$B$63,0),MATCH(F$2,'Marcellas PDA FY 2020'!$B$7:$AE$7,0))</f>
        <v>27194.791251423121</v>
      </c>
      <c r="G14" s="121">
        <f>INDEX('Marcellas PDA FY 2020'!$B$7:$AE$63,MATCH($A14,'Marcellas PDA FY 2020'!$B$7:$B$63,0),MATCH(G$2,'Marcellas PDA FY 2020'!$B$7:$AE$7,0))</f>
        <v>14128.103077657646</v>
      </c>
      <c r="H14" s="121">
        <f>INDEX('Marcellas PDA FY 2020'!$B$7:$AE$63,MATCH($A14,'Marcellas PDA FY 2020'!$B$7:$B$63,0),MATCH(H$2,'Marcellas PDA FY 2020'!$B$7:$AE$7,0))</f>
        <v>41322.894329080766</v>
      </c>
      <c r="I14" s="121">
        <f>INDEX('Marcellas PDA FY 2020'!$B$7:$AE$63,MATCH($A14,'Marcellas PDA FY 2020'!$B$7:$B$63,0),MATCH(I$2,'Marcellas PDA FY 2020'!$B$7:$AE$7,0))</f>
        <v>729.40866236091654</v>
      </c>
      <c r="J14" s="121">
        <f>INDEX('Marcellas PDA FY 2020'!$B$7:$AE$63,MATCH($A14,'Marcellas PDA FY 2020'!$B$7:$B$63,0),MATCH(J$2,'Marcellas PDA FY 2020'!$B$7:$AE$7,0))</f>
        <v>1468.0145848202715</v>
      </c>
      <c r="K14" s="121">
        <f>INDEX('Marcellas PDA FY 2020'!$B$7:$AE$63,MATCH($A14,'Marcellas PDA FY 2020'!$B$7:$B$63,0),MATCH(K$2,'Marcellas PDA FY 2020'!$B$7:$AE$7,0))</f>
        <v>2197.4232471811879</v>
      </c>
      <c r="L14" s="121">
        <f>INDEX('Marcellas PDA FY 2020'!$B$7:$AE$63,MATCH($A14,'Marcellas PDA FY 2020'!$B$7:$B$63,0),MATCH(L$2,'Marcellas PDA FY 2020'!$B$7:$AE$7,0))</f>
        <v>2403.6893584671275</v>
      </c>
      <c r="M14" s="121">
        <f>INDEX('Marcellas PDA FY 2020'!$B$7:$AE$63,MATCH($A14,'Marcellas PDA FY 2020'!$B$7:$B$63,0),MATCH(M$2,'Marcellas PDA FY 2020'!$B$7:$AE$7,0))</f>
        <v>4703.4764794172606</v>
      </c>
      <c r="N14" s="121">
        <f>INDEX('Marcellas PDA FY 2020'!$B$7:$AE$63,MATCH($A14,'Marcellas PDA FY 2020'!$B$7:$B$63,0),MATCH(N$2,'Marcellas PDA FY 2020'!$B$7:$AE$7,0))</f>
        <v>7107.1658378843877</v>
      </c>
      <c r="O14" s="121">
        <f>INDEX('Marcellas PDA FY 2020'!$B$7:$AE$63,MATCH($A14,'Marcellas PDA FY 2020'!$B$7:$B$63,0),MATCH(O$2,'Marcellas PDA FY 2020'!$B$7:$AE$7,0))</f>
        <v>11710.883466311245</v>
      </c>
      <c r="P14" s="121">
        <f>INDEX('Marcellas PDA FY 2020'!$B$7:$AE$63,MATCH($A14,'Marcellas PDA FY 2020'!$B$7:$B$63,0),MATCH(P$2,'Marcellas PDA FY 2020'!$B$7:$AE$7,0))</f>
        <v>10581.735105635444</v>
      </c>
      <c r="Q14" s="121">
        <f>INDEX('Marcellas PDA FY 2020'!$B$7:$AE$63,MATCH($A14,'Marcellas PDA FY 2020'!$B$7:$B$63,0),MATCH(Q$2,'Marcellas PDA FY 2020'!$B$7:$AE$7,0))</f>
        <v>22292.618571946688</v>
      </c>
      <c r="R14" s="121">
        <f>INDEX('Marcellas PDA FY 2020'!$B$7:$AE$63,MATCH($A14,'Marcellas PDA FY 2020'!$B$7:$B$63,0),MATCH(R$2,'Marcellas PDA FY 2020'!$B$7:$AE$7,0))</f>
        <v>813.89149000000111</v>
      </c>
      <c r="S14" s="121">
        <f>INDEX('Marcellas PDA FY 2020'!$B$7:$AE$63,MATCH($A14,'Marcellas PDA FY 2020'!$B$7:$B$63,0),MATCH(S$2,'Marcellas PDA FY 2020'!$B$7:$AE$7,0))</f>
        <v>3540.5029179840781</v>
      </c>
      <c r="T14" s="121">
        <f>INDEX('Marcellas PDA FY 2020'!$B$7:$AE$63,MATCH($A14,'Marcellas PDA FY 2020'!$B$7:$B$63,0),MATCH(T$2,'Marcellas PDA FY 2020'!$B$7:$AE$7,0))</f>
        <v>3032.497082015921</v>
      </c>
      <c r="U14" s="121">
        <f>INDEX('Marcellas PDA FY 2020'!$B$7:$AE$63,MATCH($A14,'Marcellas PDA FY 2020'!$B$7:$B$63,0),MATCH(U$2,'Marcellas PDA FY 2020'!$B$7:$AE$7,0))</f>
        <v>6572.9999999999991</v>
      </c>
      <c r="V14" s="121">
        <f>INDEX('Marcellas PDA FY 2020'!$B$7:$AE$63,MATCH($A14,'Marcellas PDA FY 2020'!$B$7:$B$63,0),MATCH(V$2,'Marcellas PDA FY 2020'!$B$7:$AE$7,0))</f>
        <v>8452.6612034535265</v>
      </c>
      <c r="W14" s="121">
        <f>INDEX('Marcellas PDA FY 2020'!$B$7:$AE$63,MATCH($A14,'Marcellas PDA FY 2020'!$B$7:$B$63,0),MATCH(W$2,'Marcellas PDA FY 2020'!$B$7:$AE$7,0))</f>
        <v>12365.587290453464</v>
      </c>
      <c r="X14" s="121">
        <f>INDEX('Marcellas PDA FY 2020'!$B$7:$AE$63,MATCH($A14,'Marcellas PDA FY 2020'!$B$7:$B$63,0),MATCH(X$2,'Marcellas PDA FY 2020'!$B$7:$AE$7,0))</f>
        <v>20818.248493906991</v>
      </c>
      <c r="Y14" s="121">
        <f>INDEX('Marcellas PDA FY 2020'!$B$7:$AE$63,MATCH($A14,'Marcellas PDA FY 2020'!$B$7:$B$63,0),MATCH(Y$2,'Marcellas PDA FY 2020'!$B$7:$AE$7,0))</f>
        <v>82740.597004414536</v>
      </c>
      <c r="Z14" s="121">
        <f>INDEX('Marcellas PDA FY 2020'!$B$7:$AE$63,MATCH($A14,'Marcellas PDA FY 2020'!$B$7:$B$63,0),MATCH(Z$2,'Marcellas PDA FY 2020'!$B$7:$AE$7,0))</f>
        <v>94223.59871241721</v>
      </c>
      <c r="AA14" s="131">
        <f t="shared" si="0"/>
        <v>0.41194634636406058</v>
      </c>
      <c r="AB14" s="80">
        <f t="shared" si="1"/>
        <v>2.1906027948644834E-2</v>
      </c>
      <c r="AC14" s="80">
        <f t="shared" si="2"/>
        <v>0.22223425828955787</v>
      </c>
      <c r="AD14" s="80">
        <f t="shared" si="3"/>
        <v>0.24414028623820269</v>
      </c>
      <c r="AE14" s="80">
        <f t="shared" si="4"/>
        <v>6.5525984532632892E-2</v>
      </c>
      <c r="AF14" s="128">
        <f t="shared" si="7"/>
        <v>0</v>
      </c>
      <c r="AG14" s="110">
        <f t="shared" si="8"/>
        <v>0</v>
      </c>
      <c r="AH14" s="110">
        <f t="shared" si="9"/>
        <v>0</v>
      </c>
      <c r="AI14" s="110">
        <f t="shared" si="10"/>
        <v>0</v>
      </c>
      <c r="AJ14" s="110">
        <f t="shared" si="11"/>
        <v>0</v>
      </c>
      <c r="AK14" s="110">
        <f t="shared" si="12"/>
        <v>0</v>
      </c>
      <c r="AL14" s="110">
        <f t="shared" si="13"/>
        <v>0</v>
      </c>
      <c r="AM14" s="110">
        <f t="shared" si="5"/>
        <v>0</v>
      </c>
      <c r="AN14" s="190"/>
      <c r="AP14" s="112">
        <f t="shared" si="6"/>
        <v>6.5525984532632892E-2</v>
      </c>
      <c r="AQ14" s="382">
        <f>'PDA Schedules FY 2018'!AP14</f>
        <v>6.8574257521752988E-2</v>
      </c>
    </row>
    <row r="15" spans="1:43">
      <c r="A15" s="33">
        <f>'UCC Fund Calc FY2022'!C15</f>
        <v>210008</v>
      </c>
      <c r="B15" s="33" t="str">
        <f>'UCC Fund Calc FY2022'!D15</f>
        <v>Mercy Medical Center</v>
      </c>
      <c r="C15" s="87">
        <f>INDEX('Marcellas PDA FY 2020'!$B$7:$AE$63,MATCH($A15,'Marcellas PDA FY 2020'!$B$7:$B$63,0),MATCH(C$2,'Marcellas PDA FY 2020'!$B$7:$AE$7,0))</f>
        <v>233732.19999999998</v>
      </c>
      <c r="D15" s="87">
        <f>INDEX('Marcellas PDA FY 2020'!$B$7:$AE$63,MATCH($A15,'Marcellas PDA FY 2020'!$B$7:$B$63,0),MATCH(D$2,'Marcellas PDA FY 2020'!$B$7:$AE$7,0))</f>
        <v>314957.5</v>
      </c>
      <c r="E15" s="87">
        <f>INDEX('Marcellas PDA FY 2020'!$B$7:$AE$63,MATCH($A15,'Marcellas PDA FY 2020'!$B$7:$B$63,0),MATCH(E$2,'Marcellas PDA FY 2020'!$B$7:$AE$7,0))</f>
        <v>548689.69999999995</v>
      </c>
      <c r="F15" s="87">
        <f>INDEX('Marcellas PDA FY 2020'!$B$7:$AE$63,MATCH($A15,'Marcellas PDA FY 2020'!$B$7:$B$63,0),MATCH(F$2,'Marcellas PDA FY 2020'!$B$7:$AE$7,0))</f>
        <v>89399.912051132487</v>
      </c>
      <c r="G15" s="87">
        <f>INDEX('Marcellas PDA FY 2020'!$B$7:$AE$63,MATCH($A15,'Marcellas PDA FY 2020'!$B$7:$B$63,0),MATCH(G$2,'Marcellas PDA FY 2020'!$B$7:$AE$7,0))</f>
        <v>107161.24132206153</v>
      </c>
      <c r="H15" s="87">
        <f>INDEX('Marcellas PDA FY 2020'!$B$7:$AE$63,MATCH($A15,'Marcellas PDA FY 2020'!$B$7:$B$63,0),MATCH(H$2,'Marcellas PDA FY 2020'!$B$7:$AE$7,0))</f>
        <v>196561.15337319401</v>
      </c>
      <c r="I15" s="87">
        <f>INDEX('Marcellas PDA FY 2020'!$B$7:$AE$63,MATCH($A15,'Marcellas PDA FY 2020'!$B$7:$B$63,0),MATCH(I$2,'Marcellas PDA FY 2020'!$B$7:$AE$7,0))</f>
        <v>6631.4109705251003</v>
      </c>
      <c r="J15" s="87">
        <f>INDEX('Marcellas PDA FY 2020'!$B$7:$AE$63,MATCH($A15,'Marcellas PDA FY 2020'!$B$7:$B$63,0),MATCH(J$2,'Marcellas PDA FY 2020'!$B$7:$AE$7,0))</f>
        <v>3355.0561299855117</v>
      </c>
      <c r="K15" s="87">
        <f>INDEX('Marcellas PDA FY 2020'!$B$7:$AE$63,MATCH($A15,'Marcellas PDA FY 2020'!$B$7:$B$63,0),MATCH(K$2,'Marcellas PDA FY 2020'!$B$7:$AE$7,0))</f>
        <v>9986.467100510612</v>
      </c>
      <c r="L15" s="87">
        <f>INDEX('Marcellas PDA FY 2020'!$B$7:$AE$63,MATCH($A15,'Marcellas PDA FY 2020'!$B$7:$B$63,0),MATCH(L$2,'Marcellas PDA FY 2020'!$B$7:$AE$7,0))</f>
        <v>47638.800366559306</v>
      </c>
      <c r="M15" s="87">
        <f>INDEX('Marcellas PDA FY 2020'!$B$7:$AE$63,MATCH($A15,'Marcellas PDA FY 2020'!$B$7:$B$63,0),MATCH(M$2,'Marcellas PDA FY 2020'!$B$7:$AE$7,0))</f>
        <v>89426.124637968547</v>
      </c>
      <c r="N15" s="87">
        <f>INDEX('Marcellas PDA FY 2020'!$B$7:$AE$63,MATCH($A15,'Marcellas PDA FY 2020'!$B$7:$B$63,0),MATCH(N$2,'Marcellas PDA FY 2020'!$B$7:$AE$7,0))</f>
        <v>137064.92500452785</v>
      </c>
      <c r="O15" s="87">
        <f>INDEX('Marcellas PDA FY 2020'!$B$7:$AE$63,MATCH($A15,'Marcellas PDA FY 2020'!$B$7:$B$63,0),MATCH(O$2,'Marcellas PDA FY 2020'!$B$7:$AE$7,0))</f>
        <v>53398.481114386348</v>
      </c>
      <c r="P15" s="87">
        <f>INDEX('Marcellas PDA FY 2020'!$B$7:$AE$63,MATCH($A15,'Marcellas PDA FY 2020'!$B$7:$B$63,0),MATCH(P$2,'Marcellas PDA FY 2020'!$B$7:$AE$7,0))</f>
        <v>50843.25345678239</v>
      </c>
      <c r="Q15" s="87">
        <f>INDEX('Marcellas PDA FY 2020'!$B$7:$AE$63,MATCH($A15,'Marcellas PDA FY 2020'!$B$7:$B$63,0),MATCH(Q$2,'Marcellas PDA FY 2020'!$B$7:$AE$7,0))</f>
        <v>104241.73457116874</v>
      </c>
      <c r="R15" s="87">
        <f>INDEX('Marcellas PDA FY 2020'!$B$7:$AE$63,MATCH($A15,'Marcellas PDA FY 2020'!$B$7:$B$63,0),MATCH(R$2,'Marcellas PDA FY 2020'!$B$7:$AE$7,0))</f>
        <v>10107.292399999807</v>
      </c>
      <c r="S15" s="87">
        <f>INDEX('Marcellas PDA FY 2020'!$B$7:$AE$63,MATCH($A15,'Marcellas PDA FY 2020'!$B$7:$B$63,0),MATCH(S$2,'Marcellas PDA FY 2020'!$B$7:$AE$7,0))</f>
        <v>6549.7228350000005</v>
      </c>
      <c r="T15" s="87">
        <f>INDEX('Marcellas PDA FY 2020'!$B$7:$AE$63,MATCH($A15,'Marcellas PDA FY 2020'!$B$7:$B$63,0),MATCH(T$2,'Marcellas PDA FY 2020'!$B$7:$AE$7,0))</f>
        <v>21634.942165</v>
      </c>
      <c r="U15" s="87">
        <f>INDEX('Marcellas PDA FY 2020'!$B$7:$AE$63,MATCH($A15,'Marcellas PDA FY 2020'!$B$7:$B$63,0),MATCH(U$2,'Marcellas PDA FY 2020'!$B$7:$AE$7,0))</f>
        <v>28184.665000000001</v>
      </c>
      <c r="V15" s="87">
        <f>INDEX('Marcellas PDA FY 2020'!$B$7:$AE$63,MATCH($A15,'Marcellas PDA FY 2020'!$B$7:$B$63,0),MATCH(V$2,'Marcellas PDA FY 2020'!$B$7:$AE$7,0))</f>
        <v>30113.872662396745</v>
      </c>
      <c r="W15" s="87">
        <f>INDEX('Marcellas PDA FY 2020'!$B$7:$AE$63,MATCH($A15,'Marcellas PDA FY 2020'!$B$7:$B$63,0),MATCH(W$2,'Marcellas PDA FY 2020'!$B$7:$AE$7,0))</f>
        <v>42536.882288202032</v>
      </c>
      <c r="X15" s="87">
        <f>INDEX('Marcellas PDA FY 2020'!$B$7:$AE$63,MATCH($A15,'Marcellas PDA FY 2020'!$B$7:$B$63,0),MATCH(X$2,'Marcellas PDA FY 2020'!$B$7:$AE$7,0))</f>
        <v>72650.754950598784</v>
      </c>
      <c r="Y15" s="87">
        <f>INDEX('Marcellas PDA FY 2020'!$B$7:$AE$63,MATCH($A15,'Marcellas PDA FY 2020'!$B$7:$B$63,0),MATCH(Y$2,'Marcellas PDA FY 2020'!$B$7:$AE$7,0))</f>
        <v>460448.96540215571</v>
      </c>
      <c r="Z15" s="87">
        <f>INDEX('Marcellas PDA FY 2020'!$B$7:$AE$63,MATCH($A15,'Marcellas PDA FY 2020'!$B$7:$B$63,0),MATCH(Z$2,'Marcellas PDA FY 2020'!$B$7:$AE$7,0))</f>
        <v>513583.72086208168</v>
      </c>
      <c r="AA15" s="131">
        <f t="shared" si="0"/>
        <v>0.35823736690007857</v>
      </c>
      <c r="AB15" s="80">
        <f t="shared" si="1"/>
        <v>1.8200573293995884E-2</v>
      </c>
      <c r="AC15" s="80">
        <f t="shared" si="2"/>
        <v>0.18998303516754322</v>
      </c>
      <c r="AD15" s="80">
        <f t="shared" si="3"/>
        <v>0.2081836084615391</v>
      </c>
      <c r="AE15" s="80">
        <f t="shared" si="4"/>
        <v>5.1367220853608155E-2</v>
      </c>
      <c r="AF15" s="128">
        <f t="shared" si="7"/>
        <v>0</v>
      </c>
      <c r="AG15" s="110">
        <f t="shared" si="8"/>
        <v>0</v>
      </c>
      <c r="AH15" s="110">
        <f t="shared" si="9"/>
        <v>0</v>
      </c>
      <c r="AI15" s="110">
        <f t="shared" si="10"/>
        <v>0</v>
      </c>
      <c r="AJ15" s="110">
        <f t="shared" si="11"/>
        <v>0</v>
      </c>
      <c r="AK15" s="110">
        <f t="shared" si="12"/>
        <v>0</v>
      </c>
      <c r="AL15" s="110">
        <f t="shared" si="13"/>
        <v>0</v>
      </c>
      <c r="AM15" s="110">
        <f t="shared" si="5"/>
        <v>0</v>
      </c>
      <c r="AN15" s="190"/>
      <c r="AP15" s="112">
        <f t="shared" si="6"/>
        <v>5.1367220853608155E-2</v>
      </c>
      <c r="AQ15" s="382">
        <f>'PDA Schedules FY 2018'!AP15</f>
        <v>4.4144901929282519E-2</v>
      </c>
    </row>
    <row r="16" spans="1:43">
      <c r="A16" s="33">
        <f>'UCC Fund Calc FY2022'!C16</f>
        <v>210009</v>
      </c>
      <c r="B16" s="33" t="str">
        <f>'UCC Fund Calc FY2022'!D16</f>
        <v>Johns Hopkins Hospital</v>
      </c>
      <c r="C16" s="87">
        <f>INDEX('Marcellas PDA FY 2020'!$B$7:$AE$63,MATCH($A16,'Marcellas PDA FY 2020'!$B$7:$B$63,0),MATCH(C$2,'Marcellas PDA FY 2020'!$B$7:$AE$7,0))</f>
        <v>1534574.2</v>
      </c>
      <c r="D16" s="87">
        <f>INDEX('Marcellas PDA FY 2020'!$B$7:$AE$63,MATCH($A16,'Marcellas PDA FY 2020'!$B$7:$B$63,0),MATCH(D$2,'Marcellas PDA FY 2020'!$B$7:$AE$7,0))</f>
        <v>933875.9</v>
      </c>
      <c r="E16" s="87">
        <f>INDEX('Marcellas PDA FY 2020'!$B$7:$AE$63,MATCH($A16,'Marcellas PDA FY 2020'!$B$7:$B$63,0),MATCH(E$2,'Marcellas PDA FY 2020'!$B$7:$AE$7,0))</f>
        <v>2468450.1</v>
      </c>
      <c r="F16" s="87">
        <f>INDEX('Marcellas PDA FY 2020'!$B$7:$AE$63,MATCH($A16,'Marcellas PDA FY 2020'!$B$7:$B$63,0),MATCH(F$2,'Marcellas PDA FY 2020'!$B$7:$AE$7,0))</f>
        <v>452925</v>
      </c>
      <c r="G16" s="87">
        <f>INDEX('Marcellas PDA FY 2020'!$B$7:$AE$63,MATCH($A16,'Marcellas PDA FY 2020'!$B$7:$B$63,0),MATCH(G$2,'Marcellas PDA FY 2020'!$B$7:$AE$7,0))</f>
        <v>247538</v>
      </c>
      <c r="H16" s="87">
        <f>INDEX('Marcellas PDA FY 2020'!$B$7:$AE$63,MATCH($A16,'Marcellas PDA FY 2020'!$B$7:$B$63,0),MATCH(H$2,'Marcellas PDA FY 2020'!$B$7:$AE$7,0))</f>
        <v>700463</v>
      </c>
      <c r="I16" s="87">
        <f>INDEX('Marcellas PDA FY 2020'!$B$7:$AE$63,MATCH($A16,'Marcellas PDA FY 2020'!$B$7:$B$63,0),MATCH(I$2,'Marcellas PDA FY 2020'!$B$7:$AE$7,0))</f>
        <v>104635</v>
      </c>
      <c r="J16" s="87">
        <f>INDEX('Marcellas PDA FY 2020'!$B$7:$AE$63,MATCH($A16,'Marcellas PDA FY 2020'!$B$7:$B$63,0),MATCH(J$2,'Marcellas PDA FY 2020'!$B$7:$AE$7,0))</f>
        <v>26636</v>
      </c>
      <c r="K16" s="87">
        <f>INDEX('Marcellas PDA FY 2020'!$B$7:$AE$63,MATCH($A16,'Marcellas PDA FY 2020'!$B$7:$B$63,0),MATCH(K$2,'Marcellas PDA FY 2020'!$B$7:$AE$7,0))</f>
        <v>131271</v>
      </c>
      <c r="L16" s="87">
        <f>INDEX('Marcellas PDA FY 2020'!$B$7:$AE$63,MATCH($A16,'Marcellas PDA FY 2020'!$B$7:$B$63,0),MATCH(L$2,'Marcellas PDA FY 2020'!$B$7:$AE$7,0))</f>
        <v>296275</v>
      </c>
      <c r="M16" s="87">
        <f>INDEX('Marcellas PDA FY 2020'!$B$7:$AE$63,MATCH($A16,'Marcellas PDA FY 2020'!$B$7:$B$63,0),MATCH(M$2,'Marcellas PDA FY 2020'!$B$7:$AE$7,0))</f>
        <v>228649</v>
      </c>
      <c r="N16" s="87">
        <f>INDEX('Marcellas PDA FY 2020'!$B$7:$AE$63,MATCH($A16,'Marcellas PDA FY 2020'!$B$7:$B$63,0),MATCH(N$2,'Marcellas PDA FY 2020'!$B$7:$AE$7,0))</f>
        <v>524924</v>
      </c>
      <c r="O16" s="87">
        <f>INDEX('Marcellas PDA FY 2020'!$B$7:$AE$63,MATCH($A16,'Marcellas PDA FY 2020'!$B$7:$B$63,0),MATCH(O$2,'Marcellas PDA FY 2020'!$B$7:$AE$7,0))</f>
        <v>285570.5</v>
      </c>
      <c r="P16" s="87">
        <f>INDEX('Marcellas PDA FY 2020'!$B$7:$AE$63,MATCH($A16,'Marcellas PDA FY 2020'!$B$7:$B$63,0),MATCH(P$2,'Marcellas PDA FY 2020'!$B$7:$AE$7,0))</f>
        <v>155261.79999999999</v>
      </c>
      <c r="Q16" s="87">
        <f>INDEX('Marcellas PDA FY 2020'!$B$7:$AE$63,MATCH($A16,'Marcellas PDA FY 2020'!$B$7:$B$63,0),MATCH(Q$2,'Marcellas PDA FY 2020'!$B$7:$AE$7,0))</f>
        <v>440832.3</v>
      </c>
      <c r="R16" s="87">
        <f>INDEX('Marcellas PDA FY 2020'!$B$7:$AE$63,MATCH($A16,'Marcellas PDA FY 2020'!$B$7:$B$63,0),MATCH(R$2,'Marcellas PDA FY 2020'!$B$7:$AE$7,0))</f>
        <v>12498.9</v>
      </c>
      <c r="S16" s="87">
        <f>INDEX('Marcellas PDA FY 2020'!$B$7:$AE$63,MATCH($A16,'Marcellas PDA FY 2020'!$B$7:$B$63,0),MATCH(S$2,'Marcellas PDA FY 2020'!$B$7:$AE$7,0))</f>
        <v>28924.5</v>
      </c>
      <c r="T16" s="87">
        <f>INDEX('Marcellas PDA FY 2020'!$B$7:$AE$63,MATCH($A16,'Marcellas PDA FY 2020'!$B$7:$B$63,0),MATCH(T$2,'Marcellas PDA FY 2020'!$B$7:$AE$7,0))</f>
        <v>46111.3</v>
      </c>
      <c r="U16" s="87">
        <f>INDEX('Marcellas PDA FY 2020'!$B$7:$AE$63,MATCH($A16,'Marcellas PDA FY 2020'!$B$7:$B$63,0),MATCH(U$2,'Marcellas PDA FY 2020'!$B$7:$AE$7,0))</f>
        <v>75035.8</v>
      </c>
      <c r="V16" s="87">
        <f>INDEX('Marcellas PDA FY 2020'!$B$7:$AE$63,MATCH($A16,'Marcellas PDA FY 2020'!$B$7:$B$63,0),MATCH(V$2,'Marcellas PDA FY 2020'!$B$7:$AE$7,0))</f>
        <v>366244.19999999995</v>
      </c>
      <c r="W16" s="87">
        <f>INDEX('Marcellas PDA FY 2020'!$B$7:$AE$63,MATCH($A16,'Marcellas PDA FY 2020'!$B$7:$B$63,0),MATCH(W$2,'Marcellas PDA FY 2020'!$B$7:$AE$7,0))</f>
        <v>229679.80000000005</v>
      </c>
      <c r="X16" s="87">
        <f>INDEX('Marcellas PDA FY 2020'!$B$7:$AE$63,MATCH($A16,'Marcellas PDA FY 2020'!$B$7:$B$63,0),MATCH(X$2,'Marcellas PDA FY 2020'!$B$7:$AE$7,0))</f>
        <v>595924</v>
      </c>
      <c r="Y16" s="87">
        <f>INDEX('Marcellas PDA FY 2020'!$B$7:$AE$63,MATCH($A16,'Marcellas PDA FY 2020'!$B$7:$B$63,0),MATCH(Y$2,'Marcellas PDA FY 2020'!$B$7:$AE$7,0))</f>
        <v>2159720.854697316</v>
      </c>
      <c r="Z16" s="87">
        <f>INDEX('Marcellas PDA FY 2020'!$B$7:$AE$63,MATCH($A16,'Marcellas PDA FY 2020'!$B$7:$B$63,0),MATCH(Z$2,'Marcellas PDA FY 2020'!$B$7:$AE$7,0))</f>
        <v>2347205.0300772516</v>
      </c>
      <c r="AA16" s="131">
        <f t="shared" si="0"/>
        <v>0.28376631960273369</v>
      </c>
      <c r="AB16" s="80">
        <f t="shared" si="1"/>
        <v>5.3179523458869997E-2</v>
      </c>
      <c r="AC16" s="80">
        <f t="shared" si="2"/>
        <v>0.17858667671669765</v>
      </c>
      <c r="AD16" s="80">
        <f t="shared" si="3"/>
        <v>0.23176620017556768</v>
      </c>
      <c r="AE16" s="80">
        <f t="shared" si="4"/>
        <v>3.0397940796939749E-2</v>
      </c>
      <c r="AF16" s="128">
        <f t="shared" si="7"/>
        <v>0</v>
      </c>
      <c r="AG16" s="110">
        <f t="shared" si="8"/>
        <v>0</v>
      </c>
      <c r="AH16" s="110">
        <f t="shared" si="9"/>
        <v>0</v>
      </c>
      <c r="AI16" s="110">
        <f t="shared" si="10"/>
        <v>0</v>
      </c>
      <c r="AJ16" s="110">
        <f t="shared" si="11"/>
        <v>0</v>
      </c>
      <c r="AK16" s="110">
        <f t="shared" si="12"/>
        <v>0</v>
      </c>
      <c r="AL16" s="110">
        <f t="shared" si="13"/>
        <v>0</v>
      </c>
      <c r="AM16" s="110">
        <f t="shared" si="5"/>
        <v>0</v>
      </c>
      <c r="AN16" s="190"/>
      <c r="AP16" s="112">
        <f t="shared" si="6"/>
        <v>3.0397940796939749E-2</v>
      </c>
      <c r="AQ16" s="382">
        <f>'PDA Schedules FY 2018'!AP16</f>
        <v>2.4723568013642162E-2</v>
      </c>
    </row>
    <row r="17" spans="1:43">
      <c r="A17" s="33">
        <f>'UCC Fund Calc FY2022'!C17</f>
        <v>210010</v>
      </c>
      <c r="B17" s="33" t="str">
        <f>'UCC Fund Calc FY2022'!D17</f>
        <v>UM Shore Medical Center at Dorchester</v>
      </c>
      <c r="C17" s="87">
        <f>INDEX('Marcellas PDA FY 2020'!$B$7:$AE$63,MATCH($A17,'Marcellas PDA FY 2020'!$B$7:$B$63,0),MATCH(C$2,'Marcellas PDA FY 2020'!$B$7:$AE$7,0))</f>
        <v>16205.622779999994</v>
      </c>
      <c r="D17" s="87">
        <f>INDEX('Marcellas PDA FY 2020'!$B$7:$AE$63,MATCH($A17,'Marcellas PDA FY 2020'!$B$7:$B$63,0),MATCH(D$2,'Marcellas PDA FY 2020'!$B$7:$AE$7,0))</f>
        <v>22389.18486999999</v>
      </c>
      <c r="E17" s="87">
        <f>INDEX('Marcellas PDA FY 2020'!$B$7:$AE$63,MATCH($A17,'Marcellas PDA FY 2020'!$B$7:$B$63,0),MATCH(E$2,'Marcellas PDA FY 2020'!$B$7:$AE$7,0))</f>
        <v>38594.807649999988</v>
      </c>
      <c r="F17" s="87">
        <f>INDEX('Marcellas PDA FY 2020'!$B$7:$AE$63,MATCH($A17,'Marcellas PDA FY 2020'!$B$7:$B$63,0),MATCH(F$2,'Marcellas PDA FY 2020'!$B$7:$AE$7,0))</f>
        <v>8697.0579204756777</v>
      </c>
      <c r="G17" s="87">
        <f>INDEX('Marcellas PDA FY 2020'!$B$7:$AE$63,MATCH($A17,'Marcellas PDA FY 2020'!$B$7:$B$63,0),MATCH(G$2,'Marcellas PDA FY 2020'!$B$7:$AE$7,0))</f>
        <v>8004.9385995430493</v>
      </c>
      <c r="H17" s="87">
        <f>INDEX('Marcellas PDA FY 2020'!$B$7:$AE$63,MATCH($A17,'Marcellas PDA FY 2020'!$B$7:$B$63,0),MATCH(H$2,'Marcellas PDA FY 2020'!$B$7:$AE$7,0))</f>
        <v>16701.996520018729</v>
      </c>
      <c r="I17" s="87">
        <f>INDEX('Marcellas PDA FY 2020'!$B$7:$AE$63,MATCH($A17,'Marcellas PDA FY 2020'!$B$7:$B$63,0),MATCH(I$2,'Marcellas PDA FY 2020'!$B$7:$AE$7,0))</f>
        <v>303.9224360401123</v>
      </c>
      <c r="J17" s="87">
        <f>INDEX('Marcellas PDA FY 2020'!$B$7:$AE$63,MATCH($A17,'Marcellas PDA FY 2020'!$B$7:$B$63,0),MATCH(J$2,'Marcellas PDA FY 2020'!$B$7:$AE$7,0))</f>
        <v>1384.2757695880869</v>
      </c>
      <c r="K17" s="87">
        <f>INDEX('Marcellas PDA FY 2020'!$B$7:$AE$63,MATCH($A17,'Marcellas PDA FY 2020'!$B$7:$B$63,0),MATCH(K$2,'Marcellas PDA FY 2020'!$B$7:$AE$7,0))</f>
        <v>1688.198205628199</v>
      </c>
      <c r="L17" s="87">
        <f>INDEX('Marcellas PDA FY 2020'!$B$7:$AE$63,MATCH($A17,'Marcellas PDA FY 2020'!$B$7:$B$63,0),MATCH(L$2,'Marcellas PDA FY 2020'!$B$7:$AE$7,0))</f>
        <v>456.56142570796305</v>
      </c>
      <c r="M17" s="87">
        <f>INDEX('Marcellas PDA FY 2020'!$B$7:$AE$63,MATCH($A17,'Marcellas PDA FY 2020'!$B$7:$B$63,0),MATCH(M$2,'Marcellas PDA FY 2020'!$B$7:$AE$7,0))</f>
        <v>1538.6347103283101</v>
      </c>
      <c r="N17" s="87">
        <f>INDEX('Marcellas PDA FY 2020'!$B$7:$AE$63,MATCH($A17,'Marcellas PDA FY 2020'!$B$7:$B$63,0),MATCH(N$2,'Marcellas PDA FY 2020'!$B$7:$AE$7,0))</f>
        <v>1995.1961360362732</v>
      </c>
      <c r="O17" s="87">
        <f>INDEX('Marcellas PDA FY 2020'!$B$7:$AE$63,MATCH($A17,'Marcellas PDA FY 2020'!$B$7:$B$63,0),MATCH(O$2,'Marcellas PDA FY 2020'!$B$7:$AE$7,0))</f>
        <v>4762.9214429880676</v>
      </c>
      <c r="P17" s="87">
        <f>INDEX('Marcellas PDA FY 2020'!$B$7:$AE$63,MATCH($A17,'Marcellas PDA FY 2020'!$B$7:$B$63,0),MATCH(P$2,'Marcellas PDA FY 2020'!$B$7:$AE$7,0))</f>
        <v>7306.6207868116735</v>
      </c>
      <c r="Q17" s="87">
        <f>INDEX('Marcellas PDA FY 2020'!$B$7:$AE$63,MATCH($A17,'Marcellas PDA FY 2020'!$B$7:$B$63,0),MATCH(Q$2,'Marcellas PDA FY 2020'!$B$7:$AE$7,0))</f>
        <v>12069.542229799741</v>
      </c>
      <c r="R17" s="87">
        <f>INDEX('Marcellas PDA FY 2020'!$B$7:$AE$63,MATCH($A17,'Marcellas PDA FY 2020'!$B$7:$B$63,0),MATCH(R$2,'Marcellas PDA FY 2020'!$B$7:$AE$7,0))</f>
        <v>503.45223999999882</v>
      </c>
      <c r="S17" s="87">
        <f>INDEX('Marcellas PDA FY 2020'!$B$7:$AE$63,MATCH($A17,'Marcellas PDA FY 2020'!$B$7:$B$63,0),MATCH(S$2,'Marcellas PDA FY 2020'!$B$7:$AE$7,0))</f>
        <v>991.54941305912871</v>
      </c>
      <c r="T17" s="87">
        <f>INDEX('Marcellas PDA FY 2020'!$B$7:$AE$63,MATCH($A17,'Marcellas PDA FY 2020'!$B$7:$B$63,0),MATCH(T$2,'Marcellas PDA FY 2020'!$B$7:$AE$7,0))</f>
        <v>1369.893858329141</v>
      </c>
      <c r="U17" s="87">
        <f>INDEX('Marcellas PDA FY 2020'!$B$7:$AE$63,MATCH($A17,'Marcellas PDA FY 2020'!$B$7:$B$63,0),MATCH(U$2,'Marcellas PDA FY 2020'!$B$7:$AE$7,0))</f>
        <v>2361.4432713882697</v>
      </c>
      <c r="V17" s="87">
        <f>INDEX('Marcellas PDA FY 2020'!$B$7:$AE$63,MATCH($A17,'Marcellas PDA FY 2020'!$B$7:$B$63,0),MATCH(V$2,'Marcellas PDA FY 2020'!$B$7:$AE$7,0))</f>
        <v>993.6101417290447</v>
      </c>
      <c r="W17" s="87">
        <f>INDEX('Marcellas PDA FY 2020'!$B$7:$AE$63,MATCH($A17,'Marcellas PDA FY 2020'!$B$7:$B$63,0),MATCH(W$2,'Marcellas PDA FY 2020'!$B$7:$AE$7,0))</f>
        <v>2784.8211453997301</v>
      </c>
      <c r="X17" s="87">
        <f>INDEX('Marcellas PDA FY 2020'!$B$7:$AE$63,MATCH($A17,'Marcellas PDA FY 2020'!$B$7:$B$63,0),MATCH(X$2,'Marcellas PDA FY 2020'!$B$7:$AE$7,0))</f>
        <v>3778.4312871287748</v>
      </c>
      <c r="Y17" s="87">
        <f>INDEX('Marcellas PDA FY 2020'!$B$7:$AE$63,MATCH($A17,'Marcellas PDA FY 2020'!$B$7:$B$63,0),MATCH(Y$2,'Marcellas PDA FY 2020'!$B$7:$AE$7,0))</f>
        <v>26425.171679466872</v>
      </c>
      <c r="Z17" s="87">
        <f>INDEX('Marcellas PDA FY 2020'!$B$7:$AE$63,MATCH($A17,'Marcellas PDA FY 2020'!$B$7:$B$63,0),MATCH(Z$2,'Marcellas PDA FY 2020'!$B$7:$AE$7,0))</f>
        <v>30209.842639428949</v>
      </c>
      <c r="AA17" s="131">
        <f t="shared" si="0"/>
        <v>0.43275242285133486</v>
      </c>
      <c r="AB17" s="80">
        <f t="shared" si="1"/>
        <v>4.3741588789294031E-2</v>
      </c>
      <c r="AC17" s="80">
        <f t="shared" si="2"/>
        <v>0.31272450789892059</v>
      </c>
      <c r="AD17" s="80">
        <f t="shared" si="3"/>
        <v>0.35646609668821461</v>
      </c>
      <c r="AE17" s="80">
        <f t="shared" si="4"/>
        <v>6.1185517305934044E-2</v>
      </c>
      <c r="AF17" s="128">
        <f t="shared" si="7"/>
        <v>0</v>
      </c>
      <c r="AG17" s="110">
        <f t="shared" si="8"/>
        <v>0</v>
      </c>
      <c r="AH17" s="110">
        <f t="shared" si="9"/>
        <v>0</v>
      </c>
      <c r="AI17" s="110">
        <f t="shared" si="10"/>
        <v>0</v>
      </c>
      <c r="AJ17" s="110">
        <f t="shared" si="11"/>
        <v>0</v>
      </c>
      <c r="AK17" s="110">
        <f t="shared" si="12"/>
        <v>0</v>
      </c>
      <c r="AL17" s="110">
        <f t="shared" si="13"/>
        <v>0</v>
      </c>
      <c r="AM17" s="110">
        <f t="shared" si="5"/>
        <v>0</v>
      </c>
      <c r="AN17" s="190"/>
      <c r="AP17" s="112">
        <f t="shared" si="6"/>
        <v>6.1185517305934044E-2</v>
      </c>
      <c r="AQ17" s="382">
        <f>'PDA Schedules FY 2018'!AP17</f>
        <v>5.5996647125895999E-2</v>
      </c>
    </row>
    <row r="18" spans="1:43">
      <c r="A18" s="33">
        <f>'UCC Fund Calc FY2022'!C18</f>
        <v>210011</v>
      </c>
      <c r="B18" s="33" t="str">
        <f>'UCC Fund Calc FY2022'!D18</f>
        <v>Saint Agnes Hospital</v>
      </c>
      <c r="C18" s="87">
        <f>INDEX('Marcellas PDA FY 2020'!$B$7:$AE$63,MATCH($A18,'Marcellas PDA FY 2020'!$B$7:$B$63,0),MATCH(C$2,'Marcellas PDA FY 2020'!$B$7:$AE$7,0))</f>
        <v>235587.8</v>
      </c>
      <c r="D18" s="87">
        <f>INDEX('Marcellas PDA FY 2020'!$B$7:$AE$63,MATCH($A18,'Marcellas PDA FY 2020'!$B$7:$B$63,0),MATCH(D$2,'Marcellas PDA FY 2020'!$B$7:$AE$7,0))</f>
        <v>184557.6</v>
      </c>
      <c r="E18" s="87">
        <f>INDEX('Marcellas PDA FY 2020'!$B$7:$AE$63,MATCH($A18,'Marcellas PDA FY 2020'!$B$7:$B$63,0),MATCH(E$2,'Marcellas PDA FY 2020'!$B$7:$AE$7,0))</f>
        <v>420145.4</v>
      </c>
      <c r="F18" s="87">
        <f>INDEX('Marcellas PDA FY 2020'!$B$7:$AE$63,MATCH($A18,'Marcellas PDA FY 2020'!$B$7:$B$63,0),MATCH(F$2,'Marcellas PDA FY 2020'!$B$7:$AE$7,0))</f>
        <v>99238.5</v>
      </c>
      <c r="G18" s="87">
        <f>INDEX('Marcellas PDA FY 2020'!$B$7:$AE$63,MATCH($A18,'Marcellas PDA FY 2020'!$B$7:$B$63,0),MATCH(G$2,'Marcellas PDA FY 2020'!$B$7:$AE$7,0))</f>
        <v>57169.4</v>
      </c>
      <c r="H18" s="87">
        <f>INDEX('Marcellas PDA FY 2020'!$B$7:$AE$63,MATCH($A18,'Marcellas PDA FY 2020'!$B$7:$B$63,0),MATCH(H$2,'Marcellas PDA FY 2020'!$B$7:$AE$7,0))</f>
        <v>156407.9</v>
      </c>
      <c r="I18" s="87">
        <f>INDEX('Marcellas PDA FY 2020'!$B$7:$AE$63,MATCH($A18,'Marcellas PDA FY 2020'!$B$7:$B$63,0),MATCH(I$2,'Marcellas PDA FY 2020'!$B$7:$AE$7,0))</f>
        <v>18254.900000000001</v>
      </c>
      <c r="J18" s="87">
        <f>INDEX('Marcellas PDA FY 2020'!$B$7:$AE$63,MATCH($A18,'Marcellas PDA FY 2020'!$B$7:$B$63,0),MATCH(J$2,'Marcellas PDA FY 2020'!$B$7:$AE$7,0))</f>
        <v>5217.8999999999996</v>
      </c>
      <c r="K18" s="87">
        <f>INDEX('Marcellas PDA FY 2020'!$B$7:$AE$63,MATCH($A18,'Marcellas PDA FY 2020'!$B$7:$B$63,0),MATCH(K$2,'Marcellas PDA FY 2020'!$B$7:$AE$7,0))</f>
        <v>23472.800000000003</v>
      </c>
      <c r="L18" s="87">
        <f>INDEX('Marcellas PDA FY 2020'!$B$7:$AE$63,MATCH($A18,'Marcellas PDA FY 2020'!$B$7:$B$63,0),MATCH(L$2,'Marcellas PDA FY 2020'!$B$7:$AE$7,0))</f>
        <v>20936.099999999999</v>
      </c>
      <c r="M18" s="87">
        <f>INDEX('Marcellas PDA FY 2020'!$B$7:$AE$63,MATCH($A18,'Marcellas PDA FY 2020'!$B$7:$B$63,0),MATCH(M$2,'Marcellas PDA FY 2020'!$B$7:$AE$7,0))</f>
        <v>27002.5</v>
      </c>
      <c r="N18" s="87">
        <f>INDEX('Marcellas PDA FY 2020'!$B$7:$AE$63,MATCH($A18,'Marcellas PDA FY 2020'!$B$7:$B$63,0),MATCH(N$2,'Marcellas PDA FY 2020'!$B$7:$AE$7,0))</f>
        <v>47938.6</v>
      </c>
      <c r="O18" s="87">
        <f>INDEX('Marcellas PDA FY 2020'!$B$7:$AE$63,MATCH($A18,'Marcellas PDA FY 2020'!$B$7:$B$63,0),MATCH(O$2,'Marcellas PDA FY 2020'!$B$7:$AE$7,0))</f>
        <v>68278.7</v>
      </c>
      <c r="P18" s="87">
        <f>INDEX('Marcellas PDA FY 2020'!$B$7:$AE$63,MATCH($A18,'Marcellas PDA FY 2020'!$B$7:$B$63,0),MATCH(P$2,'Marcellas PDA FY 2020'!$B$7:$AE$7,0))</f>
        <v>50096.7</v>
      </c>
      <c r="Q18" s="87">
        <f>INDEX('Marcellas PDA FY 2020'!$B$7:$AE$63,MATCH($A18,'Marcellas PDA FY 2020'!$B$7:$B$63,0),MATCH(Q$2,'Marcellas PDA FY 2020'!$B$7:$AE$7,0))</f>
        <v>118375.4</v>
      </c>
      <c r="R18" s="87">
        <f>INDEX('Marcellas PDA FY 2020'!$B$7:$AE$63,MATCH($A18,'Marcellas PDA FY 2020'!$B$7:$B$63,0),MATCH(R$2,'Marcellas PDA FY 2020'!$B$7:$AE$7,0))</f>
        <v>8672.9</v>
      </c>
      <c r="S18" s="87">
        <f>INDEX('Marcellas PDA FY 2020'!$B$7:$AE$63,MATCH($A18,'Marcellas PDA FY 2020'!$B$7:$B$63,0),MATCH(S$2,'Marcellas PDA FY 2020'!$B$7:$AE$7,0))</f>
        <v>6307.8</v>
      </c>
      <c r="T18" s="87">
        <f>INDEX('Marcellas PDA FY 2020'!$B$7:$AE$63,MATCH($A18,'Marcellas PDA FY 2020'!$B$7:$B$63,0),MATCH(T$2,'Marcellas PDA FY 2020'!$B$7:$AE$7,0))</f>
        <v>16348.5</v>
      </c>
      <c r="U18" s="87">
        <f>INDEX('Marcellas PDA FY 2020'!$B$7:$AE$63,MATCH($A18,'Marcellas PDA FY 2020'!$B$7:$B$63,0),MATCH(U$2,'Marcellas PDA FY 2020'!$B$7:$AE$7,0))</f>
        <v>22656.3</v>
      </c>
      <c r="V18" s="87">
        <f>INDEX('Marcellas PDA FY 2020'!$B$7:$AE$63,MATCH($A18,'Marcellas PDA FY 2020'!$B$7:$B$63,0),MATCH(V$2,'Marcellas PDA FY 2020'!$B$7:$AE$7,0))</f>
        <v>22571.799999999992</v>
      </c>
      <c r="W18" s="87">
        <f>INDEX('Marcellas PDA FY 2020'!$B$7:$AE$63,MATCH($A18,'Marcellas PDA FY 2020'!$B$7:$B$63,0),MATCH(W$2,'Marcellas PDA FY 2020'!$B$7:$AE$7,0))</f>
        <v>28722.60000000002</v>
      </c>
      <c r="X18" s="87">
        <f>INDEX('Marcellas PDA FY 2020'!$B$7:$AE$63,MATCH($A18,'Marcellas PDA FY 2020'!$B$7:$B$63,0),MATCH(X$2,'Marcellas PDA FY 2020'!$B$7:$AE$7,0))</f>
        <v>51294.400000000009</v>
      </c>
      <c r="Y18" s="87">
        <f>INDEX('Marcellas PDA FY 2020'!$B$7:$AE$63,MATCH($A18,'Marcellas PDA FY 2020'!$B$7:$B$63,0),MATCH(Y$2,'Marcellas PDA FY 2020'!$B$7:$AE$7,0))</f>
        <v>331573.54513809772</v>
      </c>
      <c r="Z18" s="87">
        <f>INDEX('Marcellas PDA FY 2020'!$B$7:$AE$63,MATCH($A18,'Marcellas PDA FY 2020'!$B$7:$B$63,0),MATCH(Z$2,'Marcellas PDA FY 2020'!$B$7:$AE$7,0))</f>
        <v>374210.99638139544</v>
      </c>
      <c r="AA18" s="131">
        <f t="shared" si="0"/>
        <v>0.37227088526971852</v>
      </c>
      <c r="AB18" s="80">
        <f t="shared" si="1"/>
        <v>5.5868277981860566E-2</v>
      </c>
      <c r="AC18" s="80">
        <f t="shared" si="2"/>
        <v>0.28174865177626601</v>
      </c>
      <c r="AD18" s="80">
        <f t="shared" si="3"/>
        <v>0.33761692975812663</v>
      </c>
      <c r="AE18" s="80">
        <f t="shared" si="4"/>
        <v>5.3924903140674628E-2</v>
      </c>
      <c r="AF18" s="128">
        <f t="shared" si="7"/>
        <v>0</v>
      </c>
      <c r="AG18" s="110">
        <f t="shared" si="8"/>
        <v>0</v>
      </c>
      <c r="AH18" s="110">
        <f t="shared" si="9"/>
        <v>0</v>
      </c>
      <c r="AI18" s="110">
        <f t="shared" si="10"/>
        <v>0</v>
      </c>
      <c r="AJ18" s="110">
        <f t="shared" si="11"/>
        <v>0</v>
      </c>
      <c r="AK18" s="110">
        <f t="shared" si="12"/>
        <v>0</v>
      </c>
      <c r="AL18" s="110">
        <f t="shared" si="13"/>
        <v>0</v>
      </c>
      <c r="AM18" s="110">
        <f t="shared" si="5"/>
        <v>0</v>
      </c>
      <c r="AN18" s="190"/>
      <c r="AP18" s="112">
        <f t="shared" si="6"/>
        <v>5.3924903140674628E-2</v>
      </c>
      <c r="AQ18" s="382">
        <f>'PDA Schedules FY 2018'!AP18</f>
        <v>5.028191510337799E-2</v>
      </c>
    </row>
    <row r="19" spans="1:43">
      <c r="A19" s="33">
        <f>'UCC Fund Calc FY2022'!C19</f>
        <v>210012</v>
      </c>
      <c r="B19" s="33" t="str">
        <f>'UCC Fund Calc FY2022'!D19</f>
        <v>Sinai Hospital of Baltimore</v>
      </c>
      <c r="C19" s="87">
        <f>INDEX('Marcellas PDA FY 2020'!$B$7:$AE$63,MATCH($A19,'Marcellas PDA FY 2020'!$B$7:$B$63,0),MATCH(C$2,'Marcellas PDA FY 2020'!$B$7:$AE$7,0))</f>
        <v>458859</v>
      </c>
      <c r="D19" s="87">
        <f>INDEX('Marcellas PDA FY 2020'!$B$7:$AE$63,MATCH($A19,'Marcellas PDA FY 2020'!$B$7:$B$63,0),MATCH(D$2,'Marcellas PDA FY 2020'!$B$7:$AE$7,0))</f>
        <v>365534.7</v>
      </c>
      <c r="E19" s="87">
        <f>INDEX('Marcellas PDA FY 2020'!$B$7:$AE$63,MATCH($A19,'Marcellas PDA FY 2020'!$B$7:$B$63,0),MATCH(E$2,'Marcellas PDA FY 2020'!$B$7:$AE$7,0))</f>
        <v>824393.7</v>
      </c>
      <c r="F19" s="87">
        <f>INDEX('Marcellas PDA FY 2020'!$B$7:$AE$63,MATCH($A19,'Marcellas PDA FY 2020'!$B$7:$B$63,0),MATCH(F$2,'Marcellas PDA FY 2020'!$B$7:$AE$7,0))</f>
        <v>204910.7</v>
      </c>
      <c r="G19" s="87">
        <f>INDEX('Marcellas PDA FY 2020'!$B$7:$AE$63,MATCH($A19,'Marcellas PDA FY 2020'!$B$7:$B$63,0),MATCH(G$2,'Marcellas PDA FY 2020'!$B$7:$AE$7,0))</f>
        <v>125729.5</v>
      </c>
      <c r="H19" s="87">
        <f>INDEX('Marcellas PDA FY 2020'!$B$7:$AE$63,MATCH($A19,'Marcellas PDA FY 2020'!$B$7:$B$63,0),MATCH(H$2,'Marcellas PDA FY 2020'!$B$7:$AE$7,0))</f>
        <v>330640.2</v>
      </c>
      <c r="I19" s="87">
        <f>INDEX('Marcellas PDA FY 2020'!$B$7:$AE$63,MATCH($A19,'Marcellas PDA FY 2020'!$B$7:$B$63,0),MATCH(I$2,'Marcellas PDA FY 2020'!$B$7:$AE$7,0))</f>
        <v>28954</v>
      </c>
      <c r="J19" s="87">
        <f>INDEX('Marcellas PDA FY 2020'!$B$7:$AE$63,MATCH($A19,'Marcellas PDA FY 2020'!$B$7:$B$63,0),MATCH(J$2,'Marcellas PDA FY 2020'!$B$7:$AE$7,0))</f>
        <v>6371.3</v>
      </c>
      <c r="K19" s="87">
        <f>INDEX('Marcellas PDA FY 2020'!$B$7:$AE$63,MATCH($A19,'Marcellas PDA FY 2020'!$B$7:$B$63,0),MATCH(K$2,'Marcellas PDA FY 2020'!$B$7:$AE$7,0))</f>
        <v>35325.300000000003</v>
      </c>
      <c r="L19" s="87">
        <f>INDEX('Marcellas PDA FY 2020'!$B$7:$AE$63,MATCH($A19,'Marcellas PDA FY 2020'!$B$7:$B$63,0),MATCH(L$2,'Marcellas PDA FY 2020'!$B$7:$AE$7,0))</f>
        <v>44544.3</v>
      </c>
      <c r="M19" s="87">
        <f>INDEX('Marcellas PDA FY 2020'!$B$7:$AE$63,MATCH($A19,'Marcellas PDA FY 2020'!$B$7:$B$63,0),MATCH(M$2,'Marcellas PDA FY 2020'!$B$7:$AE$7,0))</f>
        <v>55537</v>
      </c>
      <c r="N19" s="87">
        <f>INDEX('Marcellas PDA FY 2020'!$B$7:$AE$63,MATCH($A19,'Marcellas PDA FY 2020'!$B$7:$B$63,0),MATCH(N$2,'Marcellas PDA FY 2020'!$B$7:$AE$7,0))</f>
        <v>100081.3</v>
      </c>
      <c r="O19" s="87">
        <f>INDEX('Marcellas PDA FY 2020'!$B$7:$AE$63,MATCH($A19,'Marcellas PDA FY 2020'!$B$7:$B$63,0),MATCH(O$2,'Marcellas PDA FY 2020'!$B$7:$AE$7,0))</f>
        <v>114462.3</v>
      </c>
      <c r="P19" s="87">
        <f>INDEX('Marcellas PDA FY 2020'!$B$7:$AE$63,MATCH($A19,'Marcellas PDA FY 2020'!$B$7:$B$63,0),MATCH(P$2,'Marcellas PDA FY 2020'!$B$7:$AE$7,0))</f>
        <v>94224.7</v>
      </c>
      <c r="Q19" s="87">
        <f>INDEX('Marcellas PDA FY 2020'!$B$7:$AE$63,MATCH($A19,'Marcellas PDA FY 2020'!$B$7:$B$63,0),MATCH(Q$2,'Marcellas PDA FY 2020'!$B$7:$AE$7,0))</f>
        <v>208687</v>
      </c>
      <c r="R19" s="87">
        <f>INDEX('Marcellas PDA FY 2020'!$B$7:$AE$63,MATCH($A19,'Marcellas PDA FY 2020'!$B$7:$B$63,0),MATCH(R$2,'Marcellas PDA FY 2020'!$B$7:$AE$7,0))</f>
        <v>0</v>
      </c>
      <c r="S19" s="87">
        <f>INDEX('Marcellas PDA FY 2020'!$B$7:$AE$63,MATCH($A19,'Marcellas PDA FY 2020'!$B$7:$B$63,0),MATCH(S$2,'Marcellas PDA FY 2020'!$B$7:$AE$7,0))</f>
        <v>10722.699999999999</v>
      </c>
      <c r="T19" s="87">
        <f>INDEX('Marcellas PDA FY 2020'!$B$7:$AE$63,MATCH($A19,'Marcellas PDA FY 2020'!$B$7:$B$63,0),MATCH(T$2,'Marcellas PDA FY 2020'!$B$7:$AE$7,0))</f>
        <v>23214.3</v>
      </c>
      <c r="U19" s="87">
        <f>INDEX('Marcellas PDA FY 2020'!$B$7:$AE$63,MATCH($A19,'Marcellas PDA FY 2020'!$B$7:$B$63,0),MATCH(U$2,'Marcellas PDA FY 2020'!$B$7:$AE$7,0))</f>
        <v>33937</v>
      </c>
      <c r="V19" s="87">
        <f>INDEX('Marcellas PDA FY 2020'!$B$7:$AE$63,MATCH($A19,'Marcellas PDA FY 2020'!$B$7:$B$63,0),MATCH(V$2,'Marcellas PDA FY 2020'!$B$7:$AE$7,0))</f>
        <v>55265</v>
      </c>
      <c r="W19" s="87">
        <f>INDEX('Marcellas PDA FY 2020'!$B$7:$AE$63,MATCH($A19,'Marcellas PDA FY 2020'!$B$7:$B$63,0),MATCH(W$2,'Marcellas PDA FY 2020'!$B$7:$AE$7,0))</f>
        <v>60457.900000000023</v>
      </c>
      <c r="X19" s="87">
        <f>INDEX('Marcellas PDA FY 2020'!$B$7:$AE$63,MATCH($A19,'Marcellas PDA FY 2020'!$B$7:$B$63,0),MATCH(X$2,'Marcellas PDA FY 2020'!$B$7:$AE$7,0))</f>
        <v>115722.90000000002</v>
      </c>
      <c r="Y19" s="87">
        <f>INDEX('Marcellas PDA FY 2020'!$B$7:$AE$63,MATCH($A19,'Marcellas PDA FY 2020'!$B$7:$B$63,0),MATCH(Y$2,'Marcellas PDA FY 2020'!$B$7:$AE$7,0))</f>
        <v>623288.73790372687</v>
      </c>
      <c r="Z19" s="87">
        <f>INDEX('Marcellas PDA FY 2020'!$B$7:$AE$63,MATCH($A19,'Marcellas PDA FY 2020'!$B$7:$B$63,0),MATCH(Z$2,'Marcellas PDA FY 2020'!$B$7:$AE$7,0))</f>
        <v>692831.72199941857</v>
      </c>
      <c r="AA19" s="131">
        <f t="shared" si="0"/>
        <v>0.4010707505406701</v>
      </c>
      <c r="AB19" s="80">
        <f t="shared" si="1"/>
        <v>4.2850036335794421E-2</v>
      </c>
      <c r="AC19" s="80">
        <f t="shared" si="2"/>
        <v>0.25313997426229728</v>
      </c>
      <c r="AD19" s="80">
        <f t="shared" si="3"/>
        <v>0.29599001059809166</v>
      </c>
      <c r="AE19" s="80">
        <f t="shared" si="4"/>
        <v>4.1166010851368715E-2</v>
      </c>
      <c r="AF19" s="128">
        <f t="shared" si="7"/>
        <v>0</v>
      </c>
      <c r="AG19" s="110">
        <f t="shared" si="8"/>
        <v>0</v>
      </c>
      <c r="AH19" s="110">
        <f t="shared" si="9"/>
        <v>0</v>
      </c>
      <c r="AI19" s="110">
        <f t="shared" si="10"/>
        <v>0</v>
      </c>
      <c r="AJ19" s="110">
        <f t="shared" si="11"/>
        <v>0</v>
      </c>
      <c r="AK19" s="110">
        <f t="shared" si="12"/>
        <v>0</v>
      </c>
      <c r="AL19" s="110">
        <f t="shared" si="13"/>
        <v>0</v>
      </c>
      <c r="AM19" s="110">
        <f t="shared" si="5"/>
        <v>0</v>
      </c>
      <c r="AN19" s="190"/>
      <c r="AP19" s="112">
        <f t="shared" si="6"/>
        <v>4.1166010851368715E-2</v>
      </c>
      <c r="AQ19" s="382">
        <f>'PDA Schedules FY 2018'!AP19</f>
        <v>3.5196197737556854E-2</v>
      </c>
    </row>
    <row r="20" spans="1:43">
      <c r="A20" s="33">
        <f>'UCC Fund Calc FY2022'!C20</f>
        <v>210013</v>
      </c>
      <c r="B20" s="33" t="str">
        <f>'UCC Fund Calc FY2022'!D20</f>
        <v>Bon Secours Hospital</v>
      </c>
      <c r="C20" s="87">
        <f>INDEX('Marcellas PDA FY 2020'!$B$7:$AE$63,MATCH($A20,'Marcellas PDA FY 2020'!$B$7:$B$63,0),MATCH(C$2,'Marcellas PDA FY 2020'!$B$7:$AE$7,0))</f>
        <v>13548.563580000002</v>
      </c>
      <c r="D20" s="87">
        <f>INDEX('Marcellas PDA FY 2020'!$B$7:$AE$63,MATCH($A20,'Marcellas PDA FY 2020'!$B$7:$B$63,0),MATCH(D$2,'Marcellas PDA FY 2020'!$B$7:$AE$7,0))</f>
        <v>25735.808060000003</v>
      </c>
      <c r="E20" s="87">
        <f>INDEX('Marcellas PDA FY 2020'!$B$7:$AE$63,MATCH($A20,'Marcellas PDA FY 2020'!$B$7:$B$63,0),MATCH(E$2,'Marcellas PDA FY 2020'!$B$7:$AE$7,0))</f>
        <v>39284.371640000005</v>
      </c>
      <c r="F20" s="87">
        <f>INDEX('Marcellas PDA FY 2020'!$B$7:$AE$63,MATCH($A20,'Marcellas PDA FY 2020'!$B$7:$B$63,0),MATCH(F$2,'Marcellas PDA FY 2020'!$B$7:$AE$7,0))</f>
        <v>2981.9959508760435</v>
      </c>
      <c r="G20" s="87">
        <f>INDEX('Marcellas PDA FY 2020'!$B$7:$AE$63,MATCH($A20,'Marcellas PDA FY 2020'!$B$7:$B$63,0),MATCH(G$2,'Marcellas PDA FY 2020'!$B$7:$AE$7,0))</f>
        <v>5020.1595323144311</v>
      </c>
      <c r="H20" s="87">
        <f>INDEX('Marcellas PDA FY 2020'!$B$7:$AE$63,MATCH($A20,'Marcellas PDA FY 2020'!$B$7:$B$63,0),MATCH(H$2,'Marcellas PDA FY 2020'!$B$7:$AE$7,0))</f>
        <v>8002.1554831904741</v>
      </c>
      <c r="I20" s="87">
        <f>INDEX('Marcellas PDA FY 2020'!$B$7:$AE$63,MATCH($A20,'Marcellas PDA FY 2020'!$B$7:$B$63,0),MATCH(I$2,'Marcellas PDA FY 2020'!$B$7:$AE$7,0))</f>
        <v>1227.7728404500976</v>
      </c>
      <c r="J20" s="87">
        <f>INDEX('Marcellas PDA FY 2020'!$B$7:$AE$63,MATCH($A20,'Marcellas PDA FY 2020'!$B$7:$B$63,0),MATCH(J$2,'Marcellas PDA FY 2020'!$B$7:$AE$7,0))</f>
        <v>1170.6037997962751</v>
      </c>
      <c r="K20" s="87">
        <f>INDEX('Marcellas PDA FY 2020'!$B$7:$AE$63,MATCH($A20,'Marcellas PDA FY 2020'!$B$7:$B$63,0),MATCH(K$2,'Marcellas PDA FY 2020'!$B$7:$AE$7,0))</f>
        <v>2398.3766402463725</v>
      </c>
      <c r="L20" s="87">
        <f>INDEX('Marcellas PDA FY 2020'!$B$7:$AE$63,MATCH($A20,'Marcellas PDA FY 2020'!$B$7:$B$63,0),MATCH(L$2,'Marcellas PDA FY 2020'!$B$7:$AE$7,0))</f>
        <v>320.36203010588639</v>
      </c>
      <c r="M20" s="87">
        <f>INDEX('Marcellas PDA FY 2020'!$B$7:$AE$63,MATCH($A20,'Marcellas PDA FY 2020'!$B$7:$B$63,0),MATCH(M$2,'Marcellas PDA FY 2020'!$B$7:$AE$7,0))</f>
        <v>707.82634859700079</v>
      </c>
      <c r="N20" s="87">
        <f>INDEX('Marcellas PDA FY 2020'!$B$7:$AE$63,MATCH($A20,'Marcellas PDA FY 2020'!$B$7:$B$63,0),MATCH(N$2,'Marcellas PDA FY 2020'!$B$7:$AE$7,0))</f>
        <v>1028.1883787028871</v>
      </c>
      <c r="O20" s="87">
        <f>INDEX('Marcellas PDA FY 2020'!$B$7:$AE$63,MATCH($A20,'Marcellas PDA FY 2020'!$B$7:$B$63,0),MATCH(O$2,'Marcellas PDA FY 2020'!$B$7:$AE$7,0))</f>
        <v>8192.1032860503892</v>
      </c>
      <c r="P20" s="87">
        <f>INDEX('Marcellas PDA FY 2020'!$B$7:$AE$63,MATCH($A20,'Marcellas PDA FY 2020'!$B$7:$B$63,0),MATCH(P$2,'Marcellas PDA FY 2020'!$B$7:$AE$7,0))</f>
        <v>12419.738407285276</v>
      </c>
      <c r="Q20" s="87">
        <f>INDEX('Marcellas PDA FY 2020'!$B$7:$AE$63,MATCH($A20,'Marcellas PDA FY 2020'!$B$7:$B$63,0),MATCH(Q$2,'Marcellas PDA FY 2020'!$B$7:$AE$7,0))</f>
        <v>20611.841693335664</v>
      </c>
      <c r="R20" s="87">
        <f>INDEX('Marcellas PDA FY 2020'!$B$7:$AE$63,MATCH($A20,'Marcellas PDA FY 2020'!$B$7:$B$63,0),MATCH(R$2,'Marcellas PDA FY 2020'!$B$7:$AE$7,0))</f>
        <v>0</v>
      </c>
      <c r="S20" s="87">
        <f>INDEX('Marcellas PDA FY 2020'!$B$7:$AE$63,MATCH($A20,'Marcellas PDA FY 2020'!$B$7:$B$63,0),MATCH(S$2,'Marcellas PDA FY 2020'!$B$7:$AE$7,0))</f>
        <v>30.111660000000001</v>
      </c>
      <c r="T20" s="87">
        <f>INDEX('Marcellas PDA FY 2020'!$B$7:$AE$63,MATCH($A20,'Marcellas PDA FY 2020'!$B$7:$B$63,0),MATCH(T$2,'Marcellas PDA FY 2020'!$B$7:$AE$7,0))</f>
        <v>1667.88834</v>
      </c>
      <c r="U20" s="87">
        <f>INDEX('Marcellas PDA FY 2020'!$B$7:$AE$63,MATCH($A20,'Marcellas PDA FY 2020'!$B$7:$B$63,0),MATCH(U$2,'Marcellas PDA FY 2020'!$B$7:$AE$7,0))</f>
        <v>1698</v>
      </c>
      <c r="V20" s="87">
        <f>INDEX('Marcellas PDA FY 2020'!$B$7:$AE$63,MATCH($A20,'Marcellas PDA FY 2020'!$B$7:$B$63,0),MATCH(V$2,'Marcellas PDA FY 2020'!$B$7:$AE$7,0))</f>
        <v>796.21781251758375</v>
      </c>
      <c r="W20" s="87">
        <f>INDEX('Marcellas PDA FY 2020'!$B$7:$AE$63,MATCH($A20,'Marcellas PDA FY 2020'!$B$7:$B$63,0),MATCH(W$2,'Marcellas PDA FY 2020'!$B$7:$AE$7,0))</f>
        <v>4749.5916320070191</v>
      </c>
      <c r="X20" s="87">
        <f>INDEX('Marcellas PDA FY 2020'!$B$7:$AE$63,MATCH($A20,'Marcellas PDA FY 2020'!$B$7:$B$63,0),MATCH(X$2,'Marcellas PDA FY 2020'!$B$7:$AE$7,0))</f>
        <v>5545.8094445246024</v>
      </c>
      <c r="Y20" s="87">
        <f>INDEX('Marcellas PDA FY 2020'!$B$7:$AE$63,MATCH($A20,'Marcellas PDA FY 2020'!$B$7:$B$63,0),MATCH(Y$2,'Marcellas PDA FY 2020'!$B$7:$AE$7,0))</f>
        <v>42426.379566142947</v>
      </c>
      <c r="Z20" s="87">
        <f>INDEX('Marcellas PDA FY 2020'!$B$7:$AE$63,MATCH($A20,'Marcellas PDA FY 2020'!$B$7:$B$63,0),MATCH(Z$2,'Marcellas PDA FY 2020'!$B$7:$AE$7,0))</f>
        <v>47529.785744981724</v>
      </c>
      <c r="AA20" s="131">
        <f t="shared" si="0"/>
        <v>0.20369819215951376</v>
      </c>
      <c r="AB20" s="80">
        <f t="shared" si="1"/>
        <v>6.1051673734913589E-2</v>
      </c>
      <c r="AC20" s="80">
        <f t="shared" si="2"/>
        <v>0.52468299307983179</v>
      </c>
      <c r="AD20" s="80">
        <f t="shared" si="3"/>
        <v>0.5857346668147454</v>
      </c>
      <c r="AE20" s="80">
        <f t="shared" si="4"/>
        <v>4.3223295400022843E-2</v>
      </c>
      <c r="AF20" s="128">
        <f t="shared" si="7"/>
        <v>0</v>
      </c>
      <c r="AG20" s="110">
        <f t="shared" si="8"/>
        <v>0</v>
      </c>
      <c r="AH20" s="110">
        <f t="shared" si="9"/>
        <v>0</v>
      </c>
      <c r="AI20" s="110">
        <f t="shared" si="10"/>
        <v>0</v>
      </c>
      <c r="AJ20" s="110">
        <f t="shared" si="11"/>
        <v>0</v>
      </c>
      <c r="AK20" s="110">
        <f t="shared" si="12"/>
        <v>0</v>
      </c>
      <c r="AL20" s="110">
        <f t="shared" si="13"/>
        <v>0</v>
      </c>
      <c r="AM20" s="110">
        <f t="shared" si="5"/>
        <v>0</v>
      </c>
      <c r="AN20" s="190"/>
      <c r="AP20" s="112">
        <f t="shared" si="6"/>
        <v>4.3223295400022843E-2</v>
      </c>
      <c r="AQ20" s="382">
        <f>'PDA Schedules FY 2018'!AP20</f>
        <v>2.1270969340599081E-2</v>
      </c>
    </row>
    <row r="21" spans="1:43">
      <c r="A21" s="33">
        <f>'UCC Fund Calc FY2022'!C21</f>
        <v>210015</v>
      </c>
      <c r="B21" s="33" t="str">
        <f>'UCC Fund Calc FY2022'!D21</f>
        <v>Medstar Franklin Square Medical Center</v>
      </c>
      <c r="C21" s="87">
        <f>INDEX('Marcellas PDA FY 2020'!$B$7:$AE$63,MATCH($A21,'Marcellas PDA FY 2020'!$B$7:$B$63,0),MATCH(C$2,'Marcellas PDA FY 2020'!$B$7:$AE$7,0))</f>
        <v>317676.52422000066</v>
      </c>
      <c r="D21" s="87">
        <f>INDEX('Marcellas PDA FY 2020'!$B$7:$AE$63,MATCH($A21,'Marcellas PDA FY 2020'!$B$7:$B$63,0),MATCH(D$2,'Marcellas PDA FY 2020'!$B$7:$AE$7,0))</f>
        <v>272921.63265999983</v>
      </c>
      <c r="E21" s="87">
        <f>INDEX('Marcellas PDA FY 2020'!$B$7:$AE$63,MATCH($A21,'Marcellas PDA FY 2020'!$B$7:$B$63,0),MATCH(E$2,'Marcellas PDA FY 2020'!$B$7:$AE$7,0))</f>
        <v>590598.15688000049</v>
      </c>
      <c r="F21" s="87">
        <f>INDEX('Marcellas PDA FY 2020'!$B$7:$AE$63,MATCH($A21,'Marcellas PDA FY 2020'!$B$7:$B$63,0),MATCH(F$2,'Marcellas PDA FY 2020'!$B$7:$AE$7,0))</f>
        <v>125107.852560593</v>
      </c>
      <c r="G21" s="87">
        <f>INDEX('Marcellas PDA FY 2020'!$B$7:$AE$63,MATCH($A21,'Marcellas PDA FY 2020'!$B$7:$B$63,0),MATCH(G$2,'Marcellas PDA FY 2020'!$B$7:$AE$7,0))</f>
        <v>95071.844720591282</v>
      </c>
      <c r="H21" s="87">
        <f>INDEX('Marcellas PDA FY 2020'!$B$7:$AE$63,MATCH($A21,'Marcellas PDA FY 2020'!$B$7:$B$63,0),MATCH(H$2,'Marcellas PDA FY 2020'!$B$7:$AE$7,0))</f>
        <v>220179.69728118429</v>
      </c>
      <c r="I21" s="87">
        <f>INDEX('Marcellas PDA FY 2020'!$B$7:$AE$63,MATCH($A21,'Marcellas PDA FY 2020'!$B$7:$B$63,0),MATCH(I$2,'Marcellas PDA FY 2020'!$B$7:$AE$7,0))</f>
        <v>14252.291934496916</v>
      </c>
      <c r="J21" s="87">
        <f>INDEX('Marcellas PDA FY 2020'!$B$7:$AE$63,MATCH($A21,'Marcellas PDA FY 2020'!$B$7:$B$63,0),MATCH(J$2,'Marcellas PDA FY 2020'!$B$7:$AE$7,0))</f>
        <v>4992.2450846121046</v>
      </c>
      <c r="K21" s="87">
        <f>INDEX('Marcellas PDA FY 2020'!$B$7:$AE$63,MATCH($A21,'Marcellas PDA FY 2020'!$B$7:$B$63,0),MATCH(K$2,'Marcellas PDA FY 2020'!$B$7:$AE$7,0))</f>
        <v>19244.537019109019</v>
      </c>
      <c r="L21" s="87">
        <f>INDEX('Marcellas PDA FY 2020'!$B$7:$AE$63,MATCH($A21,'Marcellas PDA FY 2020'!$B$7:$B$63,0),MATCH(L$2,'Marcellas PDA FY 2020'!$B$7:$AE$7,0))</f>
        <v>24742.421305885582</v>
      </c>
      <c r="M21" s="87">
        <f>INDEX('Marcellas PDA FY 2020'!$B$7:$AE$63,MATCH($A21,'Marcellas PDA FY 2020'!$B$7:$B$63,0),MATCH(M$2,'Marcellas PDA FY 2020'!$B$7:$AE$7,0))</f>
        <v>32429.166109489215</v>
      </c>
      <c r="N21" s="87">
        <f>INDEX('Marcellas PDA FY 2020'!$B$7:$AE$63,MATCH($A21,'Marcellas PDA FY 2020'!$B$7:$B$63,0),MATCH(N$2,'Marcellas PDA FY 2020'!$B$7:$AE$7,0))</f>
        <v>57171.587415374801</v>
      </c>
      <c r="O21" s="87">
        <f>INDEX('Marcellas PDA FY 2020'!$B$7:$AE$63,MATCH($A21,'Marcellas PDA FY 2020'!$B$7:$B$63,0),MATCH(O$2,'Marcellas PDA FY 2020'!$B$7:$AE$7,0))</f>
        <v>100687.31446674277</v>
      </c>
      <c r="P21" s="87">
        <f>INDEX('Marcellas PDA FY 2020'!$B$7:$AE$63,MATCH($A21,'Marcellas PDA FY 2020'!$B$7:$B$63,0),MATCH(P$2,'Marcellas PDA FY 2020'!$B$7:$AE$7,0))</f>
        <v>77616.325017647818</v>
      </c>
      <c r="Q21" s="87">
        <f>INDEX('Marcellas PDA FY 2020'!$B$7:$AE$63,MATCH($A21,'Marcellas PDA FY 2020'!$B$7:$B$63,0),MATCH(Q$2,'Marcellas PDA FY 2020'!$B$7:$AE$7,0))</f>
        <v>178303.63948439059</v>
      </c>
      <c r="R21" s="87">
        <f>INDEX('Marcellas PDA FY 2020'!$B$7:$AE$63,MATCH($A21,'Marcellas PDA FY 2020'!$B$7:$B$63,0),MATCH(R$2,'Marcellas PDA FY 2020'!$B$7:$AE$7,0))</f>
        <v>5135.7772000000659</v>
      </c>
      <c r="S21" s="87">
        <f>INDEX('Marcellas PDA FY 2020'!$B$7:$AE$63,MATCH($A21,'Marcellas PDA FY 2020'!$B$7:$B$63,0),MATCH(S$2,'Marcellas PDA FY 2020'!$B$7:$AE$7,0))</f>
        <v>9414.9272298515752</v>
      </c>
      <c r="T21" s="87">
        <f>INDEX('Marcellas PDA FY 2020'!$B$7:$AE$63,MATCH($A21,'Marcellas PDA FY 2020'!$B$7:$B$63,0),MATCH(T$2,'Marcellas PDA FY 2020'!$B$7:$AE$7,0))</f>
        <v>12582.923550148425</v>
      </c>
      <c r="U21" s="87">
        <f>INDEX('Marcellas PDA FY 2020'!$B$7:$AE$63,MATCH($A21,'Marcellas PDA FY 2020'!$B$7:$B$63,0),MATCH(U$2,'Marcellas PDA FY 2020'!$B$7:$AE$7,0))</f>
        <v>21997.850780000001</v>
      </c>
      <c r="V21" s="87">
        <f>INDEX('Marcellas PDA FY 2020'!$B$7:$AE$63,MATCH($A21,'Marcellas PDA FY 2020'!$B$7:$B$63,0),MATCH(V$2,'Marcellas PDA FY 2020'!$B$7:$AE$7,0))</f>
        <v>43471.716722430836</v>
      </c>
      <c r="W21" s="87">
        <f>INDEX('Marcellas PDA FY 2020'!$B$7:$AE$63,MATCH($A21,'Marcellas PDA FY 2020'!$B$7:$B$63,0),MATCH(W$2,'Marcellas PDA FY 2020'!$B$7:$AE$7,0))</f>
        <v>50229.128177510996</v>
      </c>
      <c r="X21" s="87">
        <f>INDEX('Marcellas PDA FY 2020'!$B$7:$AE$63,MATCH($A21,'Marcellas PDA FY 2020'!$B$7:$B$63,0),MATCH(X$2,'Marcellas PDA FY 2020'!$B$7:$AE$7,0))</f>
        <v>93700.844899941832</v>
      </c>
      <c r="Y21" s="87">
        <f>INDEX('Marcellas PDA FY 2020'!$B$7:$AE$63,MATCH($A21,'Marcellas PDA FY 2020'!$B$7:$B$63,0),MATCH(Y$2,'Marcellas PDA FY 2020'!$B$7:$AE$7,0))</f>
        <v>421703.8657456442</v>
      </c>
      <c r="Z21" s="87">
        <f>INDEX('Marcellas PDA FY 2020'!$B$7:$AE$63,MATCH($A21,'Marcellas PDA FY 2020'!$B$7:$B$63,0),MATCH(Z$2,'Marcellas PDA FY 2020'!$B$7:$AE$7,0))</f>
        <v>467083.65887371538</v>
      </c>
      <c r="AA21" s="131">
        <f t="shared" si="0"/>
        <v>0.37280796547748296</v>
      </c>
      <c r="AB21" s="80">
        <f t="shared" si="1"/>
        <v>3.2584824038011995E-2</v>
      </c>
      <c r="AC21" s="80">
        <f t="shared" si="2"/>
        <v>0.3019034810848874</v>
      </c>
      <c r="AD21" s="80">
        <f t="shared" si="3"/>
        <v>0.3344883051228994</v>
      </c>
      <c r="AE21" s="80">
        <f t="shared" si="4"/>
        <v>3.7246731172020216E-2</v>
      </c>
      <c r="AF21" s="128">
        <f t="shared" si="7"/>
        <v>0</v>
      </c>
      <c r="AG21" s="110">
        <f t="shared" si="8"/>
        <v>0</v>
      </c>
      <c r="AH21" s="110">
        <f t="shared" si="9"/>
        <v>0</v>
      </c>
      <c r="AI21" s="110">
        <f t="shared" si="10"/>
        <v>0</v>
      </c>
      <c r="AJ21" s="110">
        <f t="shared" si="11"/>
        <v>0</v>
      </c>
      <c r="AK21" s="110">
        <f t="shared" si="12"/>
        <v>0</v>
      </c>
      <c r="AL21" s="110">
        <f t="shared" si="13"/>
        <v>0</v>
      </c>
      <c r="AM21" s="110">
        <f t="shared" si="5"/>
        <v>0</v>
      </c>
      <c r="AN21" s="190"/>
      <c r="AP21" s="112">
        <f t="shared" si="6"/>
        <v>3.7246731172020216E-2</v>
      </c>
      <c r="AQ21" s="382">
        <f>'PDA Schedules FY 2018'!AP21</f>
        <v>3.9544537572320577E-2</v>
      </c>
    </row>
    <row r="22" spans="1:43">
      <c r="A22" s="33">
        <f>'UCC Fund Calc FY2022'!C22</f>
        <v>210016</v>
      </c>
      <c r="B22" s="33" t="str">
        <f>'UCC Fund Calc FY2022'!D22</f>
        <v>Adventist - Washington Adventist Hospital</v>
      </c>
      <c r="C22" s="87">
        <f>INDEX('Marcellas PDA FY 2020'!$B$7:$AE$63,MATCH($A22,'Marcellas PDA FY 2020'!$B$7:$B$63,0),MATCH(C$2,'Marcellas PDA FY 2020'!$B$7:$AE$7,0))</f>
        <v>213889</v>
      </c>
      <c r="D22" s="87">
        <f>INDEX('Marcellas PDA FY 2020'!$B$7:$AE$63,MATCH($A22,'Marcellas PDA FY 2020'!$B$7:$B$63,0),MATCH(D$2,'Marcellas PDA FY 2020'!$B$7:$AE$7,0))</f>
        <v>114835.80000000002</v>
      </c>
      <c r="E22" s="87">
        <f>INDEX('Marcellas PDA FY 2020'!$B$7:$AE$63,MATCH($A22,'Marcellas PDA FY 2020'!$B$7:$B$63,0),MATCH(E$2,'Marcellas PDA FY 2020'!$B$7:$AE$7,0))</f>
        <v>328724.80000000005</v>
      </c>
      <c r="F22" s="87">
        <f>INDEX('Marcellas PDA FY 2020'!$B$7:$AE$63,MATCH($A22,'Marcellas PDA FY 2020'!$B$7:$B$63,0),MATCH(F$2,'Marcellas PDA FY 2020'!$B$7:$AE$7,0))</f>
        <v>96345.502380000005</v>
      </c>
      <c r="G22" s="87">
        <f>INDEX('Marcellas PDA FY 2020'!$B$7:$AE$63,MATCH($A22,'Marcellas PDA FY 2020'!$B$7:$B$63,0),MATCH(G$2,'Marcellas PDA FY 2020'!$B$7:$AE$7,0))</f>
        <v>38881.602830000011</v>
      </c>
      <c r="H22" s="87">
        <f>INDEX('Marcellas PDA FY 2020'!$B$7:$AE$63,MATCH($A22,'Marcellas PDA FY 2020'!$B$7:$B$63,0),MATCH(H$2,'Marcellas PDA FY 2020'!$B$7:$AE$7,0))</f>
        <v>135227.10521000001</v>
      </c>
      <c r="I22" s="87">
        <f>INDEX('Marcellas PDA FY 2020'!$B$7:$AE$63,MATCH($A22,'Marcellas PDA FY 2020'!$B$7:$B$63,0),MATCH(I$2,'Marcellas PDA FY 2020'!$B$7:$AE$7,0))</f>
        <v>43658.382521340012</v>
      </c>
      <c r="J22" s="87">
        <f>INDEX('Marcellas PDA FY 2020'!$B$7:$AE$63,MATCH($A22,'Marcellas PDA FY 2020'!$B$7:$B$63,0),MATCH(J$2,'Marcellas PDA FY 2020'!$B$7:$AE$7,0))</f>
        <v>5701.1017468799992</v>
      </c>
      <c r="K22" s="87">
        <f>INDEX('Marcellas PDA FY 2020'!$B$7:$AE$63,MATCH($A22,'Marcellas PDA FY 2020'!$B$7:$B$63,0),MATCH(K$2,'Marcellas PDA FY 2020'!$B$7:$AE$7,0))</f>
        <v>49359.484268220011</v>
      </c>
      <c r="L22" s="87">
        <f>INDEX('Marcellas PDA FY 2020'!$B$7:$AE$63,MATCH($A22,'Marcellas PDA FY 2020'!$B$7:$B$63,0),MATCH(L$2,'Marcellas PDA FY 2020'!$B$7:$AE$7,0))</f>
        <v>19984.22552</v>
      </c>
      <c r="M22" s="87">
        <f>INDEX('Marcellas PDA FY 2020'!$B$7:$AE$63,MATCH($A22,'Marcellas PDA FY 2020'!$B$7:$B$63,0),MATCH(M$2,'Marcellas PDA FY 2020'!$B$7:$AE$7,0))</f>
        <v>19932.245989999996</v>
      </c>
      <c r="N22" s="87">
        <f>INDEX('Marcellas PDA FY 2020'!$B$7:$AE$63,MATCH($A22,'Marcellas PDA FY 2020'!$B$7:$B$63,0),MATCH(N$2,'Marcellas PDA FY 2020'!$B$7:$AE$7,0))</f>
        <v>39916.471509999996</v>
      </c>
      <c r="O22" s="87">
        <f>INDEX('Marcellas PDA FY 2020'!$B$7:$AE$63,MATCH($A22,'Marcellas PDA FY 2020'!$B$7:$B$63,0),MATCH(O$2,'Marcellas PDA FY 2020'!$B$7:$AE$7,0))</f>
        <v>33591.118579999995</v>
      </c>
      <c r="P22" s="87">
        <f>INDEX('Marcellas PDA FY 2020'!$B$7:$AE$63,MATCH($A22,'Marcellas PDA FY 2020'!$B$7:$B$63,0),MATCH(P$2,'Marcellas PDA FY 2020'!$B$7:$AE$7,0))</f>
        <v>19839.23054</v>
      </c>
      <c r="Q22" s="87">
        <f>INDEX('Marcellas PDA FY 2020'!$B$7:$AE$63,MATCH($A22,'Marcellas PDA FY 2020'!$B$7:$B$63,0),MATCH(Q$2,'Marcellas PDA FY 2020'!$B$7:$AE$7,0))</f>
        <v>53430.349119999999</v>
      </c>
      <c r="R22" s="87">
        <f>INDEX('Marcellas PDA FY 2020'!$B$7:$AE$63,MATCH($A22,'Marcellas PDA FY 2020'!$B$7:$B$63,0),MATCH(R$2,'Marcellas PDA FY 2020'!$B$7:$AE$7,0))</f>
        <v>5903.2895799999797</v>
      </c>
      <c r="S22" s="87">
        <f>INDEX('Marcellas PDA FY 2020'!$B$7:$AE$63,MATCH($A22,'Marcellas PDA FY 2020'!$B$7:$B$63,0),MATCH(S$2,'Marcellas PDA FY 2020'!$B$7:$AE$7,0))</f>
        <v>14361.125148084873</v>
      </c>
      <c r="T22" s="87">
        <f>INDEX('Marcellas PDA FY 2020'!$B$7:$AE$63,MATCH($A22,'Marcellas PDA FY 2020'!$B$7:$B$63,0),MATCH(T$2,'Marcellas PDA FY 2020'!$B$7:$AE$7,0))</f>
        <v>7701.3929819151263</v>
      </c>
      <c r="U22" s="87">
        <f>INDEX('Marcellas PDA FY 2020'!$B$7:$AE$63,MATCH($A22,'Marcellas PDA FY 2020'!$B$7:$B$63,0),MATCH(U$2,'Marcellas PDA FY 2020'!$B$7:$AE$7,0))</f>
        <v>22062.51813</v>
      </c>
      <c r="V22" s="87">
        <f>INDEX('Marcellas PDA FY 2020'!$B$7:$AE$63,MATCH($A22,'Marcellas PDA FY 2020'!$B$7:$B$63,0),MATCH(V$2,'Marcellas PDA FY 2020'!$B$7:$AE$7,0))</f>
        <v>5948.6458505751143</v>
      </c>
      <c r="W22" s="87">
        <f>INDEX('Marcellas PDA FY 2020'!$B$7:$AE$63,MATCH($A22,'Marcellas PDA FY 2020'!$B$7:$B$63,0),MATCH(W$2,'Marcellas PDA FY 2020'!$B$7:$AE$7,0))</f>
        <v>22780.225911204878</v>
      </c>
      <c r="X22" s="87">
        <f>INDEX('Marcellas PDA FY 2020'!$B$7:$AE$63,MATCH($A22,'Marcellas PDA FY 2020'!$B$7:$B$63,0),MATCH(X$2,'Marcellas PDA FY 2020'!$B$7:$AE$7,0))</f>
        <v>28728.871761779992</v>
      </c>
      <c r="Y22" s="87">
        <f>INDEX('Marcellas PDA FY 2020'!$B$7:$AE$63,MATCH($A22,'Marcellas PDA FY 2020'!$B$7:$B$63,0),MATCH(Y$2,'Marcellas PDA FY 2020'!$B$7:$AE$7,0))</f>
        <v>265130.66994255671</v>
      </c>
      <c r="Z22" s="87">
        <f>INDEX('Marcellas PDA FY 2020'!$B$7:$AE$63,MATCH($A22,'Marcellas PDA FY 2020'!$B$7:$B$63,0),MATCH(Z$2,'Marcellas PDA FY 2020'!$B$7:$AE$7,0))</f>
        <v>303887.23195748677</v>
      </c>
      <c r="AA22" s="131">
        <f t="shared" si="0"/>
        <v>0.41136873521559675</v>
      </c>
      <c r="AB22" s="80">
        <f t="shared" si="1"/>
        <v>0.15015442786251601</v>
      </c>
      <c r="AC22" s="80">
        <f t="shared" si="2"/>
        <v>0.16253823599558048</v>
      </c>
      <c r="AD22" s="80">
        <f t="shared" si="3"/>
        <v>0.31269266385809646</v>
      </c>
      <c r="AE22" s="80">
        <f t="shared" si="4"/>
        <v>6.711546597640336E-2</v>
      </c>
      <c r="AF22" s="128">
        <f t="shared" si="7"/>
        <v>0</v>
      </c>
      <c r="AG22" s="110">
        <f t="shared" si="8"/>
        <v>0</v>
      </c>
      <c r="AH22" s="110">
        <f t="shared" si="9"/>
        <v>0</v>
      </c>
      <c r="AI22" s="110">
        <f t="shared" si="10"/>
        <v>0</v>
      </c>
      <c r="AJ22" s="110">
        <f t="shared" si="11"/>
        <v>0</v>
      </c>
      <c r="AK22" s="110">
        <f t="shared" si="12"/>
        <v>0</v>
      </c>
      <c r="AL22" s="110">
        <f t="shared" si="13"/>
        <v>0</v>
      </c>
      <c r="AM22" s="110">
        <f t="shared" si="5"/>
        <v>0</v>
      </c>
      <c r="AN22" s="190"/>
      <c r="AP22" s="112">
        <f t="shared" si="6"/>
        <v>6.711546597640336E-2</v>
      </c>
      <c r="AQ22" s="382">
        <f>'PDA Schedules FY 2018'!AP22</f>
        <v>7.0225563990504156E-2</v>
      </c>
    </row>
    <row r="23" spans="1:43">
      <c r="A23" s="33">
        <f>'UCC Fund Calc FY2022'!C23</f>
        <v>210017</v>
      </c>
      <c r="B23" s="33" t="str">
        <f>'UCC Fund Calc FY2022'!D23</f>
        <v>Garrett County Memorial Hospital</v>
      </c>
      <c r="C23" s="87">
        <f>INDEX('Marcellas PDA FY 2020'!$B$7:$AE$63,MATCH($A23,'Marcellas PDA FY 2020'!$B$7:$B$63,0),MATCH(C$2,'Marcellas PDA FY 2020'!$B$7:$AE$7,0))</f>
        <v>19157.210999999999</v>
      </c>
      <c r="D23" s="87">
        <f>INDEX('Marcellas PDA FY 2020'!$B$7:$AE$63,MATCH($A23,'Marcellas PDA FY 2020'!$B$7:$B$63,0),MATCH(D$2,'Marcellas PDA FY 2020'!$B$7:$AE$7,0))</f>
        <v>40810.663</v>
      </c>
      <c r="E23" s="87">
        <f>INDEX('Marcellas PDA FY 2020'!$B$7:$AE$63,MATCH($A23,'Marcellas PDA FY 2020'!$B$7:$B$63,0),MATCH(E$2,'Marcellas PDA FY 2020'!$B$7:$AE$7,0))</f>
        <v>59967.873999999996</v>
      </c>
      <c r="F23" s="87">
        <f>INDEX('Marcellas PDA FY 2020'!$B$7:$AE$63,MATCH($A23,'Marcellas PDA FY 2020'!$B$7:$B$63,0),MATCH(F$2,'Marcellas PDA FY 2020'!$B$7:$AE$7,0))</f>
        <v>8454.1815114774272</v>
      </c>
      <c r="G23" s="87">
        <f>INDEX('Marcellas PDA FY 2020'!$B$7:$AE$63,MATCH($A23,'Marcellas PDA FY 2020'!$B$7:$B$63,0),MATCH(G$2,'Marcellas PDA FY 2020'!$B$7:$AE$7,0))</f>
        <v>16859.09071489716</v>
      </c>
      <c r="H23" s="87">
        <f>INDEX('Marcellas PDA FY 2020'!$B$7:$AE$63,MATCH($A23,'Marcellas PDA FY 2020'!$B$7:$B$63,0),MATCH(H$2,'Marcellas PDA FY 2020'!$B$7:$AE$7,0))</f>
        <v>25313.272226374589</v>
      </c>
      <c r="I23" s="87">
        <f>INDEX('Marcellas PDA FY 2020'!$B$7:$AE$63,MATCH($A23,'Marcellas PDA FY 2020'!$B$7:$B$63,0),MATCH(I$2,'Marcellas PDA FY 2020'!$B$7:$AE$7,0))</f>
        <v>1327.5236112303612</v>
      </c>
      <c r="J23" s="87">
        <f>INDEX('Marcellas PDA FY 2020'!$B$7:$AE$63,MATCH($A23,'Marcellas PDA FY 2020'!$B$7:$B$63,0),MATCH(J$2,'Marcellas PDA FY 2020'!$B$7:$AE$7,0))</f>
        <v>1979.6305922393617</v>
      </c>
      <c r="K23" s="87">
        <f>INDEX('Marcellas PDA FY 2020'!$B$7:$AE$63,MATCH($A23,'Marcellas PDA FY 2020'!$B$7:$B$63,0),MATCH(K$2,'Marcellas PDA FY 2020'!$B$7:$AE$7,0))</f>
        <v>3307.1542034697231</v>
      </c>
      <c r="L23" s="87">
        <f>INDEX('Marcellas PDA FY 2020'!$B$7:$AE$63,MATCH($A23,'Marcellas PDA FY 2020'!$B$7:$B$63,0),MATCH(L$2,'Marcellas PDA FY 2020'!$B$7:$AE$7,0))</f>
        <v>1730.41962571723</v>
      </c>
      <c r="M23" s="87">
        <f>INDEX('Marcellas PDA FY 2020'!$B$7:$AE$63,MATCH($A23,'Marcellas PDA FY 2020'!$B$7:$B$63,0),MATCH(M$2,'Marcellas PDA FY 2020'!$B$7:$AE$7,0))</f>
        <v>5225.1257229780858</v>
      </c>
      <c r="N23" s="87">
        <f>INDEX('Marcellas PDA FY 2020'!$B$7:$AE$63,MATCH($A23,'Marcellas PDA FY 2020'!$B$7:$B$63,0),MATCH(N$2,'Marcellas PDA FY 2020'!$B$7:$AE$7,0))</f>
        <v>6955.5453486953156</v>
      </c>
      <c r="O23" s="87">
        <f>INDEX('Marcellas PDA FY 2020'!$B$7:$AE$63,MATCH($A23,'Marcellas PDA FY 2020'!$B$7:$B$63,0),MATCH(O$2,'Marcellas PDA FY 2020'!$B$7:$AE$7,0))</f>
        <v>4645.5905641662557</v>
      </c>
      <c r="P23" s="87">
        <f>INDEX('Marcellas PDA FY 2020'!$B$7:$AE$63,MATCH($A23,'Marcellas PDA FY 2020'!$B$7:$B$63,0),MATCH(P$2,'Marcellas PDA FY 2020'!$B$7:$AE$7,0))</f>
        <v>8187.2475993829594</v>
      </c>
      <c r="Q23" s="87">
        <f>INDEX('Marcellas PDA FY 2020'!$B$7:$AE$63,MATCH($A23,'Marcellas PDA FY 2020'!$B$7:$B$63,0),MATCH(Q$2,'Marcellas PDA FY 2020'!$B$7:$AE$7,0))</f>
        <v>12832.838163549215</v>
      </c>
      <c r="R23" s="87">
        <f>INDEX('Marcellas PDA FY 2020'!$B$7:$AE$63,MATCH($A23,'Marcellas PDA FY 2020'!$B$7:$B$63,0),MATCH(R$2,'Marcellas PDA FY 2020'!$B$7:$AE$7,0))</f>
        <v>899.29655000000002</v>
      </c>
      <c r="S23" s="87">
        <f>INDEX('Marcellas PDA FY 2020'!$B$7:$AE$63,MATCH($A23,'Marcellas PDA FY 2020'!$B$7:$B$63,0),MATCH(S$2,'Marcellas PDA FY 2020'!$B$7:$AE$7,0))</f>
        <v>1409.6728399999997</v>
      </c>
      <c r="T23" s="87">
        <f>INDEX('Marcellas PDA FY 2020'!$B$7:$AE$63,MATCH($A23,'Marcellas PDA FY 2020'!$B$7:$B$63,0),MATCH(T$2,'Marcellas PDA FY 2020'!$B$7:$AE$7,0))</f>
        <v>2517.8368158038111</v>
      </c>
      <c r="U23" s="87">
        <f>INDEX('Marcellas PDA FY 2020'!$B$7:$AE$63,MATCH($A23,'Marcellas PDA FY 2020'!$B$7:$B$63,0),MATCH(U$2,'Marcellas PDA FY 2020'!$B$7:$AE$7,0))</f>
        <v>3927.5096558038108</v>
      </c>
      <c r="V23" s="87">
        <f>INDEX('Marcellas PDA FY 2020'!$B$7:$AE$63,MATCH($A23,'Marcellas PDA FY 2020'!$B$7:$B$63,0),MATCH(V$2,'Marcellas PDA FY 2020'!$B$7:$AE$7,0))</f>
        <v>1589.8228474087259</v>
      </c>
      <c r="W23" s="87">
        <f>INDEX('Marcellas PDA FY 2020'!$B$7:$AE$63,MATCH($A23,'Marcellas PDA FY 2020'!$B$7:$B$63,0),MATCH(W$2,'Marcellas PDA FY 2020'!$B$7:$AE$7,0))</f>
        <v>6041.7315546986219</v>
      </c>
      <c r="X23" s="87">
        <f>INDEX('Marcellas PDA FY 2020'!$B$7:$AE$63,MATCH($A23,'Marcellas PDA FY 2020'!$B$7:$B$63,0),MATCH(X$2,'Marcellas PDA FY 2020'!$B$7:$AE$7,0))</f>
        <v>7631.5544021073474</v>
      </c>
      <c r="Y23" s="87">
        <f>INDEX('Marcellas PDA FY 2020'!$B$7:$AE$63,MATCH($A23,'Marcellas PDA FY 2020'!$B$7:$B$63,0),MATCH(Y$2,'Marcellas PDA FY 2020'!$B$7:$AE$7,0))</f>
        <v>45364.30263575718</v>
      </c>
      <c r="Z23" s="87">
        <f>INDEX('Marcellas PDA FY 2020'!$B$7:$AE$63,MATCH($A23,'Marcellas PDA FY 2020'!$B$7:$B$63,0),MATCH(Z$2,'Marcellas PDA FY 2020'!$B$7:$AE$7,0))</f>
        <v>51788.133828756421</v>
      </c>
      <c r="AA23" s="131">
        <f t="shared" si="0"/>
        <v>0.42211388428368479</v>
      </c>
      <c r="AB23" s="80">
        <f t="shared" si="1"/>
        <v>5.5148765211681897E-2</v>
      </c>
      <c r="AC23" s="80">
        <f t="shared" si="2"/>
        <v>0.2139952162310976</v>
      </c>
      <c r="AD23" s="80">
        <f t="shared" si="3"/>
        <v>0.26914398144277951</v>
      </c>
      <c r="AE23" s="80">
        <f t="shared" si="4"/>
        <v>6.5493561699449462E-2</v>
      </c>
      <c r="AF23" s="128">
        <f t="shared" si="7"/>
        <v>0</v>
      </c>
      <c r="AG23" s="110">
        <f t="shared" si="8"/>
        <v>0</v>
      </c>
      <c r="AH23" s="110">
        <f t="shared" si="9"/>
        <v>0</v>
      </c>
      <c r="AI23" s="110">
        <f t="shared" si="10"/>
        <v>0</v>
      </c>
      <c r="AJ23" s="110">
        <f t="shared" si="11"/>
        <v>0</v>
      </c>
      <c r="AK23" s="110">
        <f t="shared" si="12"/>
        <v>0</v>
      </c>
      <c r="AL23" s="110">
        <f t="shared" si="13"/>
        <v>0</v>
      </c>
      <c r="AM23" s="110">
        <f t="shared" si="5"/>
        <v>0</v>
      </c>
      <c r="AN23" s="190"/>
      <c r="AP23" s="112">
        <f t="shared" si="6"/>
        <v>6.5493561699449462E-2</v>
      </c>
      <c r="AQ23" s="382">
        <f>'PDA Schedules FY 2018'!AP23</f>
        <v>6.5709065943794887E-2</v>
      </c>
    </row>
    <row r="24" spans="1:43">
      <c r="A24" s="33">
        <f>'UCC Fund Calc FY2022'!C24</f>
        <v>210018</v>
      </c>
      <c r="B24" s="33" t="str">
        <f>'UCC Fund Calc FY2022'!D24</f>
        <v>Medstar Montgomery Medical Center</v>
      </c>
      <c r="C24" s="87">
        <f>INDEX('Marcellas PDA FY 2020'!$B$7:$AE$63,MATCH($A24,'Marcellas PDA FY 2020'!$B$7:$B$63,0),MATCH(C$2,'Marcellas PDA FY 2020'!$B$7:$AE$7,0))</f>
        <v>89462.501149999996</v>
      </c>
      <c r="D24" s="87">
        <f>INDEX('Marcellas PDA FY 2020'!$B$7:$AE$63,MATCH($A24,'Marcellas PDA FY 2020'!$B$7:$B$63,0),MATCH(D$2,'Marcellas PDA FY 2020'!$B$7:$AE$7,0))</f>
        <v>94084.358040000036</v>
      </c>
      <c r="E24" s="87">
        <f>INDEX('Marcellas PDA FY 2020'!$B$7:$AE$63,MATCH($A24,'Marcellas PDA FY 2020'!$B$7:$B$63,0),MATCH(E$2,'Marcellas PDA FY 2020'!$B$7:$AE$7,0))</f>
        <v>183546.85919000005</v>
      </c>
      <c r="F24" s="87">
        <f>INDEX('Marcellas PDA FY 2020'!$B$7:$AE$63,MATCH($A24,'Marcellas PDA FY 2020'!$B$7:$B$63,0),MATCH(F$2,'Marcellas PDA FY 2020'!$B$7:$AE$7,0))</f>
        <v>46375.795603919782</v>
      </c>
      <c r="G24" s="87">
        <f>INDEX('Marcellas PDA FY 2020'!$B$7:$AE$63,MATCH($A24,'Marcellas PDA FY 2020'!$B$7:$B$63,0),MATCH(G$2,'Marcellas PDA FY 2020'!$B$7:$AE$7,0))</f>
        <v>33547.661607754693</v>
      </c>
      <c r="H24" s="87">
        <f>INDEX('Marcellas PDA FY 2020'!$B$7:$AE$63,MATCH($A24,'Marcellas PDA FY 2020'!$B$7:$B$63,0),MATCH(H$2,'Marcellas PDA FY 2020'!$B$7:$AE$7,0))</f>
        <v>79923.457211674482</v>
      </c>
      <c r="I24" s="87">
        <f>INDEX('Marcellas PDA FY 2020'!$B$7:$AE$63,MATCH($A24,'Marcellas PDA FY 2020'!$B$7:$B$63,0),MATCH(I$2,'Marcellas PDA FY 2020'!$B$7:$AE$7,0))</f>
        <v>3195.1508797942806</v>
      </c>
      <c r="J24" s="87">
        <f>INDEX('Marcellas PDA FY 2020'!$B$7:$AE$63,MATCH($A24,'Marcellas PDA FY 2020'!$B$7:$B$63,0),MATCH(J$2,'Marcellas PDA FY 2020'!$B$7:$AE$7,0))</f>
        <v>1474.5285657343629</v>
      </c>
      <c r="K24" s="87">
        <f>INDEX('Marcellas PDA FY 2020'!$B$7:$AE$63,MATCH($A24,'Marcellas PDA FY 2020'!$B$7:$B$63,0),MATCH(K$2,'Marcellas PDA FY 2020'!$B$7:$AE$7,0))</f>
        <v>4669.6794455286436</v>
      </c>
      <c r="L24" s="87">
        <f>INDEX('Marcellas PDA FY 2020'!$B$7:$AE$63,MATCH($A24,'Marcellas PDA FY 2020'!$B$7:$B$63,0),MATCH(L$2,'Marcellas PDA FY 2020'!$B$7:$AE$7,0))</f>
        <v>5448.3659915408834</v>
      </c>
      <c r="M24" s="87">
        <f>INDEX('Marcellas PDA FY 2020'!$B$7:$AE$63,MATCH($A24,'Marcellas PDA FY 2020'!$B$7:$B$63,0),MATCH(M$2,'Marcellas PDA FY 2020'!$B$7:$AE$7,0))</f>
        <v>13648.812059306814</v>
      </c>
      <c r="N24" s="87">
        <f>INDEX('Marcellas PDA FY 2020'!$B$7:$AE$63,MATCH($A24,'Marcellas PDA FY 2020'!$B$7:$B$63,0),MATCH(N$2,'Marcellas PDA FY 2020'!$B$7:$AE$7,0))</f>
        <v>19097.178050847699</v>
      </c>
      <c r="O24" s="87">
        <f>INDEX('Marcellas PDA FY 2020'!$B$7:$AE$63,MATCH($A24,'Marcellas PDA FY 2020'!$B$7:$B$63,0),MATCH(O$2,'Marcellas PDA FY 2020'!$B$7:$AE$7,0))</f>
        <v>14892.872230979985</v>
      </c>
      <c r="P24" s="87">
        <f>INDEX('Marcellas PDA FY 2020'!$B$7:$AE$63,MATCH($A24,'Marcellas PDA FY 2020'!$B$7:$B$63,0),MATCH(P$2,'Marcellas PDA FY 2020'!$B$7:$AE$7,0))</f>
        <v>15990.896357155812</v>
      </c>
      <c r="Q24" s="87">
        <f>INDEX('Marcellas PDA FY 2020'!$B$7:$AE$63,MATCH($A24,'Marcellas PDA FY 2020'!$B$7:$B$63,0),MATCH(Q$2,'Marcellas PDA FY 2020'!$B$7:$AE$7,0))</f>
        <v>30883.768588135797</v>
      </c>
      <c r="R24" s="87">
        <f>INDEX('Marcellas PDA FY 2020'!$B$7:$AE$63,MATCH($A24,'Marcellas PDA FY 2020'!$B$7:$B$63,0),MATCH(R$2,'Marcellas PDA FY 2020'!$B$7:$AE$7,0))</f>
        <v>1216.8544000000018</v>
      </c>
      <c r="S24" s="87">
        <f>INDEX('Marcellas PDA FY 2020'!$B$7:$AE$63,MATCH($A24,'Marcellas PDA FY 2020'!$B$7:$B$63,0),MATCH(S$2,'Marcellas PDA FY 2020'!$B$7:$AE$7,0))</f>
        <v>2160.7340477090765</v>
      </c>
      <c r="T24" s="87">
        <f>INDEX('Marcellas PDA FY 2020'!$B$7:$AE$63,MATCH($A24,'Marcellas PDA FY 2020'!$B$7:$B$63,0),MATCH(T$2,'Marcellas PDA FY 2020'!$B$7:$AE$7,0))</f>
        <v>4616.8023722909238</v>
      </c>
      <c r="U24" s="87">
        <f>INDEX('Marcellas PDA FY 2020'!$B$7:$AE$63,MATCH($A24,'Marcellas PDA FY 2020'!$B$7:$B$63,0),MATCH(U$2,'Marcellas PDA FY 2020'!$B$7:$AE$7,0))</f>
        <v>6777.5364200000004</v>
      </c>
      <c r="V24" s="87">
        <f>INDEX('Marcellas PDA FY 2020'!$B$7:$AE$63,MATCH($A24,'Marcellas PDA FY 2020'!$B$7:$B$63,0),MATCH(V$2,'Marcellas PDA FY 2020'!$B$7:$AE$7,0))</f>
        <v>17389.582396055986</v>
      </c>
      <c r="W24" s="87">
        <f>INDEX('Marcellas PDA FY 2020'!$B$7:$AE$63,MATCH($A24,'Marcellas PDA FY 2020'!$B$7:$B$63,0),MATCH(W$2,'Marcellas PDA FY 2020'!$B$7:$AE$7,0))</f>
        <v>24805.657077757427</v>
      </c>
      <c r="X24" s="87">
        <f>INDEX('Marcellas PDA FY 2020'!$B$7:$AE$63,MATCH($A24,'Marcellas PDA FY 2020'!$B$7:$B$63,0),MATCH(X$2,'Marcellas PDA FY 2020'!$B$7:$AE$7,0))</f>
        <v>42195.239473813417</v>
      </c>
      <c r="Y24" s="87">
        <f>INDEX('Marcellas PDA FY 2020'!$B$7:$AE$63,MATCH($A24,'Marcellas PDA FY 2020'!$B$7:$B$63,0),MATCH(Y$2,'Marcellas PDA FY 2020'!$B$7:$AE$7,0))</f>
        <v>144373.29274643239</v>
      </c>
      <c r="Z24" s="87">
        <f>INDEX('Marcellas PDA FY 2020'!$B$7:$AE$63,MATCH($A24,'Marcellas PDA FY 2020'!$B$7:$B$63,0),MATCH(Z$2,'Marcellas PDA FY 2020'!$B$7:$AE$7,0))</f>
        <v>159055.53414199213</v>
      </c>
      <c r="AA24" s="131">
        <f t="shared" si="0"/>
        <v>0.43543898034747114</v>
      </c>
      <c r="AB24" s="80">
        <f t="shared" si="1"/>
        <v>2.544134759993243E-2</v>
      </c>
      <c r="AC24" s="80">
        <f t="shared" si="2"/>
        <v>0.16826094831819602</v>
      </c>
      <c r="AD24" s="80">
        <f t="shared" si="3"/>
        <v>0.19370229591812843</v>
      </c>
      <c r="AE24" s="80">
        <f t="shared" si="4"/>
        <v>3.6925373988471129E-2</v>
      </c>
      <c r="AF24" s="128">
        <f t="shared" si="7"/>
        <v>0</v>
      </c>
      <c r="AG24" s="110">
        <f t="shared" si="8"/>
        <v>0</v>
      </c>
      <c r="AH24" s="110">
        <f t="shared" si="9"/>
        <v>0</v>
      </c>
      <c r="AI24" s="110">
        <f t="shared" si="10"/>
        <v>0</v>
      </c>
      <c r="AJ24" s="110">
        <f t="shared" si="11"/>
        <v>0</v>
      </c>
      <c r="AK24" s="110">
        <f t="shared" si="12"/>
        <v>0</v>
      </c>
      <c r="AL24" s="110">
        <f t="shared" si="13"/>
        <v>0</v>
      </c>
      <c r="AM24" s="110">
        <f t="shared" si="5"/>
        <v>0</v>
      </c>
      <c r="AN24" s="190"/>
      <c r="AP24" s="112">
        <f t="shared" si="6"/>
        <v>3.6925373988471129E-2</v>
      </c>
      <c r="AQ24" s="382">
        <f>'PDA Schedules FY 2018'!AP24</f>
        <v>3.1625345028000129E-2</v>
      </c>
    </row>
    <row r="25" spans="1:43">
      <c r="A25" s="33">
        <f>'UCC Fund Calc FY2022'!C25</f>
        <v>210019</v>
      </c>
      <c r="B25" s="33" t="str">
        <f>'UCC Fund Calc FY2022'!D25</f>
        <v>Peninsula Regional Medical Center</v>
      </c>
      <c r="C25" s="87">
        <f>INDEX('Marcellas PDA FY 2020'!$B$7:$AE$63,MATCH($A25,'Marcellas PDA FY 2020'!$B$7:$B$63,0),MATCH(C$2,'Marcellas PDA FY 2020'!$B$7:$AE$7,0))</f>
        <v>253081.30000000002</v>
      </c>
      <c r="D25" s="87">
        <f>INDEX('Marcellas PDA FY 2020'!$B$7:$AE$63,MATCH($A25,'Marcellas PDA FY 2020'!$B$7:$B$63,0),MATCH(D$2,'Marcellas PDA FY 2020'!$B$7:$AE$7,0))</f>
        <v>206940.1</v>
      </c>
      <c r="E25" s="87">
        <f>INDEX('Marcellas PDA FY 2020'!$B$7:$AE$63,MATCH($A25,'Marcellas PDA FY 2020'!$B$7:$B$63,0),MATCH(E$2,'Marcellas PDA FY 2020'!$B$7:$AE$7,0))</f>
        <v>460021.4</v>
      </c>
      <c r="F25" s="87">
        <f>INDEX('Marcellas PDA FY 2020'!$B$7:$AE$63,MATCH($A25,'Marcellas PDA FY 2020'!$B$7:$B$63,0),MATCH(F$2,'Marcellas PDA FY 2020'!$B$7:$AE$7,0))</f>
        <v>134186</v>
      </c>
      <c r="G25" s="87">
        <f>INDEX('Marcellas PDA FY 2020'!$B$7:$AE$63,MATCH($A25,'Marcellas PDA FY 2020'!$B$7:$B$63,0),MATCH(G$2,'Marcellas PDA FY 2020'!$B$7:$AE$7,0))</f>
        <v>98506.1</v>
      </c>
      <c r="H25" s="87">
        <f>INDEX('Marcellas PDA FY 2020'!$B$7:$AE$63,MATCH($A25,'Marcellas PDA FY 2020'!$B$7:$B$63,0),MATCH(H$2,'Marcellas PDA FY 2020'!$B$7:$AE$7,0))</f>
        <v>232692.1</v>
      </c>
      <c r="I25" s="87">
        <f>INDEX('Marcellas PDA FY 2020'!$B$7:$AE$63,MATCH($A25,'Marcellas PDA FY 2020'!$B$7:$B$63,0),MATCH(I$2,'Marcellas PDA FY 2020'!$B$7:$AE$7,0))</f>
        <v>10314.1</v>
      </c>
      <c r="J25" s="87">
        <f>INDEX('Marcellas PDA FY 2020'!$B$7:$AE$63,MATCH($A25,'Marcellas PDA FY 2020'!$B$7:$B$63,0),MATCH(J$2,'Marcellas PDA FY 2020'!$B$7:$AE$7,0))</f>
        <v>2484.4</v>
      </c>
      <c r="K25" s="87">
        <f>INDEX('Marcellas PDA FY 2020'!$B$7:$AE$63,MATCH($A25,'Marcellas PDA FY 2020'!$B$7:$B$63,0),MATCH(K$2,'Marcellas PDA FY 2020'!$B$7:$AE$7,0))</f>
        <v>12798.5</v>
      </c>
      <c r="L25" s="87">
        <f>INDEX('Marcellas PDA FY 2020'!$B$7:$AE$63,MATCH($A25,'Marcellas PDA FY 2020'!$B$7:$B$63,0),MATCH(L$2,'Marcellas PDA FY 2020'!$B$7:$AE$7,0))</f>
        <v>14270.1</v>
      </c>
      <c r="M25" s="87">
        <f>INDEX('Marcellas PDA FY 2020'!$B$7:$AE$63,MATCH($A25,'Marcellas PDA FY 2020'!$B$7:$B$63,0),MATCH(M$2,'Marcellas PDA FY 2020'!$B$7:$AE$7,0))</f>
        <v>17697.599999999999</v>
      </c>
      <c r="N25" s="87">
        <f>INDEX('Marcellas PDA FY 2020'!$B$7:$AE$63,MATCH($A25,'Marcellas PDA FY 2020'!$B$7:$B$63,0),MATCH(N$2,'Marcellas PDA FY 2020'!$B$7:$AE$7,0))</f>
        <v>31967.699999999997</v>
      </c>
      <c r="O25" s="87">
        <f>INDEX('Marcellas PDA FY 2020'!$B$7:$AE$63,MATCH($A25,'Marcellas PDA FY 2020'!$B$7:$B$63,0),MATCH(O$2,'Marcellas PDA FY 2020'!$B$7:$AE$7,0))</f>
        <v>49406.5</v>
      </c>
      <c r="P25" s="87">
        <f>INDEX('Marcellas PDA FY 2020'!$B$7:$AE$63,MATCH($A25,'Marcellas PDA FY 2020'!$B$7:$B$63,0),MATCH(P$2,'Marcellas PDA FY 2020'!$B$7:$AE$7,0))</f>
        <v>45553.9</v>
      </c>
      <c r="Q25" s="87">
        <f>INDEX('Marcellas PDA FY 2020'!$B$7:$AE$63,MATCH($A25,'Marcellas PDA FY 2020'!$B$7:$B$63,0),MATCH(Q$2,'Marcellas PDA FY 2020'!$B$7:$AE$7,0))</f>
        <v>94960.4</v>
      </c>
      <c r="R25" s="87">
        <f>INDEX('Marcellas PDA FY 2020'!$B$7:$AE$63,MATCH($A25,'Marcellas PDA FY 2020'!$B$7:$B$63,0),MATCH(R$2,'Marcellas PDA FY 2020'!$B$7:$AE$7,0))</f>
        <v>0</v>
      </c>
      <c r="S25" s="87">
        <f>INDEX('Marcellas PDA FY 2020'!$B$7:$AE$63,MATCH($A25,'Marcellas PDA FY 2020'!$B$7:$B$63,0),MATCH(S$2,'Marcellas PDA FY 2020'!$B$7:$AE$7,0))</f>
        <v>8919.4</v>
      </c>
      <c r="T25" s="87">
        <f>INDEX('Marcellas PDA FY 2020'!$B$7:$AE$63,MATCH($A25,'Marcellas PDA FY 2020'!$B$7:$B$63,0),MATCH(T$2,'Marcellas PDA FY 2020'!$B$7:$AE$7,0))</f>
        <v>10074</v>
      </c>
      <c r="U25" s="87">
        <f>INDEX('Marcellas PDA FY 2020'!$B$7:$AE$63,MATCH($A25,'Marcellas PDA FY 2020'!$B$7:$B$63,0),MATCH(U$2,'Marcellas PDA FY 2020'!$B$7:$AE$7,0))</f>
        <v>18993.400000000001</v>
      </c>
      <c r="V25" s="87">
        <f>INDEX('Marcellas PDA FY 2020'!$B$7:$AE$63,MATCH($A25,'Marcellas PDA FY 2020'!$B$7:$B$63,0),MATCH(V$2,'Marcellas PDA FY 2020'!$B$7:$AE$7,0))</f>
        <v>35985.200000000004</v>
      </c>
      <c r="W25" s="87">
        <f>INDEX('Marcellas PDA FY 2020'!$B$7:$AE$63,MATCH($A25,'Marcellas PDA FY 2020'!$B$7:$B$63,0),MATCH(W$2,'Marcellas PDA FY 2020'!$B$7:$AE$7,0))</f>
        <v>32624.1</v>
      </c>
      <c r="X25" s="87">
        <f>INDEX('Marcellas PDA FY 2020'!$B$7:$AE$63,MATCH($A25,'Marcellas PDA FY 2020'!$B$7:$B$63,0),MATCH(X$2,'Marcellas PDA FY 2020'!$B$7:$AE$7,0))</f>
        <v>68609.3</v>
      </c>
      <c r="Y25" s="87">
        <f>INDEX('Marcellas PDA FY 2020'!$B$7:$AE$63,MATCH($A25,'Marcellas PDA FY 2020'!$B$7:$B$63,0),MATCH(Y$2,'Marcellas PDA FY 2020'!$B$7:$AE$7,0))</f>
        <v>355380.92336199997</v>
      </c>
      <c r="Z25" s="87">
        <f>INDEX('Marcellas PDA FY 2020'!$B$7:$AE$63,MATCH($A25,'Marcellas PDA FY 2020'!$B$7:$B$63,0),MATCH(Z$2,'Marcellas PDA FY 2020'!$B$7:$AE$7,0))</f>
        <v>396106.49367750454</v>
      </c>
      <c r="AA25" s="131">
        <f t="shared" si="0"/>
        <v>0.50582885926611243</v>
      </c>
      <c r="AB25" s="80">
        <f t="shared" si="1"/>
        <v>2.78215317809128E-2</v>
      </c>
      <c r="AC25" s="80">
        <f t="shared" si="2"/>
        <v>0.20642604887511753</v>
      </c>
      <c r="AD25" s="80">
        <f t="shared" si="3"/>
        <v>0.23424758065603032</v>
      </c>
      <c r="AE25" s="80">
        <f t="shared" si="4"/>
        <v>4.1288079206749949E-2</v>
      </c>
      <c r="AF25" s="128">
        <f t="shared" si="7"/>
        <v>0</v>
      </c>
      <c r="AG25" s="110">
        <f t="shared" si="8"/>
        <v>0</v>
      </c>
      <c r="AH25" s="110">
        <f t="shared" si="9"/>
        <v>0</v>
      </c>
      <c r="AI25" s="110">
        <f t="shared" si="10"/>
        <v>0</v>
      </c>
      <c r="AJ25" s="110">
        <f t="shared" si="11"/>
        <v>0</v>
      </c>
      <c r="AK25" s="110">
        <f t="shared" si="12"/>
        <v>0</v>
      </c>
      <c r="AL25" s="110">
        <f t="shared" si="13"/>
        <v>0</v>
      </c>
      <c r="AM25" s="110">
        <f t="shared" si="5"/>
        <v>0</v>
      </c>
      <c r="AN25" s="190"/>
      <c r="AP25" s="112">
        <f t="shared" si="6"/>
        <v>4.1288079206749949E-2</v>
      </c>
      <c r="AQ25" s="382">
        <f>'PDA Schedules FY 2018'!AP25</f>
        <v>3.4937208065524333E-2</v>
      </c>
    </row>
    <row r="26" spans="1:43">
      <c r="A26" s="33">
        <f>'UCC Fund Calc FY2022'!C26</f>
        <v>210022</v>
      </c>
      <c r="B26" s="33" t="str">
        <f>'UCC Fund Calc FY2022'!D26</f>
        <v>Suburban Hospital</v>
      </c>
      <c r="C26" s="87">
        <f>INDEX('Marcellas PDA FY 2020'!$B$7:$AE$63,MATCH($A26,'Marcellas PDA FY 2020'!$B$7:$B$63,0),MATCH(C$2,'Marcellas PDA FY 2020'!$B$7:$AE$7,0))</f>
        <v>206850.99128043803</v>
      </c>
      <c r="D26" s="87">
        <f>INDEX('Marcellas PDA FY 2020'!$B$7:$AE$63,MATCH($A26,'Marcellas PDA FY 2020'!$B$7:$B$63,0),MATCH(D$2,'Marcellas PDA FY 2020'!$B$7:$AE$7,0))</f>
        <v>116588.28659468069</v>
      </c>
      <c r="E26" s="87">
        <f>INDEX('Marcellas PDA FY 2020'!$B$7:$AE$63,MATCH($A26,'Marcellas PDA FY 2020'!$B$7:$B$63,0),MATCH(E$2,'Marcellas PDA FY 2020'!$B$7:$AE$7,0))</f>
        <v>323439.27787511871</v>
      </c>
      <c r="F26" s="87">
        <f>INDEX('Marcellas PDA FY 2020'!$B$7:$AE$63,MATCH($A26,'Marcellas PDA FY 2020'!$B$7:$B$63,0),MATCH(F$2,'Marcellas PDA FY 2020'!$B$7:$AE$7,0))</f>
        <v>104978.7663461</v>
      </c>
      <c r="G26" s="87">
        <f>INDEX('Marcellas PDA FY 2020'!$B$7:$AE$63,MATCH($A26,'Marcellas PDA FY 2020'!$B$7:$B$63,0),MATCH(G$2,'Marcellas PDA FY 2020'!$B$7:$AE$7,0))</f>
        <v>37768.821043943193</v>
      </c>
      <c r="H26" s="87">
        <f>INDEX('Marcellas PDA FY 2020'!$B$7:$AE$63,MATCH($A26,'Marcellas PDA FY 2020'!$B$7:$B$63,0),MATCH(H$2,'Marcellas PDA FY 2020'!$B$7:$AE$7,0))</f>
        <v>142747.58739004319</v>
      </c>
      <c r="I26" s="87">
        <f>INDEX('Marcellas PDA FY 2020'!$B$7:$AE$63,MATCH($A26,'Marcellas PDA FY 2020'!$B$7:$B$63,0),MATCH(I$2,'Marcellas PDA FY 2020'!$B$7:$AE$7,0))</f>
        <v>5886.03030778415</v>
      </c>
      <c r="J26" s="87">
        <f>INDEX('Marcellas PDA FY 2020'!$B$7:$AE$63,MATCH($A26,'Marcellas PDA FY 2020'!$B$7:$B$63,0),MATCH(J$2,'Marcellas PDA FY 2020'!$B$7:$AE$7,0))</f>
        <v>916.89652032506399</v>
      </c>
      <c r="K26" s="87">
        <f>INDEX('Marcellas PDA FY 2020'!$B$7:$AE$63,MATCH($A26,'Marcellas PDA FY 2020'!$B$7:$B$63,0),MATCH(K$2,'Marcellas PDA FY 2020'!$B$7:$AE$7,0))</f>
        <v>6802.9268281092136</v>
      </c>
      <c r="L26" s="87">
        <f>INDEX('Marcellas PDA FY 2020'!$B$7:$AE$63,MATCH($A26,'Marcellas PDA FY 2020'!$B$7:$B$63,0),MATCH(L$2,'Marcellas PDA FY 2020'!$B$7:$AE$7,0))</f>
        <v>24951.441380564898</v>
      </c>
      <c r="M26" s="87">
        <f>INDEX('Marcellas PDA FY 2020'!$B$7:$AE$63,MATCH($A26,'Marcellas PDA FY 2020'!$B$7:$B$63,0),MATCH(M$2,'Marcellas PDA FY 2020'!$B$7:$AE$7,0))</f>
        <v>26284.870961172201</v>
      </c>
      <c r="N26" s="87">
        <f>INDEX('Marcellas PDA FY 2020'!$B$7:$AE$63,MATCH($A26,'Marcellas PDA FY 2020'!$B$7:$B$63,0),MATCH(N$2,'Marcellas PDA FY 2020'!$B$7:$AE$7,0))</f>
        <v>51236.312341737095</v>
      </c>
      <c r="O26" s="87">
        <f>INDEX('Marcellas PDA FY 2020'!$B$7:$AE$63,MATCH($A26,'Marcellas PDA FY 2020'!$B$7:$B$63,0),MATCH(O$2,'Marcellas PDA FY 2020'!$B$7:$AE$7,0))</f>
        <v>14085.124245989</v>
      </c>
      <c r="P26" s="87">
        <f>INDEX('Marcellas PDA FY 2020'!$B$7:$AE$63,MATCH($A26,'Marcellas PDA FY 2020'!$B$7:$B$63,0),MATCH(P$2,'Marcellas PDA FY 2020'!$B$7:$AE$7,0))</f>
        <v>9048.5830692402287</v>
      </c>
      <c r="Q26" s="87">
        <f>INDEX('Marcellas PDA FY 2020'!$B$7:$AE$63,MATCH($A26,'Marcellas PDA FY 2020'!$B$7:$B$63,0),MATCH(Q$2,'Marcellas PDA FY 2020'!$B$7:$AE$7,0))</f>
        <v>23133.707315229229</v>
      </c>
      <c r="R26" s="87">
        <f>INDEX('Marcellas PDA FY 2020'!$B$7:$AE$63,MATCH($A26,'Marcellas PDA FY 2020'!$B$7:$B$63,0),MATCH(R$2,'Marcellas PDA FY 2020'!$B$7:$AE$7,0))</f>
        <v>1691.1545900000074</v>
      </c>
      <c r="S26" s="87">
        <f>INDEX('Marcellas PDA FY 2020'!$B$7:$AE$63,MATCH($A26,'Marcellas PDA FY 2020'!$B$7:$B$63,0),MATCH(S$2,'Marcellas PDA FY 2020'!$B$7:$AE$7,0))</f>
        <v>8211.6229999999996</v>
      </c>
      <c r="T26" s="87">
        <f>INDEX('Marcellas PDA FY 2020'!$B$7:$AE$63,MATCH($A26,'Marcellas PDA FY 2020'!$B$7:$B$63,0),MATCH(T$2,'Marcellas PDA FY 2020'!$B$7:$AE$7,0))</f>
        <v>4563.3670000000002</v>
      </c>
      <c r="U26" s="87">
        <f>INDEX('Marcellas PDA FY 2020'!$B$7:$AE$63,MATCH($A26,'Marcellas PDA FY 2020'!$B$7:$B$63,0),MATCH(U$2,'Marcellas PDA FY 2020'!$B$7:$AE$7,0))</f>
        <v>12774.99</v>
      </c>
      <c r="V26" s="87">
        <f>INDEX('Marcellas PDA FY 2020'!$B$7:$AE$63,MATCH($A26,'Marcellas PDA FY 2020'!$B$7:$B$63,0),MATCH(V$2,'Marcellas PDA FY 2020'!$B$7:$AE$7,0))</f>
        <v>48738.005999999979</v>
      </c>
      <c r="W26" s="87">
        <f>INDEX('Marcellas PDA FY 2020'!$B$7:$AE$63,MATCH($A26,'Marcellas PDA FY 2020'!$B$7:$B$63,0),MATCH(W$2,'Marcellas PDA FY 2020'!$B$7:$AE$7,0))</f>
        <v>38005.747999999985</v>
      </c>
      <c r="X26" s="87">
        <f>INDEX('Marcellas PDA FY 2020'!$B$7:$AE$63,MATCH($A26,'Marcellas PDA FY 2020'!$B$7:$B$63,0),MATCH(X$2,'Marcellas PDA FY 2020'!$B$7:$AE$7,0))</f>
        <v>86743.753999999957</v>
      </c>
      <c r="Y26" s="87">
        <f>INDEX('Marcellas PDA FY 2020'!$B$7:$AE$63,MATCH($A26,'Marcellas PDA FY 2020'!$B$7:$B$63,0),MATCH(Y$2,'Marcellas PDA FY 2020'!$B$7:$AE$7,0))</f>
        <v>270178.95643741125</v>
      </c>
      <c r="Z26" s="87">
        <f>INDEX('Marcellas PDA FY 2020'!$B$7:$AE$63,MATCH($A26,'Marcellas PDA FY 2020'!$B$7:$B$63,0),MATCH(Z$2,'Marcellas PDA FY 2020'!$B$7:$AE$7,0))</f>
        <v>296779.87042760418</v>
      </c>
      <c r="AA26" s="131">
        <f t="shared" si="0"/>
        <v>0.44134277174944303</v>
      </c>
      <c r="AB26" s="80">
        <f t="shared" si="1"/>
        <v>2.103308810482768E-2</v>
      </c>
      <c r="AC26" s="80">
        <f t="shared" si="2"/>
        <v>7.1524112554323879E-2</v>
      </c>
      <c r="AD26" s="80">
        <f t="shared" si="3"/>
        <v>9.2557200659151559E-2</v>
      </c>
      <c r="AE26" s="80">
        <f t="shared" si="4"/>
        <v>3.9497336513756622E-2</v>
      </c>
      <c r="AF26" s="128">
        <f t="shared" si="7"/>
        <v>0</v>
      </c>
      <c r="AG26" s="110">
        <f t="shared" si="8"/>
        <v>0</v>
      </c>
      <c r="AH26" s="110">
        <f t="shared" si="9"/>
        <v>0</v>
      </c>
      <c r="AI26" s="110">
        <f t="shared" si="10"/>
        <v>0</v>
      </c>
      <c r="AJ26" s="110">
        <f t="shared" si="11"/>
        <v>0</v>
      </c>
      <c r="AK26" s="110">
        <f t="shared" si="12"/>
        <v>0</v>
      </c>
      <c r="AL26" s="110">
        <f t="shared" si="13"/>
        <v>0</v>
      </c>
      <c r="AM26" s="110">
        <f t="shared" si="5"/>
        <v>0</v>
      </c>
      <c r="AN26" s="190"/>
      <c r="AP26" s="112">
        <f t="shared" si="6"/>
        <v>3.9497336513756622E-2</v>
      </c>
      <c r="AQ26" s="382">
        <f>'PDA Schedules FY 2018'!AP26</f>
        <v>3.4002229238079919E-2</v>
      </c>
    </row>
    <row r="27" spans="1:43">
      <c r="A27" s="33">
        <f>'UCC Fund Calc FY2022'!C27</f>
        <v>210023</v>
      </c>
      <c r="B27" s="33" t="str">
        <f>'UCC Fund Calc FY2022'!D27</f>
        <v>Anne Arundel Medical Center</v>
      </c>
      <c r="C27" s="87">
        <f>INDEX('Marcellas PDA FY 2020'!$B$7:$AE$63,MATCH($A27,'Marcellas PDA FY 2020'!$B$7:$B$63,0),MATCH(C$2,'Marcellas PDA FY 2020'!$B$7:$AE$7,0))</f>
        <v>315596.59999999998</v>
      </c>
      <c r="D27" s="87">
        <f>INDEX('Marcellas PDA FY 2020'!$B$7:$AE$63,MATCH($A27,'Marcellas PDA FY 2020'!$B$7:$B$63,0),MATCH(D$2,'Marcellas PDA FY 2020'!$B$7:$AE$7,0))</f>
        <v>324794.3</v>
      </c>
      <c r="E27" s="87">
        <f>INDEX('Marcellas PDA FY 2020'!$B$7:$AE$63,MATCH($A27,'Marcellas PDA FY 2020'!$B$7:$B$63,0),MATCH(E$2,'Marcellas PDA FY 2020'!$B$7:$AE$7,0))</f>
        <v>640390.89999999991</v>
      </c>
      <c r="F27" s="87">
        <f>INDEX('Marcellas PDA FY 2020'!$B$7:$AE$63,MATCH($A27,'Marcellas PDA FY 2020'!$B$7:$B$63,0),MATCH(F$2,'Marcellas PDA FY 2020'!$B$7:$AE$7,0))</f>
        <v>133973.20000000001</v>
      </c>
      <c r="G27" s="87">
        <f>INDEX('Marcellas PDA FY 2020'!$B$7:$AE$63,MATCH($A27,'Marcellas PDA FY 2020'!$B$7:$B$63,0),MATCH(G$2,'Marcellas PDA FY 2020'!$B$7:$AE$7,0))</f>
        <v>109812.2</v>
      </c>
      <c r="H27" s="87">
        <f>INDEX('Marcellas PDA FY 2020'!$B$7:$AE$63,MATCH($A27,'Marcellas PDA FY 2020'!$B$7:$B$63,0),MATCH(H$2,'Marcellas PDA FY 2020'!$B$7:$AE$7,0))</f>
        <v>243785.40000000002</v>
      </c>
      <c r="I27" s="87">
        <f>INDEX('Marcellas PDA FY 2020'!$B$7:$AE$63,MATCH($A27,'Marcellas PDA FY 2020'!$B$7:$B$63,0),MATCH(I$2,'Marcellas PDA FY 2020'!$B$7:$AE$7,0))</f>
        <v>8911.7000000000007</v>
      </c>
      <c r="J27" s="87">
        <f>INDEX('Marcellas PDA FY 2020'!$B$7:$AE$63,MATCH($A27,'Marcellas PDA FY 2020'!$B$7:$B$63,0),MATCH(J$2,'Marcellas PDA FY 2020'!$B$7:$AE$7,0))</f>
        <v>2554.6</v>
      </c>
      <c r="K27" s="87">
        <f>INDEX('Marcellas PDA FY 2020'!$B$7:$AE$63,MATCH($A27,'Marcellas PDA FY 2020'!$B$7:$B$63,0),MATCH(K$2,'Marcellas PDA FY 2020'!$B$7:$AE$7,0))</f>
        <v>11466.300000000001</v>
      </c>
      <c r="L27" s="87">
        <f>INDEX('Marcellas PDA FY 2020'!$B$7:$AE$63,MATCH($A27,'Marcellas PDA FY 2020'!$B$7:$B$63,0),MATCH(L$2,'Marcellas PDA FY 2020'!$B$7:$AE$7,0))</f>
        <v>41193.699999999997</v>
      </c>
      <c r="M27" s="87">
        <f>INDEX('Marcellas PDA FY 2020'!$B$7:$AE$63,MATCH($A27,'Marcellas PDA FY 2020'!$B$7:$B$63,0),MATCH(M$2,'Marcellas PDA FY 2020'!$B$7:$AE$7,0))</f>
        <v>58422.1</v>
      </c>
      <c r="N27" s="87">
        <f>INDEX('Marcellas PDA FY 2020'!$B$7:$AE$63,MATCH($A27,'Marcellas PDA FY 2020'!$B$7:$B$63,0),MATCH(N$2,'Marcellas PDA FY 2020'!$B$7:$AE$7,0))</f>
        <v>99615.799999999988</v>
      </c>
      <c r="O27" s="87">
        <f>INDEX('Marcellas PDA FY 2020'!$B$7:$AE$63,MATCH($A27,'Marcellas PDA FY 2020'!$B$7:$B$63,0),MATCH(O$2,'Marcellas PDA FY 2020'!$B$7:$AE$7,0))</f>
        <v>46187.6</v>
      </c>
      <c r="P27" s="87">
        <f>INDEX('Marcellas PDA FY 2020'!$B$7:$AE$63,MATCH($A27,'Marcellas PDA FY 2020'!$B$7:$B$63,0),MATCH(P$2,'Marcellas PDA FY 2020'!$B$7:$AE$7,0))</f>
        <v>36227.199999999997</v>
      </c>
      <c r="Q27" s="87">
        <f>INDEX('Marcellas PDA FY 2020'!$B$7:$AE$63,MATCH($A27,'Marcellas PDA FY 2020'!$B$7:$B$63,0),MATCH(Q$2,'Marcellas PDA FY 2020'!$B$7:$AE$7,0))</f>
        <v>82414.799999999988</v>
      </c>
      <c r="R27" s="87">
        <f>INDEX('Marcellas PDA FY 2020'!$B$7:$AE$63,MATCH($A27,'Marcellas PDA FY 2020'!$B$7:$B$63,0),MATCH(R$2,'Marcellas PDA FY 2020'!$B$7:$AE$7,0))</f>
        <v>4796.2</v>
      </c>
      <c r="S27" s="87">
        <f>INDEX('Marcellas PDA FY 2020'!$B$7:$AE$63,MATCH($A27,'Marcellas PDA FY 2020'!$B$7:$B$63,0),MATCH(S$2,'Marcellas PDA FY 2020'!$B$7:$AE$7,0))</f>
        <v>6661.6</v>
      </c>
      <c r="T27" s="87">
        <f>INDEX('Marcellas PDA FY 2020'!$B$7:$AE$63,MATCH($A27,'Marcellas PDA FY 2020'!$B$7:$B$63,0),MATCH(T$2,'Marcellas PDA FY 2020'!$B$7:$AE$7,0))</f>
        <v>14313.7</v>
      </c>
      <c r="U27" s="87">
        <f>INDEX('Marcellas PDA FY 2020'!$B$7:$AE$63,MATCH($A27,'Marcellas PDA FY 2020'!$B$7:$B$63,0),MATCH(U$2,'Marcellas PDA FY 2020'!$B$7:$AE$7,0))</f>
        <v>20975.300000000003</v>
      </c>
      <c r="V27" s="87">
        <f>INDEX('Marcellas PDA FY 2020'!$B$7:$AE$63,MATCH($A27,'Marcellas PDA FY 2020'!$B$7:$B$63,0),MATCH(V$2,'Marcellas PDA FY 2020'!$B$7:$AE$7,0))</f>
        <v>78668.79999999993</v>
      </c>
      <c r="W27" s="87">
        <f>INDEX('Marcellas PDA FY 2020'!$B$7:$AE$63,MATCH($A27,'Marcellas PDA FY 2020'!$B$7:$B$63,0),MATCH(W$2,'Marcellas PDA FY 2020'!$B$7:$AE$7,0))</f>
        <v>103464.49999999997</v>
      </c>
      <c r="X27" s="87">
        <f>INDEX('Marcellas PDA FY 2020'!$B$7:$AE$63,MATCH($A27,'Marcellas PDA FY 2020'!$B$7:$B$63,0),MATCH(X$2,'Marcellas PDA FY 2020'!$B$7:$AE$7,0))</f>
        <v>182133.2999999999</v>
      </c>
      <c r="Y27" s="87">
        <f>INDEX('Marcellas PDA FY 2020'!$B$7:$AE$63,MATCH($A27,'Marcellas PDA FY 2020'!$B$7:$B$63,0),MATCH(Y$2,'Marcellas PDA FY 2020'!$B$7:$AE$7,0))</f>
        <v>530344.11943340651</v>
      </c>
      <c r="Z27" s="87">
        <f>INDEX('Marcellas PDA FY 2020'!$B$7:$AE$63,MATCH($A27,'Marcellas PDA FY 2020'!$B$7:$B$63,0),MATCH(Z$2,'Marcellas PDA FY 2020'!$B$7:$AE$7,0))</f>
        <v>578009.36885896558</v>
      </c>
      <c r="AA27" s="131">
        <f t="shared" si="0"/>
        <v>0.38068217396593246</v>
      </c>
      <c r="AB27" s="80">
        <f t="shared" si="1"/>
        <v>1.7905157615450192E-2</v>
      </c>
      <c r="AC27" s="80">
        <f t="shared" si="2"/>
        <v>0.1286945207997178</v>
      </c>
      <c r="AD27" s="80">
        <f t="shared" si="3"/>
        <v>0.14659967841516799</v>
      </c>
      <c r="AE27" s="80">
        <f t="shared" si="4"/>
        <v>3.2753900781538288E-2</v>
      </c>
      <c r="AF27" s="128">
        <f t="shared" si="7"/>
        <v>0</v>
      </c>
      <c r="AG27" s="110">
        <f t="shared" si="8"/>
        <v>0</v>
      </c>
      <c r="AH27" s="110">
        <f t="shared" si="9"/>
        <v>0</v>
      </c>
      <c r="AI27" s="110">
        <f t="shared" si="10"/>
        <v>0</v>
      </c>
      <c r="AJ27" s="110">
        <f t="shared" si="11"/>
        <v>0</v>
      </c>
      <c r="AK27" s="110">
        <f t="shared" si="12"/>
        <v>0</v>
      </c>
      <c r="AL27" s="110">
        <f t="shared" si="13"/>
        <v>0</v>
      </c>
      <c r="AM27" s="110">
        <f t="shared" si="5"/>
        <v>0</v>
      </c>
      <c r="AN27" s="190"/>
      <c r="AP27" s="112">
        <f t="shared" si="6"/>
        <v>3.2753900781538288E-2</v>
      </c>
      <c r="AQ27" s="382">
        <f>'PDA Schedules FY 2018'!AP27</f>
        <v>2.7966246690855918E-2</v>
      </c>
    </row>
    <row r="28" spans="1:43">
      <c r="A28" s="33">
        <f>'UCC Fund Calc FY2022'!C28</f>
        <v>210024</v>
      </c>
      <c r="B28" s="33" t="str">
        <f>'UCC Fund Calc FY2022'!D28</f>
        <v>Medstar Union Memorial Hospital</v>
      </c>
      <c r="C28" s="87">
        <f>INDEX('Marcellas PDA FY 2020'!$B$7:$AE$63,MATCH($A28,'Marcellas PDA FY 2020'!$B$7:$B$63,0),MATCH(C$2,'Marcellas PDA FY 2020'!$B$7:$AE$7,0))</f>
        <v>275331.92623999983</v>
      </c>
      <c r="D28" s="87">
        <f>INDEX('Marcellas PDA FY 2020'!$B$7:$AE$63,MATCH($A28,'Marcellas PDA FY 2020'!$B$7:$B$63,0),MATCH(D$2,'Marcellas PDA FY 2020'!$B$7:$AE$7,0))</f>
        <v>156231.0014500001</v>
      </c>
      <c r="E28" s="87">
        <f>INDEX('Marcellas PDA FY 2020'!$B$7:$AE$63,MATCH($A28,'Marcellas PDA FY 2020'!$B$7:$B$63,0),MATCH(E$2,'Marcellas PDA FY 2020'!$B$7:$AE$7,0))</f>
        <v>431562.92768999992</v>
      </c>
      <c r="F28" s="87">
        <f>INDEX('Marcellas PDA FY 2020'!$B$7:$AE$63,MATCH($A28,'Marcellas PDA FY 2020'!$B$7:$B$63,0),MATCH(F$2,'Marcellas PDA FY 2020'!$B$7:$AE$7,0))</f>
        <v>144590.48369605641</v>
      </c>
      <c r="G28" s="87">
        <f>INDEX('Marcellas PDA FY 2020'!$B$7:$AE$63,MATCH($A28,'Marcellas PDA FY 2020'!$B$7:$B$63,0),MATCH(G$2,'Marcellas PDA FY 2020'!$B$7:$AE$7,0))</f>
        <v>51096.86081909763</v>
      </c>
      <c r="H28" s="87">
        <f>INDEX('Marcellas PDA FY 2020'!$B$7:$AE$63,MATCH($A28,'Marcellas PDA FY 2020'!$B$7:$B$63,0),MATCH(H$2,'Marcellas PDA FY 2020'!$B$7:$AE$7,0))</f>
        <v>195687.34451515405</v>
      </c>
      <c r="I28" s="87">
        <f>INDEX('Marcellas PDA FY 2020'!$B$7:$AE$63,MATCH($A28,'Marcellas PDA FY 2020'!$B$7:$B$63,0),MATCH(I$2,'Marcellas PDA FY 2020'!$B$7:$AE$7,0))</f>
        <v>10026.384519030826</v>
      </c>
      <c r="J28" s="87">
        <f>INDEX('Marcellas PDA FY 2020'!$B$7:$AE$63,MATCH($A28,'Marcellas PDA FY 2020'!$B$7:$B$63,0),MATCH(J$2,'Marcellas PDA FY 2020'!$B$7:$AE$7,0))</f>
        <v>3065.6947827778918</v>
      </c>
      <c r="K28" s="87">
        <f>INDEX('Marcellas PDA FY 2020'!$B$7:$AE$63,MATCH($A28,'Marcellas PDA FY 2020'!$B$7:$B$63,0),MATCH(K$2,'Marcellas PDA FY 2020'!$B$7:$AE$7,0))</f>
        <v>13092.079301808717</v>
      </c>
      <c r="L28" s="87">
        <f>INDEX('Marcellas PDA FY 2020'!$B$7:$AE$63,MATCH($A28,'Marcellas PDA FY 2020'!$B$7:$B$63,0),MATCH(L$2,'Marcellas PDA FY 2020'!$B$7:$AE$7,0))</f>
        <v>23003.676059127713</v>
      </c>
      <c r="M28" s="87">
        <f>INDEX('Marcellas PDA FY 2020'!$B$7:$AE$63,MATCH($A28,'Marcellas PDA FY 2020'!$B$7:$B$63,0),MATCH(M$2,'Marcellas PDA FY 2020'!$B$7:$AE$7,0))</f>
        <v>20588.524994092004</v>
      </c>
      <c r="N28" s="87">
        <f>INDEX('Marcellas PDA FY 2020'!$B$7:$AE$63,MATCH($A28,'Marcellas PDA FY 2020'!$B$7:$B$63,0),MATCH(N$2,'Marcellas PDA FY 2020'!$B$7:$AE$7,0))</f>
        <v>43592.201053219716</v>
      </c>
      <c r="O28" s="87">
        <f>INDEX('Marcellas PDA FY 2020'!$B$7:$AE$63,MATCH($A28,'Marcellas PDA FY 2020'!$B$7:$B$63,0),MATCH(O$2,'Marcellas PDA FY 2020'!$B$7:$AE$7,0))</f>
        <v>56904.580908995486</v>
      </c>
      <c r="P28" s="87">
        <f>INDEX('Marcellas PDA FY 2020'!$B$7:$AE$63,MATCH($A28,'Marcellas PDA FY 2020'!$B$7:$B$63,0),MATCH(P$2,'Marcellas PDA FY 2020'!$B$7:$AE$7,0))</f>
        <v>37749.453934446414</v>
      </c>
      <c r="Q28" s="87">
        <f>INDEX('Marcellas PDA FY 2020'!$B$7:$AE$63,MATCH($A28,'Marcellas PDA FY 2020'!$B$7:$B$63,0),MATCH(Q$2,'Marcellas PDA FY 2020'!$B$7:$AE$7,0))</f>
        <v>94654.034843441899</v>
      </c>
      <c r="R28" s="87">
        <f>INDEX('Marcellas PDA FY 2020'!$B$7:$AE$63,MATCH($A28,'Marcellas PDA FY 2020'!$B$7:$B$63,0),MATCH(R$2,'Marcellas PDA FY 2020'!$B$7:$AE$7,0))</f>
        <v>3392.2974500000082</v>
      </c>
      <c r="S28" s="87">
        <f>INDEX('Marcellas PDA FY 2020'!$B$7:$AE$63,MATCH($A28,'Marcellas PDA FY 2020'!$B$7:$B$63,0),MATCH(S$2,'Marcellas PDA FY 2020'!$B$7:$AE$7,0))</f>
        <v>4332.7228812333906</v>
      </c>
      <c r="T28" s="87">
        <f>INDEX('Marcellas PDA FY 2020'!$B$7:$AE$63,MATCH($A28,'Marcellas PDA FY 2020'!$B$7:$B$63,0),MATCH(T$2,'Marcellas PDA FY 2020'!$B$7:$AE$7,0))</f>
        <v>8673.848028766608</v>
      </c>
      <c r="U28" s="87">
        <f>INDEX('Marcellas PDA FY 2020'!$B$7:$AE$63,MATCH($A28,'Marcellas PDA FY 2020'!$B$7:$B$63,0),MATCH(U$2,'Marcellas PDA FY 2020'!$B$7:$AE$7,0))</f>
        <v>13006.570909999999</v>
      </c>
      <c r="V28" s="87">
        <f>INDEX('Marcellas PDA FY 2020'!$B$7:$AE$63,MATCH($A28,'Marcellas PDA FY 2020'!$B$7:$B$63,0),MATCH(V$2,'Marcellas PDA FY 2020'!$B$7:$AE$7,0))</f>
        <v>36474.078175556002</v>
      </c>
      <c r="W28" s="87">
        <f>INDEX('Marcellas PDA FY 2020'!$B$7:$AE$63,MATCH($A28,'Marcellas PDA FY 2020'!$B$7:$B$63,0),MATCH(W$2,'Marcellas PDA FY 2020'!$B$7:$AE$7,0))</f>
        <v>35056.61889081954</v>
      </c>
      <c r="X28" s="87">
        <f>INDEX('Marcellas PDA FY 2020'!$B$7:$AE$63,MATCH($A28,'Marcellas PDA FY 2020'!$B$7:$B$63,0),MATCH(X$2,'Marcellas PDA FY 2020'!$B$7:$AE$7,0))</f>
        <v>71530.697066375549</v>
      </c>
      <c r="Y28" s="87">
        <f>INDEX('Marcellas PDA FY 2020'!$B$7:$AE$63,MATCH($A28,'Marcellas PDA FY 2020'!$B$7:$B$63,0),MATCH(Y$2,'Marcellas PDA FY 2020'!$B$7:$AE$7,0))</f>
        <v>329400.84877678216</v>
      </c>
      <c r="Z28" s="87">
        <f>INDEX('Marcellas PDA FY 2020'!$B$7:$AE$63,MATCH($A28,'Marcellas PDA FY 2020'!$B$7:$B$63,0),MATCH(Z$2,'Marcellas PDA FY 2020'!$B$7:$AE$7,0))</f>
        <v>361977.84092178853</v>
      </c>
      <c r="AA28" s="131">
        <f t="shared" si="0"/>
        <v>0.45343872691428233</v>
      </c>
      <c r="AB28" s="80">
        <f t="shared" si="1"/>
        <v>3.0336431750256854E-2</v>
      </c>
      <c r="AC28" s="80">
        <f t="shared" si="2"/>
        <v>0.21932846583947949</v>
      </c>
      <c r="AD28" s="80">
        <f t="shared" si="3"/>
        <v>0.24966489758973631</v>
      </c>
      <c r="AE28" s="80">
        <f t="shared" si="4"/>
        <v>3.013829519513982E-2</v>
      </c>
      <c r="AF28" s="128">
        <f t="shared" si="7"/>
        <v>0</v>
      </c>
      <c r="AG28" s="110">
        <f t="shared" si="8"/>
        <v>0</v>
      </c>
      <c r="AH28" s="110">
        <f t="shared" si="9"/>
        <v>0</v>
      </c>
      <c r="AI28" s="110">
        <f t="shared" si="10"/>
        <v>0</v>
      </c>
      <c r="AJ28" s="110">
        <f t="shared" si="11"/>
        <v>0</v>
      </c>
      <c r="AK28" s="110">
        <f t="shared" si="12"/>
        <v>0</v>
      </c>
      <c r="AL28" s="110">
        <f t="shared" si="13"/>
        <v>0</v>
      </c>
      <c r="AM28" s="110">
        <f t="shared" si="5"/>
        <v>0</v>
      </c>
      <c r="AN28" s="190"/>
      <c r="AP28" s="112">
        <f t="shared" si="6"/>
        <v>3.013829519513982E-2</v>
      </c>
      <c r="AQ28" s="382">
        <f>'PDA Schedules FY 2018'!AP28</f>
        <v>3.5899380538046553E-2</v>
      </c>
    </row>
    <row r="29" spans="1:43">
      <c r="A29" s="33">
        <f>'UCC Fund Calc FY2022'!C29</f>
        <v>210027</v>
      </c>
      <c r="B29" s="33" t="str">
        <f>'UCC Fund Calc FY2022'!D29</f>
        <v>Western Maryland Regional Medical Center</v>
      </c>
      <c r="C29" s="101">
        <f>INDEX('Marcellas PDA FY 2020'!$B$7:$AE$63,MATCH($A29,'Marcellas PDA FY 2020'!$B$7:$B$63,0),MATCH(C$2,'Marcellas PDA FY 2020'!$B$7:$AE$7,0))</f>
        <v>159072.40000000002</v>
      </c>
      <c r="D29" s="87">
        <f>INDEX('Marcellas PDA FY 2020'!$B$7:$AE$63,MATCH($A29,'Marcellas PDA FY 2020'!$B$7:$B$63,0),MATCH(D$2,'Marcellas PDA FY 2020'!$B$7:$AE$7,0))</f>
        <v>158219.1</v>
      </c>
      <c r="E29" s="87">
        <f>INDEX('Marcellas PDA FY 2020'!$B$7:$AE$63,MATCH($A29,'Marcellas PDA FY 2020'!$B$7:$B$63,0),MATCH(E$2,'Marcellas PDA FY 2020'!$B$7:$AE$7,0))</f>
        <v>317291.5</v>
      </c>
      <c r="F29" s="87">
        <f>INDEX('Marcellas PDA FY 2020'!$B$7:$AE$63,MATCH($A29,'Marcellas PDA FY 2020'!$B$7:$B$63,0),MATCH(F$2,'Marcellas PDA FY 2020'!$B$7:$AE$7,0))</f>
        <v>89365.4</v>
      </c>
      <c r="G29" s="87">
        <f>INDEX('Marcellas PDA FY 2020'!$B$7:$AE$63,MATCH($A29,'Marcellas PDA FY 2020'!$B$7:$B$63,0),MATCH(G$2,'Marcellas PDA FY 2020'!$B$7:$AE$7,0))</f>
        <v>72203.7</v>
      </c>
      <c r="H29" s="87">
        <f>INDEX('Marcellas PDA FY 2020'!$B$7:$AE$63,MATCH($A29,'Marcellas PDA FY 2020'!$B$7:$B$63,0),MATCH(H$2,'Marcellas PDA FY 2020'!$B$7:$AE$7,0))</f>
        <v>161569.09999999998</v>
      </c>
      <c r="I29" s="87">
        <f>INDEX('Marcellas PDA FY 2020'!$B$7:$AE$63,MATCH($A29,'Marcellas PDA FY 2020'!$B$7:$B$63,0),MATCH(I$2,'Marcellas PDA FY 2020'!$B$7:$AE$7,0))</f>
        <v>4608.3999999999996</v>
      </c>
      <c r="J29" s="87">
        <f>INDEX('Marcellas PDA FY 2020'!$B$7:$AE$63,MATCH($A29,'Marcellas PDA FY 2020'!$B$7:$B$63,0),MATCH(J$2,'Marcellas PDA FY 2020'!$B$7:$AE$7,0))</f>
        <v>1673.1000000000001</v>
      </c>
      <c r="K29" s="87">
        <f>INDEX('Marcellas PDA FY 2020'!$B$7:$AE$63,MATCH($A29,'Marcellas PDA FY 2020'!$B$7:$B$63,0),MATCH(K$2,'Marcellas PDA FY 2020'!$B$7:$AE$7,0))</f>
        <v>6281.5</v>
      </c>
      <c r="L29" s="87">
        <f>INDEX('Marcellas PDA FY 2020'!$B$7:$AE$63,MATCH($A29,'Marcellas PDA FY 2020'!$B$7:$B$63,0),MATCH(L$2,'Marcellas PDA FY 2020'!$B$7:$AE$7,0))</f>
        <v>10203.599999999999</v>
      </c>
      <c r="M29" s="87">
        <f>INDEX('Marcellas PDA FY 2020'!$B$7:$AE$63,MATCH($A29,'Marcellas PDA FY 2020'!$B$7:$B$63,0),MATCH(M$2,'Marcellas PDA FY 2020'!$B$7:$AE$7,0))</f>
        <v>16572.8</v>
      </c>
      <c r="N29" s="87">
        <f>INDEX('Marcellas PDA FY 2020'!$B$7:$AE$63,MATCH($A29,'Marcellas PDA FY 2020'!$B$7:$B$63,0),MATCH(N$2,'Marcellas PDA FY 2020'!$B$7:$AE$7,0))</f>
        <v>26776.399999999998</v>
      </c>
      <c r="O29" s="87">
        <f>INDEX('Marcellas PDA FY 2020'!$B$7:$AE$63,MATCH($A29,'Marcellas PDA FY 2020'!$B$7:$B$63,0),MATCH(O$2,'Marcellas PDA FY 2020'!$B$7:$AE$7,0))</f>
        <v>34897.9</v>
      </c>
      <c r="P29" s="87">
        <f>INDEX('Marcellas PDA FY 2020'!$B$7:$AE$63,MATCH($A29,'Marcellas PDA FY 2020'!$B$7:$B$63,0),MATCH(P$2,'Marcellas PDA FY 2020'!$B$7:$AE$7,0))</f>
        <v>37948.100000000006</v>
      </c>
      <c r="Q29" s="87">
        <f>INDEX('Marcellas PDA FY 2020'!$B$7:$AE$63,MATCH($A29,'Marcellas PDA FY 2020'!$B$7:$B$63,0),MATCH(Q$2,'Marcellas PDA FY 2020'!$B$7:$AE$7,0))</f>
        <v>72846</v>
      </c>
      <c r="R29" s="87">
        <f>INDEX('Marcellas PDA FY 2020'!$B$7:$AE$63,MATCH($A29,'Marcellas PDA FY 2020'!$B$7:$B$63,0),MATCH(R$2,'Marcellas PDA FY 2020'!$B$7:$AE$7,0))</f>
        <v>1604.3910600000004</v>
      </c>
      <c r="S29" s="87">
        <f>INDEX('Marcellas PDA FY 2020'!$B$7:$AE$63,MATCH($A29,'Marcellas PDA FY 2020'!$B$7:$B$63,0),MATCH(S$2,'Marcellas PDA FY 2020'!$B$7:$AE$7,0))</f>
        <v>6033.7999999999993</v>
      </c>
      <c r="T29" s="87">
        <f>INDEX('Marcellas PDA FY 2020'!$B$7:$AE$63,MATCH($A29,'Marcellas PDA FY 2020'!$B$7:$B$63,0),MATCH(T$2,'Marcellas PDA FY 2020'!$B$7:$AE$7,0))</f>
        <v>9172</v>
      </c>
      <c r="U29" s="87">
        <f>INDEX('Marcellas PDA FY 2020'!$B$7:$AE$63,MATCH($A29,'Marcellas PDA FY 2020'!$B$7:$B$63,0),MATCH(U$2,'Marcellas PDA FY 2020'!$B$7:$AE$7,0))</f>
        <v>15205.8</v>
      </c>
      <c r="V29" s="87">
        <f>INDEX('Marcellas PDA FY 2020'!$B$7:$AE$63,MATCH($A29,'Marcellas PDA FY 2020'!$B$7:$B$63,0),MATCH(V$2,'Marcellas PDA FY 2020'!$B$7:$AE$7,0))</f>
        <v>13963.300000000028</v>
      </c>
      <c r="W29" s="87">
        <f>INDEX('Marcellas PDA FY 2020'!$B$7:$AE$63,MATCH($A29,'Marcellas PDA FY 2020'!$B$7:$B$63,0),MATCH(W$2,'Marcellas PDA FY 2020'!$B$7:$AE$7,0))</f>
        <v>20649.399999999994</v>
      </c>
      <c r="X29" s="87">
        <f>INDEX('Marcellas PDA FY 2020'!$B$7:$AE$63,MATCH($A29,'Marcellas PDA FY 2020'!$B$7:$B$63,0),MATCH(X$2,'Marcellas PDA FY 2020'!$B$7:$AE$7,0))</f>
        <v>34612.700000000026</v>
      </c>
      <c r="Y29" s="87">
        <f>INDEX('Marcellas PDA FY 2020'!$B$7:$AE$63,MATCH($A29,'Marcellas PDA FY 2020'!$B$7:$B$63,0),MATCH(Y$2,'Marcellas PDA FY 2020'!$B$7:$AE$7,0))</f>
        <v>219102.78116000001</v>
      </c>
      <c r="Z29" s="87">
        <f>INDEX('Marcellas PDA FY 2020'!$B$7:$AE$63,MATCH($A29,'Marcellas PDA FY 2020'!$B$7:$B$63,0),MATCH(Z$2,'Marcellas PDA FY 2020'!$B$7:$AE$7,0))</f>
        <v>246306.10858375454</v>
      </c>
      <c r="AA29" s="131">
        <f t="shared" si="0"/>
        <v>0.50921345198342838</v>
      </c>
      <c r="AB29" s="80">
        <f t="shared" si="1"/>
        <v>1.9797252684046057E-2</v>
      </c>
      <c r="AC29" s="80">
        <f t="shared" si="2"/>
        <v>0.22958698862087387</v>
      </c>
      <c r="AD29" s="80">
        <f t="shared" si="3"/>
        <v>0.24938424130491993</v>
      </c>
      <c r="AE29" s="80">
        <f t="shared" si="4"/>
        <v>4.7923754654631466E-2</v>
      </c>
      <c r="AF29" s="128">
        <f t="shared" si="7"/>
        <v>0</v>
      </c>
      <c r="AG29" s="110">
        <f t="shared" si="8"/>
        <v>0</v>
      </c>
      <c r="AH29" s="110">
        <f t="shared" si="9"/>
        <v>0</v>
      </c>
      <c r="AI29" s="110">
        <f t="shared" si="10"/>
        <v>0</v>
      </c>
      <c r="AJ29" s="110">
        <f t="shared" si="11"/>
        <v>0</v>
      </c>
      <c r="AK29" s="110">
        <f t="shared" si="12"/>
        <v>0</v>
      </c>
      <c r="AL29" s="110">
        <f t="shared" si="13"/>
        <v>0</v>
      </c>
      <c r="AM29" s="110">
        <f t="shared" si="5"/>
        <v>0</v>
      </c>
      <c r="AN29" s="190"/>
      <c r="AP29" s="112">
        <f t="shared" si="6"/>
        <v>4.7923754654631466E-2</v>
      </c>
      <c r="AQ29" s="382">
        <f>'PDA Schedules FY 2018'!AP29</f>
        <v>4.9895935385129361E-2</v>
      </c>
    </row>
    <row r="30" spans="1:43">
      <c r="A30" s="33">
        <f>'UCC Fund Calc FY2022'!C30</f>
        <v>210028</v>
      </c>
      <c r="B30" s="33" t="str">
        <f>'UCC Fund Calc FY2022'!D30</f>
        <v>Medstar Saint Mary's Hospital</v>
      </c>
      <c r="C30" s="87">
        <f>INDEX('Marcellas PDA FY 2020'!$B$7:$AE$63,MATCH($A30,'Marcellas PDA FY 2020'!$B$7:$B$63,0),MATCH(C$2,'Marcellas PDA FY 2020'!$B$7:$AE$7,0))</f>
        <v>88856.417090000075</v>
      </c>
      <c r="D30" s="87">
        <f>INDEX('Marcellas PDA FY 2020'!$B$7:$AE$63,MATCH($A30,'Marcellas PDA FY 2020'!$B$7:$B$63,0),MATCH(D$2,'Marcellas PDA FY 2020'!$B$7:$AE$7,0))</f>
        <v>110169.76106000003</v>
      </c>
      <c r="E30" s="87">
        <f>INDEX('Marcellas PDA FY 2020'!$B$7:$AE$63,MATCH($A30,'Marcellas PDA FY 2020'!$B$7:$B$63,0),MATCH(E$2,'Marcellas PDA FY 2020'!$B$7:$AE$7,0))</f>
        <v>199026.17815000011</v>
      </c>
      <c r="F30" s="87">
        <f>INDEX('Marcellas PDA FY 2020'!$B$7:$AE$63,MATCH($A30,'Marcellas PDA FY 2020'!$B$7:$B$63,0),MATCH(F$2,'Marcellas PDA FY 2020'!$B$7:$AE$7,0))</f>
        <v>42908.165738798452</v>
      </c>
      <c r="G30" s="87">
        <f>INDEX('Marcellas PDA FY 2020'!$B$7:$AE$63,MATCH($A30,'Marcellas PDA FY 2020'!$B$7:$B$63,0),MATCH(G$2,'Marcellas PDA FY 2020'!$B$7:$AE$7,0))</f>
        <v>39619.210812820253</v>
      </c>
      <c r="H30" s="87">
        <f>INDEX('Marcellas PDA FY 2020'!$B$7:$AE$63,MATCH($A30,'Marcellas PDA FY 2020'!$B$7:$B$63,0),MATCH(H$2,'Marcellas PDA FY 2020'!$B$7:$AE$7,0))</f>
        <v>82527.376551618712</v>
      </c>
      <c r="I30" s="87">
        <f>INDEX('Marcellas PDA FY 2020'!$B$7:$AE$63,MATCH($A30,'Marcellas PDA FY 2020'!$B$7:$B$63,0),MATCH(I$2,'Marcellas PDA FY 2020'!$B$7:$AE$7,0))</f>
        <v>1817.8065629140756</v>
      </c>
      <c r="J30" s="87">
        <f>INDEX('Marcellas PDA FY 2020'!$B$7:$AE$63,MATCH($A30,'Marcellas PDA FY 2020'!$B$7:$B$63,0),MATCH(J$2,'Marcellas PDA FY 2020'!$B$7:$AE$7,0))</f>
        <v>1638.7151898032614</v>
      </c>
      <c r="K30" s="87">
        <f>INDEX('Marcellas PDA FY 2020'!$B$7:$AE$63,MATCH($A30,'Marcellas PDA FY 2020'!$B$7:$B$63,0),MATCH(K$2,'Marcellas PDA FY 2020'!$B$7:$AE$7,0))</f>
        <v>3456.5217527173372</v>
      </c>
      <c r="L30" s="87">
        <f>INDEX('Marcellas PDA FY 2020'!$B$7:$AE$63,MATCH($A30,'Marcellas PDA FY 2020'!$B$7:$B$63,0),MATCH(L$2,'Marcellas PDA FY 2020'!$B$7:$AE$7,0))</f>
        <v>8686.3329473423455</v>
      </c>
      <c r="M30" s="87">
        <f>INDEX('Marcellas PDA FY 2020'!$B$7:$AE$63,MATCH($A30,'Marcellas PDA FY 2020'!$B$7:$B$63,0),MATCH(M$2,'Marcellas PDA FY 2020'!$B$7:$AE$7,0))</f>
        <v>14728.898922985863</v>
      </c>
      <c r="N30" s="87">
        <f>INDEX('Marcellas PDA FY 2020'!$B$7:$AE$63,MATCH($A30,'Marcellas PDA FY 2020'!$B$7:$B$63,0),MATCH(N$2,'Marcellas PDA FY 2020'!$B$7:$AE$7,0))</f>
        <v>23415.231870328207</v>
      </c>
      <c r="O30" s="87">
        <f>INDEX('Marcellas PDA FY 2020'!$B$7:$AE$63,MATCH($A30,'Marcellas PDA FY 2020'!$B$7:$B$63,0),MATCH(O$2,'Marcellas PDA FY 2020'!$B$7:$AE$7,0))</f>
        <v>15639.758907626678</v>
      </c>
      <c r="P30" s="87">
        <f>INDEX('Marcellas PDA FY 2020'!$B$7:$AE$63,MATCH($A30,'Marcellas PDA FY 2020'!$B$7:$B$63,0),MATCH(P$2,'Marcellas PDA FY 2020'!$B$7:$AE$7,0))</f>
        <v>18200.873797253473</v>
      </c>
      <c r="Q30" s="87">
        <f>INDEX('Marcellas PDA FY 2020'!$B$7:$AE$63,MATCH($A30,'Marcellas PDA FY 2020'!$B$7:$B$63,0),MATCH(Q$2,'Marcellas PDA FY 2020'!$B$7:$AE$7,0))</f>
        <v>33840.632704880147</v>
      </c>
      <c r="R30" s="87">
        <f>INDEX('Marcellas PDA FY 2020'!$B$7:$AE$63,MATCH($A30,'Marcellas PDA FY 2020'!$B$7:$B$63,0),MATCH(R$2,'Marcellas PDA FY 2020'!$B$7:$AE$7,0))</f>
        <v>1591.5864100000078</v>
      </c>
      <c r="S30" s="87">
        <f>INDEX('Marcellas PDA FY 2020'!$B$7:$AE$63,MATCH($A30,'Marcellas PDA FY 2020'!$B$7:$B$63,0),MATCH(S$2,'Marcellas PDA FY 2020'!$B$7:$AE$7,0))</f>
        <v>1800.2173037799025</v>
      </c>
      <c r="T30" s="87">
        <f>INDEX('Marcellas PDA FY 2020'!$B$7:$AE$63,MATCH($A30,'Marcellas PDA FY 2020'!$B$7:$B$63,0),MATCH(T$2,'Marcellas PDA FY 2020'!$B$7:$AE$7,0))</f>
        <v>5192.9487562200975</v>
      </c>
      <c r="U30" s="87">
        <f>INDEX('Marcellas PDA FY 2020'!$B$7:$AE$63,MATCH($A30,'Marcellas PDA FY 2020'!$B$7:$B$63,0),MATCH(U$2,'Marcellas PDA FY 2020'!$B$7:$AE$7,0))</f>
        <v>6993.1660599999996</v>
      </c>
      <c r="V30" s="87">
        <f>INDEX('Marcellas PDA FY 2020'!$B$7:$AE$63,MATCH($A30,'Marcellas PDA FY 2020'!$B$7:$B$63,0),MATCH(V$2,'Marcellas PDA FY 2020'!$B$7:$AE$7,0))</f>
        <v>18004.135629538621</v>
      </c>
      <c r="W30" s="87">
        <f>INDEX('Marcellas PDA FY 2020'!$B$7:$AE$63,MATCH($A30,'Marcellas PDA FY 2020'!$B$7:$B$63,0),MATCH(W$2,'Marcellas PDA FY 2020'!$B$7:$AE$7,0))</f>
        <v>30789.113580917088</v>
      </c>
      <c r="X30" s="87">
        <f>INDEX('Marcellas PDA FY 2020'!$B$7:$AE$63,MATCH($A30,'Marcellas PDA FY 2020'!$B$7:$B$63,0),MATCH(X$2,'Marcellas PDA FY 2020'!$B$7:$AE$7,0))</f>
        <v>48793.24921045571</v>
      </c>
      <c r="Y30" s="87">
        <f>INDEX('Marcellas PDA FY 2020'!$B$7:$AE$63,MATCH($A30,'Marcellas PDA FY 2020'!$B$7:$B$63,0),MATCH(Y$2,'Marcellas PDA FY 2020'!$B$7:$AE$7,0))</f>
        <v>139808.54796553202</v>
      </c>
      <c r="Z30" s="87">
        <f>INDEX('Marcellas PDA FY 2020'!$B$7:$AE$63,MATCH($A30,'Marcellas PDA FY 2020'!$B$7:$B$63,0),MATCH(Z$2,'Marcellas PDA FY 2020'!$B$7:$AE$7,0))</f>
        <v>153481.94772440373</v>
      </c>
      <c r="AA30" s="131">
        <f t="shared" si="0"/>
        <v>0.41465588757585592</v>
      </c>
      <c r="AB30" s="80">
        <f t="shared" si="1"/>
        <v>1.7367171418587256E-2</v>
      </c>
      <c r="AC30" s="80">
        <f t="shared" si="2"/>
        <v>0.17003106334773443</v>
      </c>
      <c r="AD30" s="80">
        <f t="shared" si="3"/>
        <v>0.1873982347663217</v>
      </c>
      <c r="AE30" s="80">
        <f t="shared" si="4"/>
        <v>3.5136915781648875E-2</v>
      </c>
      <c r="AF30" s="128">
        <f t="shared" si="7"/>
        <v>0</v>
      </c>
      <c r="AG30" s="110">
        <f t="shared" si="8"/>
        <v>0</v>
      </c>
      <c r="AH30" s="110">
        <f t="shared" si="9"/>
        <v>0</v>
      </c>
      <c r="AI30" s="110">
        <f t="shared" si="10"/>
        <v>0</v>
      </c>
      <c r="AJ30" s="110">
        <f t="shared" si="11"/>
        <v>0</v>
      </c>
      <c r="AK30" s="110">
        <f t="shared" si="12"/>
        <v>0</v>
      </c>
      <c r="AL30" s="110">
        <f t="shared" si="13"/>
        <v>0</v>
      </c>
      <c r="AM30" s="110">
        <f t="shared" si="5"/>
        <v>0</v>
      </c>
      <c r="AN30" s="190"/>
      <c r="AP30" s="112">
        <f t="shared" si="6"/>
        <v>3.5136915781648875E-2</v>
      </c>
      <c r="AQ30" s="382">
        <f>'PDA Schedules FY 2018'!AP30</f>
        <v>4.1696433462627226E-2</v>
      </c>
    </row>
    <row r="31" spans="1:43">
      <c r="A31" s="33">
        <f>'UCC Fund Calc FY2022'!C31</f>
        <v>210029</v>
      </c>
      <c r="B31" s="33" t="str">
        <f>'UCC Fund Calc FY2022'!D31</f>
        <v>Johns Hopkins Bayview Medical Center</v>
      </c>
      <c r="C31" s="87">
        <f>INDEX('Marcellas PDA FY 2020'!$B$7:$AE$63,MATCH($A31,'Marcellas PDA FY 2020'!$B$7:$B$63,0),MATCH(C$2,'Marcellas PDA FY 2020'!$B$7:$AE$7,0))</f>
        <v>376182.44223999995</v>
      </c>
      <c r="D31" s="87">
        <f>INDEX('Marcellas PDA FY 2020'!$B$7:$AE$63,MATCH($A31,'Marcellas PDA FY 2020'!$B$7:$B$63,0),MATCH(D$2,'Marcellas PDA FY 2020'!$B$7:$AE$7,0))</f>
        <v>290134.03615999996</v>
      </c>
      <c r="E31" s="87">
        <f>INDEX('Marcellas PDA FY 2020'!$B$7:$AE$63,MATCH($A31,'Marcellas PDA FY 2020'!$B$7:$B$63,0),MATCH(E$2,'Marcellas PDA FY 2020'!$B$7:$AE$7,0))</f>
        <v>666316.47839999991</v>
      </c>
      <c r="F31" s="87">
        <f>INDEX('Marcellas PDA FY 2020'!$B$7:$AE$63,MATCH($A31,'Marcellas PDA FY 2020'!$B$7:$B$63,0),MATCH(F$2,'Marcellas PDA FY 2020'!$B$7:$AE$7,0))</f>
        <v>153352.12299999999</v>
      </c>
      <c r="G31" s="87">
        <f>INDEX('Marcellas PDA FY 2020'!$B$7:$AE$63,MATCH($A31,'Marcellas PDA FY 2020'!$B$7:$B$63,0),MATCH(G$2,'Marcellas PDA FY 2020'!$B$7:$AE$7,0))</f>
        <v>86757.275999999998</v>
      </c>
      <c r="H31" s="87">
        <f>INDEX('Marcellas PDA FY 2020'!$B$7:$AE$63,MATCH($A31,'Marcellas PDA FY 2020'!$B$7:$B$63,0),MATCH(H$2,'Marcellas PDA FY 2020'!$B$7:$AE$7,0))</f>
        <v>240109.39899999998</v>
      </c>
      <c r="I31" s="87">
        <f>INDEX('Marcellas PDA FY 2020'!$B$7:$AE$63,MATCH($A31,'Marcellas PDA FY 2020'!$B$7:$B$63,0),MATCH(I$2,'Marcellas PDA FY 2020'!$B$7:$AE$7,0))</f>
        <v>33124.082000000002</v>
      </c>
      <c r="J31" s="87">
        <f>INDEX('Marcellas PDA FY 2020'!$B$7:$AE$63,MATCH($A31,'Marcellas PDA FY 2020'!$B$7:$B$63,0),MATCH(J$2,'Marcellas PDA FY 2020'!$B$7:$AE$7,0))</f>
        <v>30783.124</v>
      </c>
      <c r="K31" s="87">
        <f>INDEX('Marcellas PDA FY 2020'!$B$7:$AE$63,MATCH($A31,'Marcellas PDA FY 2020'!$B$7:$B$63,0),MATCH(K$2,'Marcellas PDA FY 2020'!$B$7:$AE$7,0))</f>
        <v>63907.206000000006</v>
      </c>
      <c r="L31" s="87">
        <f>INDEX('Marcellas PDA FY 2020'!$B$7:$AE$63,MATCH($A31,'Marcellas PDA FY 2020'!$B$7:$B$63,0),MATCH(L$2,'Marcellas PDA FY 2020'!$B$7:$AE$7,0))</f>
        <v>32199.241879999998</v>
      </c>
      <c r="M31" s="87">
        <f>INDEX('Marcellas PDA FY 2020'!$B$7:$AE$63,MATCH($A31,'Marcellas PDA FY 2020'!$B$7:$B$63,0),MATCH(M$2,'Marcellas PDA FY 2020'!$B$7:$AE$7,0))</f>
        <v>52195.214500000016</v>
      </c>
      <c r="N31" s="87">
        <f>INDEX('Marcellas PDA FY 2020'!$B$7:$AE$63,MATCH($A31,'Marcellas PDA FY 2020'!$B$7:$B$63,0),MATCH(N$2,'Marcellas PDA FY 2020'!$B$7:$AE$7,0))</f>
        <v>84394.456380000018</v>
      </c>
      <c r="O31" s="87">
        <f>INDEX('Marcellas PDA FY 2020'!$B$7:$AE$63,MATCH($A31,'Marcellas PDA FY 2020'!$B$7:$B$63,0),MATCH(O$2,'Marcellas PDA FY 2020'!$B$7:$AE$7,0))</f>
        <v>78712.221000000005</v>
      </c>
      <c r="P31" s="87">
        <f>INDEX('Marcellas PDA FY 2020'!$B$7:$AE$63,MATCH($A31,'Marcellas PDA FY 2020'!$B$7:$B$63,0),MATCH(P$2,'Marcellas PDA FY 2020'!$B$7:$AE$7,0))</f>
        <v>58716.057000000001</v>
      </c>
      <c r="Q31" s="87">
        <f>INDEX('Marcellas PDA FY 2020'!$B$7:$AE$63,MATCH($A31,'Marcellas PDA FY 2020'!$B$7:$B$63,0),MATCH(Q$2,'Marcellas PDA FY 2020'!$B$7:$AE$7,0))</f>
        <v>137428.27799999999</v>
      </c>
      <c r="R31" s="87">
        <f>INDEX('Marcellas PDA FY 2020'!$B$7:$AE$63,MATCH($A31,'Marcellas PDA FY 2020'!$B$7:$B$63,0),MATCH(R$2,'Marcellas PDA FY 2020'!$B$7:$AE$7,0))</f>
        <v>5729.1559999999999</v>
      </c>
      <c r="S31" s="87">
        <f>INDEX('Marcellas PDA FY 2020'!$B$7:$AE$63,MATCH($A31,'Marcellas PDA FY 2020'!$B$7:$B$63,0),MATCH(S$2,'Marcellas PDA FY 2020'!$B$7:$AE$7,0))</f>
        <v>8288.4358964322055</v>
      </c>
      <c r="T31" s="87">
        <f>INDEX('Marcellas PDA FY 2020'!$B$7:$AE$63,MATCH($A31,'Marcellas PDA FY 2020'!$B$7:$B$63,0),MATCH(T$2,'Marcellas PDA FY 2020'!$B$7:$AE$7,0))</f>
        <v>26446.564103567791</v>
      </c>
      <c r="U31" s="87">
        <f>INDEX('Marcellas PDA FY 2020'!$B$7:$AE$63,MATCH($A31,'Marcellas PDA FY 2020'!$B$7:$B$63,0),MATCH(U$2,'Marcellas PDA FY 2020'!$B$7:$AE$7,0))</f>
        <v>34735</v>
      </c>
      <c r="V31" s="87">
        <f>INDEX('Marcellas PDA FY 2020'!$B$7:$AE$63,MATCH($A31,'Marcellas PDA FY 2020'!$B$7:$B$63,0),MATCH(V$2,'Marcellas PDA FY 2020'!$B$7:$AE$7,0))</f>
        <v>70506.338463567765</v>
      </c>
      <c r="W31" s="87">
        <f>INDEX('Marcellas PDA FY 2020'!$B$7:$AE$63,MATCH($A31,'Marcellas PDA FY 2020'!$B$7:$B$63,0),MATCH(W$2,'Marcellas PDA FY 2020'!$B$7:$AE$7,0))</f>
        <v>35235.800556432128</v>
      </c>
      <c r="X31" s="87">
        <f>INDEX('Marcellas PDA FY 2020'!$B$7:$AE$63,MATCH($A31,'Marcellas PDA FY 2020'!$B$7:$B$63,0),MATCH(X$2,'Marcellas PDA FY 2020'!$B$7:$AE$7,0))</f>
        <v>105742.13901999989</v>
      </c>
      <c r="Y31" s="87">
        <f>INDEX('Marcellas PDA FY 2020'!$B$7:$AE$63,MATCH($A31,'Marcellas PDA FY 2020'!$B$7:$B$63,0),MATCH(Y$2,'Marcellas PDA FY 2020'!$B$7:$AE$7,0))</f>
        <v>597496.76666919165</v>
      </c>
      <c r="Z31" s="87">
        <f>INDEX('Marcellas PDA FY 2020'!$B$7:$AE$63,MATCH($A31,'Marcellas PDA FY 2020'!$B$7:$B$63,0),MATCH(Z$2,'Marcellas PDA FY 2020'!$B$7:$AE$7,0))</f>
        <v>670771.66176938021</v>
      </c>
      <c r="AA31" s="131">
        <f t="shared" si="0"/>
        <v>0.36035338579133663</v>
      </c>
      <c r="AB31" s="80">
        <f t="shared" si="1"/>
        <v>9.5911189459786314E-2</v>
      </c>
      <c r="AC31" s="80">
        <f t="shared" si="2"/>
        <v>0.20625075689258238</v>
      </c>
      <c r="AD31" s="80">
        <f t="shared" si="3"/>
        <v>0.3021619463523687</v>
      </c>
      <c r="AE31" s="80">
        <f t="shared" si="4"/>
        <v>5.2129882910006697E-2</v>
      </c>
      <c r="AF31" s="128">
        <f t="shared" si="7"/>
        <v>0</v>
      </c>
      <c r="AG31" s="110">
        <f t="shared" si="8"/>
        <v>0</v>
      </c>
      <c r="AH31" s="110">
        <f t="shared" si="9"/>
        <v>0</v>
      </c>
      <c r="AI31" s="110">
        <f t="shared" si="10"/>
        <v>0</v>
      </c>
      <c r="AJ31" s="110">
        <f t="shared" si="11"/>
        <v>0</v>
      </c>
      <c r="AK31" s="110">
        <f t="shared" si="12"/>
        <v>0</v>
      </c>
      <c r="AL31" s="110">
        <f t="shared" si="13"/>
        <v>0</v>
      </c>
      <c r="AM31" s="110">
        <f t="shared" si="5"/>
        <v>0</v>
      </c>
      <c r="AN31" s="190"/>
      <c r="AP31" s="112">
        <f t="shared" si="6"/>
        <v>5.2129882910006697E-2</v>
      </c>
      <c r="AQ31" s="382">
        <f>'PDA Schedules FY 2018'!AP31</f>
        <v>5.1358933324102594E-2</v>
      </c>
    </row>
    <row r="32" spans="1:43">
      <c r="A32" s="33">
        <f>'UCC Fund Calc FY2022'!C32</f>
        <v>210030</v>
      </c>
      <c r="B32" s="33" t="str">
        <f>'UCC Fund Calc FY2022'!D32</f>
        <v>UM Shore Medical Center at Chestertown</v>
      </c>
      <c r="C32" s="87">
        <f>INDEX('Marcellas PDA FY 2020'!$B$7:$AE$63,MATCH($A32,'Marcellas PDA FY 2020'!$B$7:$B$63,0),MATCH(C$2,'Marcellas PDA FY 2020'!$B$7:$AE$7,0))</f>
        <v>11615.196390000005</v>
      </c>
      <c r="D32" s="87">
        <f>INDEX('Marcellas PDA FY 2020'!$B$7:$AE$63,MATCH($A32,'Marcellas PDA FY 2020'!$B$7:$B$63,0),MATCH(D$2,'Marcellas PDA FY 2020'!$B$7:$AE$7,0))</f>
        <v>33036.961680000008</v>
      </c>
      <c r="E32" s="87">
        <f>INDEX('Marcellas PDA FY 2020'!$B$7:$AE$63,MATCH($A32,'Marcellas PDA FY 2020'!$B$7:$B$63,0),MATCH(E$2,'Marcellas PDA FY 2020'!$B$7:$AE$7,0))</f>
        <v>44652.158070000012</v>
      </c>
      <c r="F32" s="87">
        <f>INDEX('Marcellas PDA FY 2020'!$B$7:$AE$63,MATCH($A32,'Marcellas PDA FY 2020'!$B$7:$B$63,0),MATCH(F$2,'Marcellas PDA FY 2020'!$B$7:$AE$7,0))</f>
        <v>6724.4465157705918</v>
      </c>
      <c r="G32" s="87">
        <f>INDEX('Marcellas PDA FY 2020'!$B$7:$AE$63,MATCH($A32,'Marcellas PDA FY 2020'!$B$7:$B$63,0),MATCH(G$2,'Marcellas PDA FY 2020'!$B$7:$AE$7,0))</f>
        <v>15345.202000708874</v>
      </c>
      <c r="H32" s="87">
        <f>INDEX('Marcellas PDA FY 2020'!$B$7:$AE$63,MATCH($A32,'Marcellas PDA FY 2020'!$B$7:$B$63,0),MATCH(H$2,'Marcellas PDA FY 2020'!$B$7:$AE$7,0))</f>
        <v>22069.648516479465</v>
      </c>
      <c r="I32" s="87">
        <f>INDEX('Marcellas PDA FY 2020'!$B$7:$AE$63,MATCH($A32,'Marcellas PDA FY 2020'!$B$7:$B$63,0),MATCH(I$2,'Marcellas PDA FY 2020'!$B$7:$AE$7,0))</f>
        <v>-5.7533625657451051</v>
      </c>
      <c r="J32" s="87">
        <f>INDEX('Marcellas PDA FY 2020'!$B$7:$AE$63,MATCH($A32,'Marcellas PDA FY 2020'!$B$7:$B$63,0),MATCH(J$2,'Marcellas PDA FY 2020'!$B$7:$AE$7,0))</f>
        <v>280.27189575457203</v>
      </c>
      <c r="K32" s="87">
        <f>INDEX('Marcellas PDA FY 2020'!$B$7:$AE$63,MATCH($A32,'Marcellas PDA FY 2020'!$B$7:$B$63,0),MATCH(K$2,'Marcellas PDA FY 2020'!$B$7:$AE$7,0))</f>
        <v>274.51853318882695</v>
      </c>
      <c r="L32" s="87">
        <f>INDEX('Marcellas PDA FY 2020'!$B$7:$AE$63,MATCH($A32,'Marcellas PDA FY 2020'!$B$7:$B$63,0),MATCH(L$2,'Marcellas PDA FY 2020'!$B$7:$AE$7,0))</f>
        <v>831.23984225666834</v>
      </c>
      <c r="M32" s="87">
        <f>INDEX('Marcellas PDA FY 2020'!$B$7:$AE$63,MATCH($A32,'Marcellas PDA FY 2020'!$B$7:$B$63,0),MATCH(M$2,'Marcellas PDA FY 2020'!$B$7:$AE$7,0))</f>
        <v>2967.7612876775215</v>
      </c>
      <c r="N32" s="87">
        <f>INDEX('Marcellas PDA FY 2020'!$B$7:$AE$63,MATCH($A32,'Marcellas PDA FY 2020'!$B$7:$B$63,0),MATCH(N$2,'Marcellas PDA FY 2020'!$B$7:$AE$7,0))</f>
        <v>3799.00112993419</v>
      </c>
      <c r="O32" s="87">
        <f>INDEX('Marcellas PDA FY 2020'!$B$7:$AE$63,MATCH($A32,'Marcellas PDA FY 2020'!$B$7:$B$63,0),MATCH(O$2,'Marcellas PDA FY 2020'!$B$7:$AE$7,0))</f>
        <v>3132.0158746588049</v>
      </c>
      <c r="P32" s="87">
        <f>INDEX('Marcellas PDA FY 2020'!$B$7:$AE$63,MATCH($A32,'Marcellas PDA FY 2020'!$B$7:$B$63,0),MATCH(P$2,'Marcellas PDA FY 2020'!$B$7:$AE$7,0))</f>
        <v>7419.1788342271793</v>
      </c>
      <c r="Q32" s="87">
        <f>INDEX('Marcellas PDA FY 2020'!$B$7:$AE$63,MATCH($A32,'Marcellas PDA FY 2020'!$B$7:$B$63,0),MATCH(Q$2,'Marcellas PDA FY 2020'!$B$7:$AE$7,0))</f>
        <v>10551.194708885985</v>
      </c>
      <c r="R32" s="87">
        <f>INDEX('Marcellas PDA FY 2020'!$B$7:$AE$63,MATCH($A32,'Marcellas PDA FY 2020'!$B$7:$B$63,0),MATCH(R$2,'Marcellas PDA FY 2020'!$B$7:$AE$7,0))</f>
        <v>544.22693000000038</v>
      </c>
      <c r="S32" s="87">
        <f>INDEX('Marcellas PDA FY 2020'!$B$7:$AE$63,MATCH($A32,'Marcellas PDA FY 2020'!$B$7:$B$63,0),MATCH(S$2,'Marcellas PDA FY 2020'!$B$7:$AE$7,0))</f>
        <v>713.89055782246521</v>
      </c>
      <c r="T32" s="87">
        <f>INDEX('Marcellas PDA FY 2020'!$B$7:$AE$63,MATCH($A32,'Marcellas PDA FY 2020'!$B$7:$B$63,0),MATCH(T$2,'Marcellas PDA FY 2020'!$B$7:$AE$7,0))</f>
        <v>2030.5102221775351</v>
      </c>
      <c r="U32" s="87">
        <f>INDEX('Marcellas PDA FY 2020'!$B$7:$AE$63,MATCH($A32,'Marcellas PDA FY 2020'!$B$7:$B$63,0),MATCH(U$2,'Marcellas PDA FY 2020'!$B$7:$AE$7,0))</f>
        <v>2744.4007800000004</v>
      </c>
      <c r="V32" s="87">
        <f>INDEX('Marcellas PDA FY 2020'!$B$7:$AE$63,MATCH($A32,'Marcellas PDA FY 2020'!$B$7:$B$63,0),MATCH(V$2,'Marcellas PDA FY 2020'!$B$7:$AE$7,0))</f>
        <v>219.35696205721945</v>
      </c>
      <c r="W32" s="87">
        <f>INDEX('Marcellas PDA FY 2020'!$B$7:$AE$63,MATCH($A32,'Marcellas PDA FY 2020'!$B$7:$B$63,0),MATCH(W$2,'Marcellas PDA FY 2020'!$B$7:$AE$7,0))</f>
        <v>4994.037439454326</v>
      </c>
      <c r="X32" s="87">
        <f>INDEX('Marcellas PDA FY 2020'!$B$7:$AE$63,MATCH($A32,'Marcellas PDA FY 2020'!$B$7:$B$63,0),MATCH(X$2,'Marcellas PDA FY 2020'!$B$7:$AE$7,0))</f>
        <v>5213.3944015115458</v>
      </c>
      <c r="Y32" s="87">
        <f>INDEX('Marcellas PDA FY 2020'!$B$7:$AE$63,MATCH($A32,'Marcellas PDA FY 2020'!$B$7:$B$63,0),MATCH(Y$2,'Marcellas PDA FY 2020'!$B$7:$AE$7,0))</f>
        <v>32328.454654185447</v>
      </c>
      <c r="Z32" s="87">
        <f>INDEX('Marcellas PDA FY 2020'!$B$7:$AE$63,MATCH($A32,'Marcellas PDA FY 2020'!$B$7:$B$63,0),MATCH(Z$2,'Marcellas PDA FY 2020'!$B$7:$AE$7,0))</f>
        <v>36845.780505342955</v>
      </c>
      <c r="AA32" s="131">
        <f t="shared" si="0"/>
        <v>0.4942571528543247</v>
      </c>
      <c r="AB32" s="80">
        <f t="shared" si="1"/>
        <v>6.1479342780806131E-3</v>
      </c>
      <c r="AC32" s="80">
        <f t="shared" si="2"/>
        <v>0.23629753106994639</v>
      </c>
      <c r="AD32" s="80">
        <f t="shared" si="3"/>
        <v>0.24244546534802702</v>
      </c>
      <c r="AE32" s="80">
        <f t="shared" si="4"/>
        <v>6.1461772479119048E-2</v>
      </c>
      <c r="AF32" s="128">
        <f t="shared" si="7"/>
        <v>0</v>
      </c>
      <c r="AG32" s="110">
        <f t="shared" si="8"/>
        <v>0</v>
      </c>
      <c r="AH32" s="110">
        <f t="shared" si="9"/>
        <v>0</v>
      </c>
      <c r="AI32" s="110">
        <f t="shared" si="10"/>
        <v>0</v>
      </c>
      <c r="AJ32" s="110">
        <f t="shared" si="11"/>
        <v>0</v>
      </c>
      <c r="AK32" s="110">
        <f t="shared" si="12"/>
        <v>0</v>
      </c>
      <c r="AL32" s="110">
        <f t="shared" si="13"/>
        <v>0</v>
      </c>
      <c r="AM32" s="110">
        <f t="shared" si="5"/>
        <v>0</v>
      </c>
      <c r="AN32" s="190"/>
      <c r="AP32" s="112">
        <f t="shared" si="6"/>
        <v>6.1461772479119048E-2</v>
      </c>
      <c r="AQ32" s="382">
        <f>'PDA Schedules FY 2018'!AP32</f>
        <v>5.251222279963165E-2</v>
      </c>
    </row>
    <row r="33" spans="1:43">
      <c r="A33" s="33">
        <f>'UCC Fund Calc FY2022'!C33</f>
        <v>210032</v>
      </c>
      <c r="B33" s="33" t="str">
        <f>'UCC Fund Calc FY2022'!D33</f>
        <v>Union Hospital of Cecil County</v>
      </c>
      <c r="C33" s="87">
        <f>INDEX('Marcellas PDA FY 2020'!$B$7:$AE$63,MATCH($A33,'Marcellas PDA FY 2020'!$B$7:$B$63,0),MATCH(C$2,'Marcellas PDA FY 2020'!$B$7:$AE$7,0))</f>
        <v>67410.899999999994</v>
      </c>
      <c r="D33" s="87">
        <f>INDEX('Marcellas PDA FY 2020'!$B$7:$AE$63,MATCH($A33,'Marcellas PDA FY 2020'!$B$7:$B$63,0),MATCH(D$2,'Marcellas PDA FY 2020'!$B$7:$AE$7,0))</f>
        <v>95958.2</v>
      </c>
      <c r="E33" s="87">
        <f>INDEX('Marcellas PDA FY 2020'!$B$7:$AE$63,MATCH($A33,'Marcellas PDA FY 2020'!$B$7:$B$63,0),MATCH(E$2,'Marcellas PDA FY 2020'!$B$7:$AE$7,0))</f>
        <v>163369.09999999998</v>
      </c>
      <c r="F33" s="87">
        <f>INDEX('Marcellas PDA FY 2020'!$B$7:$AE$63,MATCH($A33,'Marcellas PDA FY 2020'!$B$7:$B$63,0),MATCH(F$2,'Marcellas PDA FY 2020'!$B$7:$AE$7,0))</f>
        <v>31665.5</v>
      </c>
      <c r="G33" s="87">
        <f>INDEX('Marcellas PDA FY 2020'!$B$7:$AE$63,MATCH($A33,'Marcellas PDA FY 2020'!$B$7:$B$63,0),MATCH(G$2,'Marcellas PDA FY 2020'!$B$7:$AE$7,0))</f>
        <v>36193.699999999997</v>
      </c>
      <c r="H33" s="87">
        <f>INDEX('Marcellas PDA FY 2020'!$B$7:$AE$63,MATCH($A33,'Marcellas PDA FY 2020'!$B$7:$B$63,0),MATCH(H$2,'Marcellas PDA FY 2020'!$B$7:$AE$7,0))</f>
        <v>67859.199999999997</v>
      </c>
      <c r="I33" s="87">
        <f>INDEX('Marcellas PDA FY 2020'!$B$7:$AE$63,MATCH($A33,'Marcellas PDA FY 2020'!$B$7:$B$63,0),MATCH(I$2,'Marcellas PDA FY 2020'!$B$7:$AE$7,0))</f>
        <v>1870.4</v>
      </c>
      <c r="J33" s="87">
        <f>INDEX('Marcellas PDA FY 2020'!$B$7:$AE$63,MATCH($A33,'Marcellas PDA FY 2020'!$B$7:$B$63,0),MATCH(J$2,'Marcellas PDA FY 2020'!$B$7:$AE$7,0))</f>
        <v>1236.8</v>
      </c>
      <c r="K33" s="87">
        <f>INDEX('Marcellas PDA FY 2020'!$B$7:$AE$63,MATCH($A33,'Marcellas PDA FY 2020'!$B$7:$B$63,0),MATCH(K$2,'Marcellas PDA FY 2020'!$B$7:$AE$7,0))</f>
        <v>3107.2</v>
      </c>
      <c r="L33" s="87">
        <f>INDEX('Marcellas PDA FY 2020'!$B$7:$AE$63,MATCH($A33,'Marcellas PDA FY 2020'!$B$7:$B$63,0),MATCH(L$2,'Marcellas PDA FY 2020'!$B$7:$AE$7,0))</f>
        <v>7737.5</v>
      </c>
      <c r="M33" s="87">
        <f>INDEX('Marcellas PDA FY 2020'!$B$7:$AE$63,MATCH($A33,'Marcellas PDA FY 2020'!$B$7:$B$63,0),MATCH(M$2,'Marcellas PDA FY 2020'!$B$7:$AE$7,0))</f>
        <v>19714.3</v>
      </c>
      <c r="N33" s="87">
        <f>INDEX('Marcellas PDA FY 2020'!$B$7:$AE$63,MATCH($A33,'Marcellas PDA FY 2020'!$B$7:$B$63,0),MATCH(N$2,'Marcellas PDA FY 2020'!$B$7:$AE$7,0))</f>
        <v>27451.8</v>
      </c>
      <c r="O33" s="87">
        <f>INDEX('Marcellas PDA FY 2020'!$B$7:$AE$63,MATCH($A33,'Marcellas PDA FY 2020'!$B$7:$B$63,0),MATCH(O$2,'Marcellas PDA FY 2020'!$B$7:$AE$7,0))</f>
        <v>17641.599999999999</v>
      </c>
      <c r="P33" s="87">
        <f>INDEX('Marcellas PDA FY 2020'!$B$7:$AE$63,MATCH($A33,'Marcellas PDA FY 2020'!$B$7:$B$63,0),MATCH(P$2,'Marcellas PDA FY 2020'!$B$7:$AE$7,0))</f>
        <v>23496.6</v>
      </c>
      <c r="Q33" s="87">
        <f>INDEX('Marcellas PDA FY 2020'!$B$7:$AE$63,MATCH($A33,'Marcellas PDA FY 2020'!$B$7:$B$63,0),MATCH(Q$2,'Marcellas PDA FY 2020'!$B$7:$AE$7,0))</f>
        <v>41138.199999999997</v>
      </c>
      <c r="R33" s="87">
        <f>INDEX('Marcellas PDA FY 2020'!$B$7:$AE$63,MATCH($A33,'Marcellas PDA FY 2020'!$B$7:$B$63,0),MATCH(R$2,'Marcellas PDA FY 2020'!$B$7:$AE$7,0))</f>
        <v>0</v>
      </c>
      <c r="S33" s="87">
        <f>INDEX('Marcellas PDA FY 2020'!$B$7:$AE$63,MATCH($A33,'Marcellas PDA FY 2020'!$B$7:$B$63,0),MATCH(S$2,'Marcellas PDA FY 2020'!$B$7:$AE$7,0))</f>
        <v>2535.6999999999998</v>
      </c>
      <c r="T33" s="87">
        <f>INDEX('Marcellas PDA FY 2020'!$B$7:$AE$63,MATCH($A33,'Marcellas PDA FY 2020'!$B$7:$B$63,0),MATCH(T$2,'Marcellas PDA FY 2020'!$B$7:$AE$7,0))</f>
        <v>7301.1286700000028</v>
      </c>
      <c r="U33" s="87">
        <f>INDEX('Marcellas PDA FY 2020'!$B$7:$AE$63,MATCH($A33,'Marcellas PDA FY 2020'!$B$7:$B$63,0),MATCH(U$2,'Marcellas PDA FY 2020'!$B$7:$AE$7,0))</f>
        <v>9836.8286700000026</v>
      </c>
      <c r="V33" s="87">
        <f>INDEX('Marcellas PDA FY 2020'!$B$7:$AE$63,MATCH($A33,'Marcellas PDA FY 2020'!$B$7:$B$63,0),MATCH(V$2,'Marcellas PDA FY 2020'!$B$7:$AE$7,0))</f>
        <v>5960.1999999999944</v>
      </c>
      <c r="W33" s="87">
        <f>INDEX('Marcellas PDA FY 2020'!$B$7:$AE$63,MATCH($A33,'Marcellas PDA FY 2020'!$B$7:$B$63,0),MATCH(W$2,'Marcellas PDA FY 2020'!$B$7:$AE$7,0))</f>
        <v>8015.6713299999928</v>
      </c>
      <c r="X33" s="87">
        <f>INDEX('Marcellas PDA FY 2020'!$B$7:$AE$63,MATCH($A33,'Marcellas PDA FY 2020'!$B$7:$B$63,0),MATCH(X$2,'Marcellas PDA FY 2020'!$B$7:$AE$7,0))</f>
        <v>13975.871329999987</v>
      </c>
      <c r="Y33" s="87">
        <f>INDEX('Marcellas PDA FY 2020'!$B$7:$AE$63,MATCH($A33,'Marcellas PDA FY 2020'!$B$7:$B$63,0),MATCH(Y$2,'Marcellas PDA FY 2020'!$B$7:$AE$7,0))</f>
        <v>124052.705476</v>
      </c>
      <c r="Z33" s="87">
        <f>INDEX('Marcellas PDA FY 2020'!$B$7:$AE$63,MATCH($A33,'Marcellas PDA FY 2020'!$B$7:$B$63,0),MATCH(Z$2,'Marcellas PDA FY 2020'!$B$7:$AE$7,0))</f>
        <v>140685.67771196208</v>
      </c>
      <c r="AA33" s="131">
        <f t="shared" si="0"/>
        <v>0.41537353146953743</v>
      </c>
      <c r="AB33" s="80">
        <f t="shared" si="1"/>
        <v>1.9019508585160844E-2</v>
      </c>
      <c r="AC33" s="80">
        <f t="shared" si="2"/>
        <v>0.25181138905704936</v>
      </c>
      <c r="AD33" s="80">
        <f t="shared" si="3"/>
        <v>0.27083089764221019</v>
      </c>
      <c r="AE33" s="80">
        <f t="shared" si="4"/>
        <v>6.0212296388974441E-2</v>
      </c>
      <c r="AF33" s="128">
        <f t="shared" si="7"/>
        <v>0</v>
      </c>
      <c r="AG33" s="110">
        <f t="shared" si="8"/>
        <v>0</v>
      </c>
      <c r="AH33" s="110">
        <f t="shared" si="9"/>
        <v>0</v>
      </c>
      <c r="AI33" s="110">
        <f t="shared" si="10"/>
        <v>0</v>
      </c>
      <c r="AJ33" s="110">
        <f t="shared" si="11"/>
        <v>0</v>
      </c>
      <c r="AK33" s="110">
        <f t="shared" si="12"/>
        <v>0</v>
      </c>
      <c r="AL33" s="110">
        <f t="shared" si="13"/>
        <v>0</v>
      </c>
      <c r="AM33" s="110">
        <f t="shared" si="5"/>
        <v>0</v>
      </c>
      <c r="AN33" s="190"/>
      <c r="AP33" s="112">
        <f t="shared" si="6"/>
        <v>6.0212296388974441E-2</v>
      </c>
      <c r="AQ33" s="382">
        <f>'PDA Schedules FY 2018'!AP33</f>
        <v>5.8888301469557605E-2</v>
      </c>
    </row>
    <row r="34" spans="1:43">
      <c r="A34" s="33">
        <f>'UCC Fund Calc FY2022'!C34</f>
        <v>210033</v>
      </c>
      <c r="B34" s="33" t="str">
        <f>'UCC Fund Calc FY2022'!D34</f>
        <v>Carroll Hospital Center</v>
      </c>
      <c r="C34" s="87">
        <f>INDEX('Marcellas PDA FY 2020'!$B$7:$AE$63,MATCH($A34,'Marcellas PDA FY 2020'!$B$7:$B$63,0),MATCH(C$2,'Marcellas PDA FY 2020'!$B$7:$AE$7,0))</f>
        <v>145277.06900000002</v>
      </c>
      <c r="D34" s="87">
        <f>INDEX('Marcellas PDA FY 2020'!$B$7:$AE$63,MATCH($A34,'Marcellas PDA FY 2020'!$B$7:$B$63,0),MATCH(D$2,'Marcellas PDA FY 2020'!$B$7:$AE$7,0))</f>
        <v>86467.150999999998</v>
      </c>
      <c r="E34" s="87">
        <f>INDEX('Marcellas PDA FY 2020'!$B$7:$AE$63,MATCH($A34,'Marcellas PDA FY 2020'!$B$7:$B$63,0),MATCH(E$2,'Marcellas PDA FY 2020'!$B$7:$AE$7,0))</f>
        <v>231744.22000000003</v>
      </c>
      <c r="F34" s="87">
        <f>INDEX('Marcellas PDA FY 2020'!$B$7:$AE$63,MATCH($A34,'Marcellas PDA FY 2020'!$B$7:$B$63,0),MATCH(F$2,'Marcellas PDA FY 2020'!$B$7:$AE$7,0))</f>
        <v>75360.665847847893</v>
      </c>
      <c r="G34" s="87">
        <f>INDEX('Marcellas PDA FY 2020'!$B$7:$AE$63,MATCH($A34,'Marcellas PDA FY 2020'!$B$7:$B$63,0),MATCH(G$2,'Marcellas PDA FY 2020'!$B$7:$AE$7,0))</f>
        <v>29684.115092973319</v>
      </c>
      <c r="H34" s="87">
        <f>INDEX('Marcellas PDA FY 2020'!$B$7:$AE$63,MATCH($A34,'Marcellas PDA FY 2020'!$B$7:$B$63,0),MATCH(H$2,'Marcellas PDA FY 2020'!$B$7:$AE$7,0))</f>
        <v>105044.78094082122</v>
      </c>
      <c r="I34" s="87">
        <f>INDEX('Marcellas PDA FY 2020'!$B$7:$AE$63,MATCH($A34,'Marcellas PDA FY 2020'!$B$7:$B$63,0),MATCH(I$2,'Marcellas PDA FY 2020'!$B$7:$AE$7,0))</f>
        <v>3981.3024358763087</v>
      </c>
      <c r="J34" s="87">
        <f>INDEX('Marcellas PDA FY 2020'!$B$7:$AE$63,MATCH($A34,'Marcellas PDA FY 2020'!$B$7:$B$63,0),MATCH(J$2,'Marcellas PDA FY 2020'!$B$7:$AE$7,0))</f>
        <v>627.27116831459341</v>
      </c>
      <c r="K34" s="87">
        <f>INDEX('Marcellas PDA FY 2020'!$B$7:$AE$63,MATCH($A34,'Marcellas PDA FY 2020'!$B$7:$B$63,0),MATCH(K$2,'Marcellas PDA FY 2020'!$B$7:$AE$7,0))</f>
        <v>4608.5736041909022</v>
      </c>
      <c r="L34" s="87">
        <f>INDEX('Marcellas PDA FY 2020'!$B$7:$AE$63,MATCH($A34,'Marcellas PDA FY 2020'!$B$7:$B$63,0),MATCH(L$2,'Marcellas PDA FY 2020'!$B$7:$AE$7,0))</f>
        <v>12023.087651145615</v>
      </c>
      <c r="M34" s="87">
        <f>INDEX('Marcellas PDA FY 2020'!$B$7:$AE$63,MATCH($A34,'Marcellas PDA FY 2020'!$B$7:$B$63,0),MATCH(M$2,'Marcellas PDA FY 2020'!$B$7:$AE$7,0))</f>
        <v>11185.347823642009</v>
      </c>
      <c r="N34" s="87">
        <f>INDEX('Marcellas PDA FY 2020'!$B$7:$AE$63,MATCH($A34,'Marcellas PDA FY 2020'!$B$7:$B$63,0),MATCH(N$2,'Marcellas PDA FY 2020'!$B$7:$AE$7,0))</f>
        <v>23208.435474787624</v>
      </c>
      <c r="O34" s="87">
        <f>INDEX('Marcellas PDA FY 2020'!$B$7:$AE$63,MATCH($A34,'Marcellas PDA FY 2020'!$B$7:$B$63,0),MATCH(O$2,'Marcellas PDA FY 2020'!$B$7:$AE$7,0))</f>
        <v>22330.74654660896</v>
      </c>
      <c r="P34" s="87">
        <f>INDEX('Marcellas PDA FY 2020'!$B$7:$AE$63,MATCH($A34,'Marcellas PDA FY 2020'!$B$7:$B$63,0),MATCH(P$2,'Marcellas PDA FY 2020'!$B$7:$AE$7,0))</f>
        <v>15068.407635436986</v>
      </c>
      <c r="Q34" s="87">
        <f>INDEX('Marcellas PDA FY 2020'!$B$7:$AE$63,MATCH($A34,'Marcellas PDA FY 2020'!$B$7:$B$63,0),MATCH(Q$2,'Marcellas PDA FY 2020'!$B$7:$AE$7,0))</f>
        <v>37399.154182045946</v>
      </c>
      <c r="R34" s="87">
        <f>INDEX('Marcellas PDA FY 2020'!$B$7:$AE$63,MATCH($A34,'Marcellas PDA FY 2020'!$B$7:$B$63,0),MATCH(R$2,'Marcellas PDA FY 2020'!$B$7:$AE$7,0))</f>
        <v>0</v>
      </c>
      <c r="S34" s="87">
        <f>INDEX('Marcellas PDA FY 2020'!$B$7:$AE$63,MATCH($A34,'Marcellas PDA FY 2020'!$B$7:$B$63,0),MATCH(S$2,'Marcellas PDA FY 2020'!$B$7:$AE$7,0))</f>
        <v>3266.533475837904</v>
      </c>
      <c r="T34" s="87">
        <f>INDEX('Marcellas PDA FY 2020'!$B$7:$AE$63,MATCH($A34,'Marcellas PDA FY 2020'!$B$7:$B$63,0),MATCH(T$2,'Marcellas PDA FY 2020'!$B$7:$AE$7,0))</f>
        <v>4804.1000441620963</v>
      </c>
      <c r="U34" s="87">
        <f>INDEX('Marcellas PDA FY 2020'!$B$7:$AE$63,MATCH($A34,'Marcellas PDA FY 2020'!$B$7:$B$63,0),MATCH(U$2,'Marcellas PDA FY 2020'!$B$7:$AE$7,0))</f>
        <v>8070.6335200000003</v>
      </c>
      <c r="V34" s="87">
        <f>INDEX('Marcellas PDA FY 2020'!$B$7:$AE$63,MATCH($A34,'Marcellas PDA FY 2020'!$B$7:$B$63,0),MATCH(V$2,'Marcellas PDA FY 2020'!$B$7:$AE$7,0))</f>
        <v>28314.73304268334</v>
      </c>
      <c r="W34" s="87">
        <f>INDEX('Marcellas PDA FY 2020'!$B$7:$AE$63,MATCH($A34,'Marcellas PDA FY 2020'!$B$7:$B$63,0),MATCH(W$2,'Marcellas PDA FY 2020'!$B$7:$AE$7,0))</f>
        <v>25097.909235470994</v>
      </c>
      <c r="X34" s="87">
        <f>INDEX('Marcellas PDA FY 2020'!$B$7:$AE$63,MATCH($A34,'Marcellas PDA FY 2020'!$B$7:$B$63,0),MATCH(X$2,'Marcellas PDA FY 2020'!$B$7:$AE$7,0))</f>
        <v>53412.642278154337</v>
      </c>
      <c r="Y34" s="87">
        <f>INDEX('Marcellas PDA FY 2020'!$B$7:$AE$63,MATCH($A34,'Marcellas PDA FY 2020'!$B$7:$B$63,0),MATCH(Y$2,'Marcellas PDA FY 2020'!$B$7:$AE$7,0))</f>
        <v>184970.1912447135</v>
      </c>
      <c r="Z34" s="87">
        <f>INDEX('Marcellas PDA FY 2020'!$B$7:$AE$63,MATCH($A34,'Marcellas PDA FY 2020'!$B$7:$B$63,0),MATCH(Z$2,'Marcellas PDA FY 2020'!$B$7:$AE$7,0))</f>
        <v>203384.1218538839</v>
      </c>
      <c r="AA34" s="131">
        <f t="shared" si="0"/>
        <v>0.45327896825569675</v>
      </c>
      <c r="AB34" s="80">
        <f t="shared" si="1"/>
        <v>1.988646622638917E-2</v>
      </c>
      <c r="AC34" s="80">
        <f t="shared" si="2"/>
        <v>0.16138117352849596</v>
      </c>
      <c r="AD34" s="80">
        <f t="shared" si="3"/>
        <v>0.18126763975488513</v>
      </c>
      <c r="AE34" s="80">
        <f t="shared" si="4"/>
        <v>3.4825608681847593E-2</v>
      </c>
      <c r="AF34" s="128">
        <f t="shared" si="7"/>
        <v>0</v>
      </c>
      <c r="AG34" s="110">
        <f t="shared" si="8"/>
        <v>0</v>
      </c>
      <c r="AH34" s="110">
        <f t="shared" si="9"/>
        <v>0</v>
      </c>
      <c r="AI34" s="110">
        <f t="shared" si="10"/>
        <v>0</v>
      </c>
      <c r="AJ34" s="110">
        <f t="shared" si="11"/>
        <v>0</v>
      </c>
      <c r="AK34" s="110">
        <f t="shared" si="12"/>
        <v>0</v>
      </c>
      <c r="AL34" s="110">
        <f t="shared" si="13"/>
        <v>0</v>
      </c>
      <c r="AM34" s="110">
        <f t="shared" si="5"/>
        <v>0</v>
      </c>
      <c r="AN34" s="190"/>
      <c r="AP34" s="112">
        <f t="shared" si="6"/>
        <v>3.4825608681847593E-2</v>
      </c>
      <c r="AQ34" s="382">
        <f>'PDA Schedules FY 2018'!AP34</f>
        <v>1.6488400574236561E-2</v>
      </c>
    </row>
    <row r="35" spans="1:43">
      <c r="A35" s="33">
        <f>'UCC Fund Calc FY2022'!C35</f>
        <v>210034</v>
      </c>
      <c r="B35" s="33" t="str">
        <f>'UCC Fund Calc FY2022'!D35</f>
        <v>Medstar Harbor Hospital</v>
      </c>
      <c r="C35" s="87">
        <f>INDEX('Marcellas PDA FY 2020'!$B$7:$AE$63,MATCH($A35,'Marcellas PDA FY 2020'!$B$7:$B$63,0),MATCH(C$2,'Marcellas PDA FY 2020'!$B$7:$AE$7,0))</f>
        <v>119076.22818000003</v>
      </c>
      <c r="D35" s="87">
        <f>INDEX('Marcellas PDA FY 2020'!$B$7:$AE$63,MATCH($A35,'Marcellas PDA FY 2020'!$B$7:$B$63,0),MATCH(D$2,'Marcellas PDA FY 2020'!$B$7:$AE$7,0))</f>
        <v>64789.999379999972</v>
      </c>
      <c r="E35" s="87">
        <f>INDEX('Marcellas PDA FY 2020'!$B$7:$AE$63,MATCH($A35,'Marcellas PDA FY 2020'!$B$7:$B$63,0),MATCH(E$2,'Marcellas PDA FY 2020'!$B$7:$AE$7,0))</f>
        <v>183866.22756</v>
      </c>
      <c r="F35" s="87">
        <f>INDEX('Marcellas PDA FY 2020'!$B$7:$AE$63,MATCH($A35,'Marcellas PDA FY 2020'!$B$7:$B$63,0),MATCH(F$2,'Marcellas PDA FY 2020'!$B$7:$AE$7,0))</f>
        <v>41361.83758875772</v>
      </c>
      <c r="G35" s="87">
        <f>INDEX('Marcellas PDA FY 2020'!$B$7:$AE$63,MATCH($A35,'Marcellas PDA FY 2020'!$B$7:$B$63,0),MATCH(G$2,'Marcellas PDA FY 2020'!$B$7:$AE$7,0))</f>
        <v>11965.432723105709</v>
      </c>
      <c r="H35" s="87">
        <f>INDEX('Marcellas PDA FY 2020'!$B$7:$AE$63,MATCH($A35,'Marcellas PDA FY 2020'!$B$7:$B$63,0),MATCH(H$2,'Marcellas PDA FY 2020'!$B$7:$AE$7,0))</f>
        <v>53327.270311863431</v>
      </c>
      <c r="I35" s="87">
        <f>INDEX('Marcellas PDA FY 2020'!$B$7:$AE$63,MATCH($A35,'Marcellas PDA FY 2020'!$B$7:$B$63,0),MATCH(I$2,'Marcellas PDA FY 2020'!$B$7:$AE$7,0))</f>
        <v>5467.2882438163779</v>
      </c>
      <c r="J35" s="87">
        <f>INDEX('Marcellas PDA FY 2020'!$B$7:$AE$63,MATCH($A35,'Marcellas PDA FY 2020'!$B$7:$B$63,0),MATCH(J$2,'Marcellas PDA FY 2020'!$B$7:$AE$7,0))</f>
        <v>1575.2290022873387</v>
      </c>
      <c r="K35" s="87">
        <f>INDEX('Marcellas PDA FY 2020'!$B$7:$AE$63,MATCH($A35,'Marcellas PDA FY 2020'!$B$7:$B$63,0),MATCH(K$2,'Marcellas PDA FY 2020'!$B$7:$AE$7,0))</f>
        <v>7042.5172461037164</v>
      </c>
      <c r="L35" s="87">
        <f>INDEX('Marcellas PDA FY 2020'!$B$7:$AE$63,MATCH($A35,'Marcellas PDA FY 2020'!$B$7:$B$63,0),MATCH(L$2,'Marcellas PDA FY 2020'!$B$7:$AE$7,0))</f>
        <v>6643.787427041807</v>
      </c>
      <c r="M35" s="87">
        <f>INDEX('Marcellas PDA FY 2020'!$B$7:$AE$63,MATCH($A35,'Marcellas PDA FY 2020'!$B$7:$B$63,0),MATCH(M$2,'Marcellas PDA FY 2020'!$B$7:$AE$7,0))</f>
        <v>7905.0938581616047</v>
      </c>
      <c r="N35" s="87">
        <f>INDEX('Marcellas PDA FY 2020'!$B$7:$AE$63,MATCH($A35,'Marcellas PDA FY 2020'!$B$7:$B$63,0),MATCH(N$2,'Marcellas PDA FY 2020'!$B$7:$AE$7,0))</f>
        <v>14548.881285203412</v>
      </c>
      <c r="O35" s="87">
        <f>INDEX('Marcellas PDA FY 2020'!$B$7:$AE$63,MATCH($A35,'Marcellas PDA FY 2020'!$B$7:$B$63,0),MATCH(O$2,'Marcellas PDA FY 2020'!$B$7:$AE$7,0))</f>
        <v>48958.454734312938</v>
      </c>
      <c r="P35" s="87">
        <f>INDEX('Marcellas PDA FY 2020'!$B$7:$AE$63,MATCH($A35,'Marcellas PDA FY 2020'!$B$7:$B$63,0),MATCH(P$2,'Marcellas PDA FY 2020'!$B$7:$AE$7,0))</f>
        <v>26967.662432558544</v>
      </c>
      <c r="Q35" s="87">
        <f>INDEX('Marcellas PDA FY 2020'!$B$7:$AE$63,MATCH($A35,'Marcellas PDA FY 2020'!$B$7:$B$63,0),MATCH(Q$2,'Marcellas PDA FY 2020'!$B$7:$AE$7,0))</f>
        <v>75926.117166871481</v>
      </c>
      <c r="R35" s="87">
        <f>INDEX('Marcellas PDA FY 2020'!$B$7:$AE$63,MATCH($A35,'Marcellas PDA FY 2020'!$B$7:$B$63,0),MATCH(R$2,'Marcellas PDA FY 2020'!$B$7:$AE$7,0))</f>
        <v>1380.9234800000086</v>
      </c>
      <c r="S35" s="87">
        <f>INDEX('Marcellas PDA FY 2020'!$B$7:$AE$63,MATCH($A35,'Marcellas PDA FY 2020'!$B$7:$B$63,0),MATCH(S$2,'Marcellas PDA FY 2020'!$B$7:$AE$7,0))</f>
        <v>3907.8371320800879</v>
      </c>
      <c r="T35" s="87">
        <f>INDEX('Marcellas PDA FY 2020'!$B$7:$AE$63,MATCH($A35,'Marcellas PDA FY 2020'!$B$7:$B$63,0),MATCH(T$2,'Marcellas PDA FY 2020'!$B$7:$AE$7,0))</f>
        <v>5234.038337919912</v>
      </c>
      <c r="U35" s="87">
        <f>INDEX('Marcellas PDA FY 2020'!$B$7:$AE$63,MATCH($A35,'Marcellas PDA FY 2020'!$B$7:$B$63,0),MATCH(U$2,'Marcellas PDA FY 2020'!$B$7:$AE$7,0))</f>
        <v>9141.875469999999</v>
      </c>
      <c r="V35" s="87">
        <f>INDEX('Marcellas PDA FY 2020'!$B$7:$AE$63,MATCH($A35,'Marcellas PDA FY 2020'!$B$7:$B$63,0),MATCH(V$2,'Marcellas PDA FY 2020'!$B$7:$AE$7,0))</f>
        <v>12737.023053991106</v>
      </c>
      <c r="W35" s="87">
        <f>INDEX('Marcellas PDA FY 2020'!$B$7:$AE$63,MATCH($A35,'Marcellas PDA FY 2020'!$B$7:$B$63,0),MATCH(W$2,'Marcellas PDA FY 2020'!$B$7:$AE$7,0))</f>
        <v>11142.543025966857</v>
      </c>
      <c r="X35" s="87">
        <f>INDEX('Marcellas PDA FY 2020'!$B$7:$AE$63,MATCH($A35,'Marcellas PDA FY 2020'!$B$7:$B$63,0),MATCH(X$2,'Marcellas PDA FY 2020'!$B$7:$AE$7,0))</f>
        <v>23879.566079957964</v>
      </c>
      <c r="Y35" s="87">
        <f>INDEX('Marcellas PDA FY 2020'!$B$7:$AE$63,MATCH($A35,'Marcellas PDA FY 2020'!$B$7:$B$63,0),MATCH(Y$2,'Marcellas PDA FY 2020'!$B$7:$AE$7,0))</f>
        <v>144598.3791026659</v>
      </c>
      <c r="Z35" s="87">
        <f>INDEX('Marcellas PDA FY 2020'!$B$7:$AE$63,MATCH($A35,'Marcellas PDA FY 2020'!$B$7:$B$63,0),MATCH(Z$2,'Marcellas PDA FY 2020'!$B$7:$AE$7,0))</f>
        <v>162704.62119235232</v>
      </c>
      <c r="AA35" s="131">
        <f t="shared" si="0"/>
        <v>0.29003298223683549</v>
      </c>
      <c r="AB35" s="80">
        <f t="shared" si="1"/>
        <v>3.8302397017448857E-2</v>
      </c>
      <c r="AC35" s="80">
        <f t="shared" si="2"/>
        <v>0.41294216003912382</v>
      </c>
      <c r="AD35" s="80">
        <f t="shared" si="3"/>
        <v>0.45124455705657268</v>
      </c>
      <c r="AE35" s="80">
        <f t="shared" si="4"/>
        <v>4.9720253639384558E-2</v>
      </c>
      <c r="AF35" s="128">
        <f t="shared" si="7"/>
        <v>0</v>
      </c>
      <c r="AG35" s="110">
        <f t="shared" si="8"/>
        <v>0</v>
      </c>
      <c r="AH35" s="110">
        <f t="shared" si="9"/>
        <v>0</v>
      </c>
      <c r="AI35" s="110">
        <f t="shared" si="10"/>
        <v>0</v>
      </c>
      <c r="AJ35" s="110">
        <f t="shared" si="11"/>
        <v>0</v>
      </c>
      <c r="AK35" s="110">
        <f t="shared" si="12"/>
        <v>0</v>
      </c>
      <c r="AL35" s="110">
        <f t="shared" si="13"/>
        <v>0</v>
      </c>
      <c r="AM35" s="110">
        <f t="shared" si="5"/>
        <v>0</v>
      </c>
      <c r="AN35" s="190"/>
      <c r="AP35" s="112">
        <f t="shared" si="6"/>
        <v>4.9720253639384558E-2</v>
      </c>
      <c r="AQ35" s="382">
        <f>'PDA Schedules FY 2018'!AP35</f>
        <v>4.2617174359825372E-2</v>
      </c>
    </row>
    <row r="36" spans="1:43">
      <c r="A36" s="33">
        <f>'UCC Fund Calc FY2022'!C36</f>
        <v>210035</v>
      </c>
      <c r="B36" s="33" t="str">
        <f>'UCC Fund Calc FY2022'!D36</f>
        <v>UM Charles Regional Medical Center</v>
      </c>
      <c r="C36" s="87">
        <f>INDEX('Marcellas PDA FY 2020'!$B$7:$AE$63,MATCH($A36,'Marcellas PDA FY 2020'!$B$7:$B$63,0),MATCH(C$2,'Marcellas PDA FY 2020'!$B$7:$AE$7,0))</f>
        <v>88067.740889999986</v>
      </c>
      <c r="D36" s="87">
        <f>INDEX('Marcellas PDA FY 2020'!$B$7:$AE$63,MATCH($A36,'Marcellas PDA FY 2020'!$B$7:$B$63,0),MATCH(D$2,'Marcellas PDA FY 2020'!$B$7:$AE$7,0))</f>
        <v>67121.788329999981</v>
      </c>
      <c r="E36" s="87">
        <f>INDEX('Marcellas PDA FY 2020'!$B$7:$AE$63,MATCH($A36,'Marcellas PDA FY 2020'!$B$7:$B$63,0),MATCH(E$2,'Marcellas PDA FY 2020'!$B$7:$AE$7,0))</f>
        <v>155189.52921999997</v>
      </c>
      <c r="F36" s="87">
        <f>INDEX('Marcellas PDA FY 2020'!$B$7:$AE$63,MATCH($A36,'Marcellas PDA FY 2020'!$B$7:$B$63,0),MATCH(F$2,'Marcellas PDA FY 2020'!$B$7:$AE$7,0))</f>
        <v>50227.429093391031</v>
      </c>
      <c r="G36" s="87">
        <f>INDEX('Marcellas PDA FY 2020'!$B$7:$AE$63,MATCH($A36,'Marcellas PDA FY 2020'!$B$7:$B$63,0),MATCH(G$2,'Marcellas PDA FY 2020'!$B$7:$AE$7,0))</f>
        <v>19271.245583163658</v>
      </c>
      <c r="H36" s="87">
        <f>INDEX('Marcellas PDA FY 2020'!$B$7:$AE$63,MATCH($A36,'Marcellas PDA FY 2020'!$B$7:$B$63,0),MATCH(H$2,'Marcellas PDA FY 2020'!$B$7:$AE$7,0))</f>
        <v>69498.674676554685</v>
      </c>
      <c r="I36" s="87">
        <f>INDEX('Marcellas PDA FY 2020'!$B$7:$AE$63,MATCH($A36,'Marcellas PDA FY 2020'!$B$7:$B$63,0),MATCH(I$2,'Marcellas PDA FY 2020'!$B$7:$AE$7,0))</f>
        <v>2741.3325931336476</v>
      </c>
      <c r="J36" s="87">
        <f>INDEX('Marcellas PDA FY 2020'!$B$7:$AE$63,MATCH($A36,'Marcellas PDA FY 2020'!$B$7:$B$63,0),MATCH(J$2,'Marcellas PDA FY 2020'!$B$7:$AE$7,0))</f>
        <v>1438.2489748852606</v>
      </c>
      <c r="K36" s="87">
        <f>INDEX('Marcellas PDA FY 2020'!$B$7:$AE$63,MATCH($A36,'Marcellas PDA FY 2020'!$B$7:$B$63,0),MATCH(K$2,'Marcellas PDA FY 2020'!$B$7:$AE$7,0))</f>
        <v>4179.581568018908</v>
      </c>
      <c r="L36" s="87">
        <f>INDEX('Marcellas PDA FY 2020'!$B$7:$AE$63,MATCH($A36,'Marcellas PDA FY 2020'!$B$7:$B$63,0),MATCH(L$2,'Marcellas PDA FY 2020'!$B$7:$AE$7,0))</f>
        <v>6583.3146086822171</v>
      </c>
      <c r="M36" s="87">
        <f>INDEX('Marcellas PDA FY 2020'!$B$7:$AE$63,MATCH($A36,'Marcellas PDA FY 2020'!$B$7:$B$63,0),MATCH(M$2,'Marcellas PDA FY 2020'!$B$7:$AE$7,0))</f>
        <v>10115.538436163353</v>
      </c>
      <c r="N36" s="87">
        <f>INDEX('Marcellas PDA FY 2020'!$B$7:$AE$63,MATCH($A36,'Marcellas PDA FY 2020'!$B$7:$B$63,0),MATCH(N$2,'Marcellas PDA FY 2020'!$B$7:$AE$7,0))</f>
        <v>16698.853044845571</v>
      </c>
      <c r="O36" s="87">
        <f>INDEX('Marcellas PDA FY 2020'!$B$7:$AE$63,MATCH($A36,'Marcellas PDA FY 2020'!$B$7:$B$63,0),MATCH(O$2,'Marcellas PDA FY 2020'!$B$7:$AE$7,0))</f>
        <v>12795.010494503867</v>
      </c>
      <c r="P36" s="87">
        <f>INDEX('Marcellas PDA FY 2020'!$B$7:$AE$63,MATCH($A36,'Marcellas PDA FY 2020'!$B$7:$B$63,0),MATCH(P$2,'Marcellas PDA FY 2020'!$B$7:$AE$7,0))</f>
        <v>12585.515682549179</v>
      </c>
      <c r="Q36" s="87">
        <f>INDEX('Marcellas PDA FY 2020'!$B$7:$AE$63,MATCH($A36,'Marcellas PDA FY 2020'!$B$7:$B$63,0),MATCH(Q$2,'Marcellas PDA FY 2020'!$B$7:$AE$7,0))</f>
        <v>25380.526177053049</v>
      </c>
      <c r="R36" s="87">
        <f>INDEX('Marcellas PDA FY 2020'!$B$7:$AE$63,MATCH($A36,'Marcellas PDA FY 2020'!$B$7:$B$63,0),MATCH(R$2,'Marcellas PDA FY 2020'!$B$7:$AE$7,0))</f>
        <v>1179.3330000000001</v>
      </c>
      <c r="S36" s="87">
        <f>INDEX('Marcellas PDA FY 2020'!$B$7:$AE$63,MATCH($A36,'Marcellas PDA FY 2020'!$B$7:$B$63,0),MATCH(S$2,'Marcellas PDA FY 2020'!$B$7:$AE$7,0))</f>
        <v>5477.9333830314317</v>
      </c>
      <c r="T36" s="87">
        <f>INDEX('Marcellas PDA FY 2020'!$B$7:$AE$63,MATCH($A36,'Marcellas PDA FY 2020'!$B$7:$B$63,0),MATCH(T$2,'Marcellas PDA FY 2020'!$B$7:$AE$7,0))</f>
        <v>4175.0666169685674</v>
      </c>
      <c r="U36" s="87">
        <f>INDEX('Marcellas PDA FY 2020'!$B$7:$AE$63,MATCH($A36,'Marcellas PDA FY 2020'!$B$7:$B$63,0),MATCH(U$2,'Marcellas PDA FY 2020'!$B$7:$AE$7,0))</f>
        <v>9653</v>
      </c>
      <c r="V36" s="87">
        <f>INDEX('Marcellas PDA FY 2020'!$B$7:$AE$63,MATCH($A36,'Marcellas PDA FY 2020'!$B$7:$B$63,0),MATCH(V$2,'Marcellas PDA FY 2020'!$B$7:$AE$7,0))</f>
        <v>10242.720717257789</v>
      </c>
      <c r="W36" s="87">
        <f>INDEX('Marcellas PDA FY 2020'!$B$7:$AE$63,MATCH($A36,'Marcellas PDA FY 2020'!$B$7:$B$63,0),MATCH(W$2,'Marcellas PDA FY 2020'!$B$7:$AE$7,0))</f>
        <v>19536.173036269956</v>
      </c>
      <c r="X36" s="87">
        <f>INDEX('Marcellas PDA FY 2020'!$B$7:$AE$63,MATCH($A36,'Marcellas PDA FY 2020'!$B$7:$B$63,0),MATCH(X$2,'Marcellas PDA FY 2020'!$B$7:$AE$7,0))</f>
        <v>29778.893753527744</v>
      </c>
      <c r="Y36" s="87">
        <f>INDEX('Marcellas PDA FY 2020'!$B$7:$AE$63,MATCH($A36,'Marcellas PDA FY 2020'!$B$7:$B$63,0),MATCH(Y$2,'Marcellas PDA FY 2020'!$B$7:$AE$7,0))</f>
        <v>122134.51742824896</v>
      </c>
      <c r="Z36" s="87">
        <f>INDEX('Marcellas PDA FY 2020'!$B$7:$AE$63,MATCH($A36,'Marcellas PDA FY 2020'!$B$7:$B$63,0),MATCH(Z$2,'Marcellas PDA FY 2020'!$B$7:$AE$7,0))</f>
        <v>138427.9117701184</v>
      </c>
      <c r="AA36" s="131">
        <f t="shared" si="0"/>
        <v>0.44783095242225968</v>
      </c>
      <c r="AB36" s="80">
        <f t="shared" si="1"/>
        <v>2.6932110620000945E-2</v>
      </c>
      <c r="AC36" s="80">
        <f t="shared" si="2"/>
        <v>0.16354535196168471</v>
      </c>
      <c r="AD36" s="80">
        <f t="shared" si="3"/>
        <v>0.19047746258168566</v>
      </c>
      <c r="AE36" s="80">
        <f t="shared" si="4"/>
        <v>6.2201361448269508E-2</v>
      </c>
      <c r="AF36" s="128">
        <f t="shared" si="7"/>
        <v>0</v>
      </c>
      <c r="AG36" s="110">
        <f t="shared" si="8"/>
        <v>0</v>
      </c>
      <c r="AH36" s="110">
        <f t="shared" si="9"/>
        <v>0</v>
      </c>
      <c r="AI36" s="110">
        <f t="shared" si="10"/>
        <v>0</v>
      </c>
      <c r="AJ36" s="110">
        <f t="shared" si="11"/>
        <v>0</v>
      </c>
      <c r="AK36" s="110">
        <f t="shared" si="12"/>
        <v>0</v>
      </c>
      <c r="AL36" s="110">
        <f t="shared" si="13"/>
        <v>0</v>
      </c>
      <c r="AM36" s="110">
        <f t="shared" si="5"/>
        <v>0</v>
      </c>
      <c r="AN36" s="190"/>
      <c r="AP36" s="112">
        <f t="shared" si="6"/>
        <v>6.2201361448269508E-2</v>
      </c>
      <c r="AQ36" s="382">
        <f>'PDA Schedules FY 2018'!AP36</f>
        <v>5.3476104041614202E-2</v>
      </c>
    </row>
    <row r="37" spans="1:43">
      <c r="A37" s="33">
        <f>'UCC Fund Calc FY2022'!C37</f>
        <v>210037</v>
      </c>
      <c r="B37" s="33" t="str">
        <f>'UCC Fund Calc FY2022'!D37</f>
        <v>UM Shore Medical Center at Easton</v>
      </c>
      <c r="C37" s="87">
        <f>INDEX('Marcellas PDA FY 2020'!$B$7:$AE$63,MATCH($A37,'Marcellas PDA FY 2020'!$B$7:$B$63,0),MATCH(C$2,'Marcellas PDA FY 2020'!$B$7:$AE$7,0))</f>
        <v>115542.04308</v>
      </c>
      <c r="D37" s="87">
        <f>INDEX('Marcellas PDA FY 2020'!$B$7:$AE$63,MATCH($A37,'Marcellas PDA FY 2020'!$B$7:$B$63,0),MATCH(D$2,'Marcellas PDA FY 2020'!$B$7:$AE$7,0))</f>
        <v>121971.48346000002</v>
      </c>
      <c r="E37" s="87">
        <f>INDEX('Marcellas PDA FY 2020'!$B$7:$AE$63,MATCH($A37,'Marcellas PDA FY 2020'!$B$7:$B$63,0),MATCH(E$2,'Marcellas PDA FY 2020'!$B$7:$AE$7,0))</f>
        <v>237513.52654000002</v>
      </c>
      <c r="F37" s="87">
        <f>INDEX('Marcellas PDA FY 2020'!$B$7:$AE$63,MATCH($A37,'Marcellas PDA FY 2020'!$B$7:$B$63,0),MATCH(F$2,'Marcellas PDA FY 2020'!$B$7:$AE$7,0))</f>
        <v>67598.656694226142</v>
      </c>
      <c r="G37" s="87">
        <f>INDEX('Marcellas PDA FY 2020'!$B$7:$AE$63,MATCH($A37,'Marcellas PDA FY 2020'!$B$7:$B$63,0),MATCH(G$2,'Marcellas PDA FY 2020'!$B$7:$AE$7,0))</f>
        <v>61202.696761773172</v>
      </c>
      <c r="H37" s="87">
        <f>INDEX('Marcellas PDA FY 2020'!$B$7:$AE$63,MATCH($A37,'Marcellas PDA FY 2020'!$B$7:$B$63,0),MATCH(H$2,'Marcellas PDA FY 2020'!$B$7:$AE$7,0))</f>
        <v>128801.35345599931</v>
      </c>
      <c r="I37" s="87">
        <f>INDEX('Marcellas PDA FY 2020'!$B$7:$AE$63,MATCH($A37,'Marcellas PDA FY 2020'!$B$7:$B$63,0),MATCH(I$2,'Marcellas PDA FY 2020'!$B$7:$AE$7,0))</f>
        <v>4525.7778378272415</v>
      </c>
      <c r="J37" s="87">
        <f>INDEX('Marcellas PDA FY 2020'!$B$7:$AE$63,MATCH($A37,'Marcellas PDA FY 2020'!$B$7:$B$63,0),MATCH(J$2,'Marcellas PDA FY 2020'!$B$7:$AE$7,0))</f>
        <v>1569.9974805990212</v>
      </c>
      <c r="K37" s="87">
        <f>INDEX('Marcellas PDA FY 2020'!$B$7:$AE$63,MATCH($A37,'Marcellas PDA FY 2020'!$B$7:$B$63,0),MATCH(K$2,'Marcellas PDA FY 2020'!$B$7:$AE$7,0))</f>
        <v>6095.7753184262629</v>
      </c>
      <c r="L37" s="87">
        <f>INDEX('Marcellas PDA FY 2020'!$B$7:$AE$63,MATCH($A37,'Marcellas PDA FY 2020'!$B$7:$B$63,0),MATCH(L$2,'Marcellas PDA FY 2020'!$B$7:$AE$7,0))</f>
        <v>7235.9377657820314</v>
      </c>
      <c r="M37" s="87">
        <f>INDEX('Marcellas PDA FY 2020'!$B$7:$AE$63,MATCH($A37,'Marcellas PDA FY 2020'!$B$7:$B$63,0),MATCH(M$2,'Marcellas PDA FY 2020'!$B$7:$AE$7,0))</f>
        <v>9988.3558028803236</v>
      </c>
      <c r="N37" s="87">
        <f>INDEX('Marcellas PDA FY 2020'!$B$7:$AE$63,MATCH($A37,'Marcellas PDA FY 2020'!$B$7:$B$63,0),MATCH(N$2,'Marcellas PDA FY 2020'!$B$7:$AE$7,0))</f>
        <v>17224.293568662353</v>
      </c>
      <c r="O37" s="87">
        <f>INDEX('Marcellas PDA FY 2020'!$B$7:$AE$63,MATCH($A37,'Marcellas PDA FY 2020'!$B$7:$B$63,0),MATCH(O$2,'Marcellas PDA FY 2020'!$B$7:$AE$7,0))</f>
        <v>20556.469513396136</v>
      </c>
      <c r="P37" s="87">
        <f>INDEX('Marcellas PDA FY 2020'!$B$7:$AE$63,MATCH($A37,'Marcellas PDA FY 2020'!$B$7:$B$63,0),MATCH(P$2,'Marcellas PDA FY 2020'!$B$7:$AE$7,0))</f>
        <v>22923.961634593448</v>
      </c>
      <c r="Q37" s="87">
        <f>INDEX('Marcellas PDA FY 2020'!$B$7:$AE$63,MATCH($A37,'Marcellas PDA FY 2020'!$B$7:$B$63,0),MATCH(Q$2,'Marcellas PDA FY 2020'!$B$7:$AE$7,0))</f>
        <v>43480.431147989584</v>
      </c>
      <c r="R37" s="87">
        <f>INDEX('Marcellas PDA FY 2020'!$B$7:$AE$63,MATCH($A37,'Marcellas PDA FY 2020'!$B$7:$B$63,0),MATCH(R$2,'Marcellas PDA FY 2020'!$B$7:$AE$7,0))</f>
        <v>1829.4600000000003</v>
      </c>
      <c r="S37" s="87">
        <f>INDEX('Marcellas PDA FY 2020'!$B$7:$AE$63,MATCH($A37,'Marcellas PDA FY 2020'!$B$7:$B$63,0),MATCH(S$2,'Marcellas PDA FY 2020'!$B$7:$AE$7,0))</f>
        <v>4042.9425762581923</v>
      </c>
      <c r="T37" s="87">
        <f>INDEX('Marcellas PDA FY 2020'!$B$7:$AE$63,MATCH($A37,'Marcellas PDA FY 2020'!$B$7:$B$63,0),MATCH(T$2,'Marcellas PDA FY 2020'!$B$7:$AE$7,0))</f>
        <v>4267.9157337418092</v>
      </c>
      <c r="U37" s="87">
        <f>INDEX('Marcellas PDA FY 2020'!$B$7:$AE$63,MATCH($A37,'Marcellas PDA FY 2020'!$B$7:$B$63,0),MATCH(U$2,'Marcellas PDA FY 2020'!$B$7:$AE$7,0))</f>
        <v>8310.8583100000014</v>
      </c>
      <c r="V37" s="87">
        <f>INDEX('Marcellas PDA FY 2020'!$B$7:$AE$63,MATCH($A37,'Marcellas PDA FY 2020'!$B$7:$B$63,0),MATCH(V$2,'Marcellas PDA FY 2020'!$B$7:$AE$7,0))</f>
        <v>11582.258692510262</v>
      </c>
      <c r="W37" s="87">
        <f>INDEX('Marcellas PDA FY 2020'!$B$7:$AE$63,MATCH($A37,'Marcellas PDA FY 2020'!$B$7:$B$63,0),MATCH(W$2,'Marcellas PDA FY 2020'!$B$7:$AE$7,0))</f>
        <v>22018.556046412246</v>
      </c>
      <c r="X37" s="87">
        <f>INDEX('Marcellas PDA FY 2020'!$B$7:$AE$63,MATCH($A37,'Marcellas PDA FY 2020'!$B$7:$B$63,0),MATCH(X$2,'Marcellas PDA FY 2020'!$B$7:$AE$7,0))</f>
        <v>33600.814738922505</v>
      </c>
      <c r="Y37" s="87">
        <f>INDEX('Marcellas PDA FY 2020'!$B$7:$AE$63,MATCH($A37,'Marcellas PDA FY 2020'!$B$7:$B$63,0),MATCH(Y$2,'Marcellas PDA FY 2020'!$B$7:$AE$7,0))</f>
        <v>159503.69047465632</v>
      </c>
      <c r="Z37" s="87">
        <f>INDEX('Marcellas PDA FY 2020'!$B$7:$AE$63,MATCH($A37,'Marcellas PDA FY 2020'!$B$7:$B$63,0),MATCH(Z$2,'Marcellas PDA FY 2020'!$B$7:$AE$7,0))</f>
        <v>176720.352744117</v>
      </c>
      <c r="AA37" s="131">
        <f t="shared" si="0"/>
        <v>0.54229060269671703</v>
      </c>
      <c r="AB37" s="80">
        <f t="shared" si="1"/>
        <v>2.5664960674985658E-2</v>
      </c>
      <c r="AC37" s="80">
        <f t="shared" si="2"/>
        <v>0.18306507330927521</v>
      </c>
      <c r="AD37" s="80">
        <f t="shared" si="3"/>
        <v>0.20873003398426085</v>
      </c>
      <c r="AE37" s="80">
        <f t="shared" si="4"/>
        <v>3.4991094743399204E-2</v>
      </c>
      <c r="AF37" s="128">
        <f t="shared" si="7"/>
        <v>0</v>
      </c>
      <c r="AG37" s="110">
        <f t="shared" si="8"/>
        <v>0</v>
      </c>
      <c r="AH37" s="110">
        <f t="shared" si="9"/>
        <v>0</v>
      </c>
      <c r="AI37" s="110">
        <f t="shared" si="10"/>
        <v>0</v>
      </c>
      <c r="AJ37" s="110">
        <f t="shared" si="11"/>
        <v>0</v>
      </c>
      <c r="AK37" s="110">
        <f t="shared" si="12"/>
        <v>0</v>
      </c>
      <c r="AL37" s="110">
        <f t="shared" si="13"/>
        <v>0</v>
      </c>
      <c r="AM37" s="110">
        <f t="shared" si="5"/>
        <v>0</v>
      </c>
      <c r="AN37" s="190"/>
      <c r="AP37" s="112">
        <f t="shared" si="6"/>
        <v>3.4991094743399204E-2</v>
      </c>
      <c r="AQ37" s="382">
        <f>'PDA Schedules FY 2018'!AP37</f>
        <v>3.5883089248598343E-2</v>
      </c>
    </row>
    <row r="38" spans="1:43">
      <c r="A38" s="33">
        <f>'UCC Fund Calc FY2022'!C38</f>
        <v>210038</v>
      </c>
      <c r="B38" s="33" t="str">
        <f>'UCC Fund Calc FY2022'!D38</f>
        <v>UM Medical Center Midtown Campus</v>
      </c>
      <c r="C38" s="87">
        <f>INDEX('Marcellas PDA FY 2020'!$B$7:$AE$63,MATCH($A38,'Marcellas PDA FY 2020'!$B$7:$B$63,0),MATCH(C$2,'Marcellas PDA FY 2020'!$B$7:$AE$7,0))</f>
        <v>117588.17297</v>
      </c>
      <c r="D38" s="87">
        <f>INDEX('Marcellas PDA FY 2020'!$B$7:$AE$63,MATCH($A38,'Marcellas PDA FY 2020'!$B$7:$B$63,0),MATCH(D$2,'Marcellas PDA FY 2020'!$B$7:$AE$7,0))</f>
        <v>98950.316370000015</v>
      </c>
      <c r="E38" s="87">
        <f>INDEX('Marcellas PDA FY 2020'!$B$7:$AE$63,MATCH($A38,'Marcellas PDA FY 2020'!$B$7:$B$63,0),MATCH(E$2,'Marcellas PDA FY 2020'!$B$7:$AE$7,0))</f>
        <v>216538.48934000003</v>
      </c>
      <c r="F38" s="87">
        <f>INDEX('Marcellas PDA FY 2020'!$B$7:$AE$63,MATCH($A38,'Marcellas PDA FY 2020'!$B$7:$B$63,0),MATCH(F$2,'Marcellas PDA FY 2020'!$B$7:$AE$7,0))</f>
        <v>44787.646955294018</v>
      </c>
      <c r="G38" s="87">
        <f>INDEX('Marcellas PDA FY 2020'!$B$7:$AE$63,MATCH($A38,'Marcellas PDA FY 2020'!$B$7:$B$63,0),MATCH(G$2,'Marcellas PDA FY 2020'!$B$7:$AE$7,0))</f>
        <v>25825.671921498004</v>
      </c>
      <c r="H38" s="87">
        <f>INDEX('Marcellas PDA FY 2020'!$B$7:$AE$63,MATCH($A38,'Marcellas PDA FY 2020'!$B$7:$B$63,0),MATCH(H$2,'Marcellas PDA FY 2020'!$B$7:$AE$7,0))</f>
        <v>70613.318876792022</v>
      </c>
      <c r="I38" s="87">
        <f>INDEX('Marcellas PDA FY 2020'!$B$7:$AE$63,MATCH($A38,'Marcellas PDA FY 2020'!$B$7:$B$63,0),MATCH(I$2,'Marcellas PDA FY 2020'!$B$7:$AE$7,0))</f>
        <v>10349.063746871407</v>
      </c>
      <c r="J38" s="87">
        <f>INDEX('Marcellas PDA FY 2020'!$B$7:$AE$63,MATCH($A38,'Marcellas PDA FY 2020'!$B$7:$B$63,0),MATCH(J$2,'Marcellas PDA FY 2020'!$B$7:$AE$7,0))</f>
        <v>4352.5039802266647</v>
      </c>
      <c r="K38" s="87">
        <f>INDEX('Marcellas PDA FY 2020'!$B$7:$AE$63,MATCH($A38,'Marcellas PDA FY 2020'!$B$7:$B$63,0),MATCH(K$2,'Marcellas PDA FY 2020'!$B$7:$AE$7,0))</f>
        <v>14701.56772709807</v>
      </c>
      <c r="L38" s="87">
        <f>INDEX('Marcellas PDA FY 2020'!$B$7:$AE$63,MATCH($A38,'Marcellas PDA FY 2020'!$B$7:$B$63,0),MATCH(L$2,'Marcellas PDA FY 2020'!$B$7:$AE$7,0))</f>
        <v>4376.7528941283235</v>
      </c>
      <c r="M38" s="87">
        <f>INDEX('Marcellas PDA FY 2020'!$B$7:$AE$63,MATCH($A38,'Marcellas PDA FY 2020'!$B$7:$B$63,0),MATCH(M$2,'Marcellas PDA FY 2020'!$B$7:$AE$7,0))</f>
        <v>7478.4714950431708</v>
      </c>
      <c r="N38" s="87">
        <f>INDEX('Marcellas PDA FY 2020'!$B$7:$AE$63,MATCH($A38,'Marcellas PDA FY 2020'!$B$7:$B$63,0),MATCH(N$2,'Marcellas PDA FY 2020'!$B$7:$AE$7,0))</f>
        <v>11855.224389171493</v>
      </c>
      <c r="O38" s="87">
        <f>INDEX('Marcellas PDA FY 2020'!$B$7:$AE$63,MATCH($A38,'Marcellas PDA FY 2020'!$B$7:$B$63,0),MATCH(O$2,'Marcellas PDA FY 2020'!$B$7:$AE$7,0))</f>
        <v>47318.21343812783</v>
      </c>
      <c r="P38" s="87">
        <f>INDEX('Marcellas PDA FY 2020'!$B$7:$AE$63,MATCH($A38,'Marcellas PDA FY 2020'!$B$7:$B$63,0),MATCH(P$2,'Marcellas PDA FY 2020'!$B$7:$AE$7,0))</f>
        <v>41302.509193509082</v>
      </c>
      <c r="Q38" s="87">
        <f>INDEX('Marcellas PDA FY 2020'!$B$7:$AE$63,MATCH($A38,'Marcellas PDA FY 2020'!$B$7:$B$63,0),MATCH(Q$2,'Marcellas PDA FY 2020'!$B$7:$AE$7,0))</f>
        <v>88620.72263163692</v>
      </c>
      <c r="R38" s="87">
        <f>INDEX('Marcellas PDA FY 2020'!$B$7:$AE$63,MATCH($A38,'Marcellas PDA FY 2020'!$B$7:$B$63,0),MATCH(R$2,'Marcellas PDA FY 2020'!$B$7:$AE$7,0))</f>
        <v>3913.9231899999613</v>
      </c>
      <c r="S38" s="87">
        <f>INDEX('Marcellas PDA FY 2020'!$B$7:$AE$63,MATCH($A38,'Marcellas PDA FY 2020'!$B$7:$B$63,0),MATCH(S$2,'Marcellas PDA FY 2020'!$B$7:$AE$7,0))</f>
        <v>5231.064803640742</v>
      </c>
      <c r="T38" s="87">
        <f>INDEX('Marcellas PDA FY 2020'!$B$7:$AE$63,MATCH($A38,'Marcellas PDA FY 2020'!$B$7:$B$63,0),MATCH(T$2,'Marcellas PDA FY 2020'!$B$7:$AE$7,0))</f>
        <v>4401.935196359258</v>
      </c>
      <c r="U38" s="87">
        <f>INDEX('Marcellas PDA FY 2020'!$B$7:$AE$63,MATCH($A38,'Marcellas PDA FY 2020'!$B$7:$B$63,0),MATCH(U$2,'Marcellas PDA FY 2020'!$B$7:$AE$7,0))</f>
        <v>9633</v>
      </c>
      <c r="V38" s="87">
        <f>INDEX('Marcellas PDA FY 2020'!$B$7:$AE$63,MATCH($A38,'Marcellas PDA FY 2020'!$B$7:$B$63,0),MATCH(V$2,'Marcellas PDA FY 2020'!$B$7:$AE$7,0))</f>
        <v>5525.4311319376739</v>
      </c>
      <c r="W38" s="87">
        <f>INDEX('Marcellas PDA FY 2020'!$B$7:$AE$63,MATCH($A38,'Marcellas PDA FY 2020'!$B$7:$B$63,0),MATCH(W$2,'Marcellas PDA FY 2020'!$B$7:$AE$7,0))</f>
        <v>15589.224583363835</v>
      </c>
      <c r="X38" s="87">
        <f>INDEX('Marcellas PDA FY 2020'!$B$7:$AE$63,MATCH($A38,'Marcellas PDA FY 2020'!$B$7:$B$63,0),MATCH(X$2,'Marcellas PDA FY 2020'!$B$7:$AE$7,0))</f>
        <v>21114.655715301509</v>
      </c>
      <c r="Y38" s="87">
        <f>INDEX('Marcellas PDA FY 2020'!$B$7:$AE$63,MATCH($A38,'Marcellas PDA FY 2020'!$B$7:$B$63,0),MATCH(Y$2,'Marcellas PDA FY 2020'!$B$7:$AE$7,0))</f>
        <v>180676.56622992046</v>
      </c>
      <c r="Z38" s="87">
        <f>INDEX('Marcellas PDA FY 2020'!$B$7:$AE$63,MATCH($A38,'Marcellas PDA FY 2020'!$B$7:$B$63,0),MATCH(Z$2,'Marcellas PDA FY 2020'!$B$7:$AE$7,0))</f>
        <v>202975.69989348904</v>
      </c>
      <c r="AA38" s="131">
        <f t="shared" si="0"/>
        <v>0.32610054264264227</v>
      </c>
      <c r="AB38" s="80">
        <f t="shared" si="1"/>
        <v>6.7893554498822881E-2</v>
      </c>
      <c r="AC38" s="80">
        <f t="shared" si="2"/>
        <v>0.40926083349777242</v>
      </c>
      <c r="AD38" s="80">
        <f t="shared" si="3"/>
        <v>0.47715438799659526</v>
      </c>
      <c r="AE38" s="80">
        <f t="shared" si="4"/>
        <v>4.4486317556573743E-2</v>
      </c>
      <c r="AF38" s="128">
        <f t="shared" si="7"/>
        <v>0</v>
      </c>
      <c r="AG38" s="110">
        <f t="shared" si="8"/>
        <v>0</v>
      </c>
      <c r="AH38" s="110">
        <f t="shared" si="9"/>
        <v>0</v>
      </c>
      <c r="AI38" s="110">
        <f t="shared" si="10"/>
        <v>0</v>
      </c>
      <c r="AJ38" s="110">
        <f t="shared" si="11"/>
        <v>0</v>
      </c>
      <c r="AK38" s="110">
        <f t="shared" si="12"/>
        <v>0</v>
      </c>
      <c r="AL38" s="110">
        <f t="shared" si="13"/>
        <v>0</v>
      </c>
      <c r="AM38" s="110">
        <f t="shared" si="5"/>
        <v>0</v>
      </c>
      <c r="AN38" s="190"/>
      <c r="AP38" s="112">
        <f t="shared" si="6"/>
        <v>4.4486317556573743E-2</v>
      </c>
      <c r="AQ38" s="382">
        <f>'PDA Schedules FY 2018'!AP38</f>
        <v>5.5524844709743497E-2</v>
      </c>
    </row>
    <row r="39" spans="1:43">
      <c r="A39" s="33">
        <f>'UCC Fund Calc FY2022'!C39</f>
        <v>210039</v>
      </c>
      <c r="B39" s="33" t="str">
        <f>'UCC Fund Calc FY2022'!D39</f>
        <v>Calvert Memorial Hospital</v>
      </c>
      <c r="C39" s="87">
        <f>INDEX('Marcellas PDA FY 2020'!$B$7:$AE$63,MATCH($A39,'Marcellas PDA FY 2020'!$B$7:$B$63,0),MATCH(C$2,'Marcellas PDA FY 2020'!$B$7:$AE$7,0))</f>
        <v>79468</v>
      </c>
      <c r="D39" s="87">
        <f>INDEX('Marcellas PDA FY 2020'!$B$7:$AE$63,MATCH($A39,'Marcellas PDA FY 2020'!$B$7:$B$63,0),MATCH(D$2,'Marcellas PDA FY 2020'!$B$7:$AE$7,0))</f>
        <v>77550.399999999994</v>
      </c>
      <c r="E39" s="87">
        <f>INDEX('Marcellas PDA FY 2020'!$B$7:$AE$63,MATCH($A39,'Marcellas PDA FY 2020'!$B$7:$B$63,0),MATCH(E$2,'Marcellas PDA FY 2020'!$B$7:$AE$7,0))</f>
        <v>157018.4</v>
      </c>
      <c r="F39" s="87">
        <f>INDEX('Marcellas PDA FY 2020'!$B$7:$AE$63,MATCH($A39,'Marcellas PDA FY 2020'!$B$7:$B$63,0),MATCH(F$2,'Marcellas PDA FY 2020'!$B$7:$AE$7,0))</f>
        <v>45407.344704772695</v>
      </c>
      <c r="G39" s="87">
        <f>INDEX('Marcellas PDA FY 2020'!$B$7:$AE$63,MATCH($A39,'Marcellas PDA FY 2020'!$B$7:$B$63,0),MATCH(G$2,'Marcellas PDA FY 2020'!$B$7:$AE$7,0))</f>
        <v>33764.823133713529</v>
      </c>
      <c r="H39" s="87">
        <f>INDEX('Marcellas PDA FY 2020'!$B$7:$AE$63,MATCH($A39,'Marcellas PDA FY 2020'!$B$7:$B$63,0),MATCH(H$2,'Marcellas PDA FY 2020'!$B$7:$AE$7,0))</f>
        <v>79172.167838486232</v>
      </c>
      <c r="I39" s="87">
        <f>INDEX('Marcellas PDA FY 2020'!$B$7:$AE$63,MATCH($A39,'Marcellas PDA FY 2020'!$B$7:$B$63,0),MATCH(I$2,'Marcellas PDA FY 2020'!$B$7:$AE$7,0))</f>
        <v>1359.9096288396022</v>
      </c>
      <c r="J39" s="87">
        <f>INDEX('Marcellas PDA FY 2020'!$B$7:$AE$63,MATCH($A39,'Marcellas PDA FY 2020'!$B$7:$B$63,0),MATCH(J$2,'Marcellas PDA FY 2020'!$B$7:$AE$7,0))</f>
        <v>681.18545122640603</v>
      </c>
      <c r="K39" s="87">
        <f>INDEX('Marcellas PDA FY 2020'!$B$7:$AE$63,MATCH($A39,'Marcellas PDA FY 2020'!$B$7:$B$63,0),MATCH(K$2,'Marcellas PDA FY 2020'!$B$7:$AE$7,0))</f>
        <v>2041.0950800660082</v>
      </c>
      <c r="L39" s="87">
        <f>INDEX('Marcellas PDA FY 2020'!$B$7:$AE$63,MATCH($A39,'Marcellas PDA FY 2020'!$B$7:$B$63,0),MATCH(L$2,'Marcellas PDA FY 2020'!$B$7:$AE$7,0))</f>
        <v>3899.4045571921847</v>
      </c>
      <c r="M39" s="87">
        <f>INDEX('Marcellas PDA FY 2020'!$B$7:$AE$63,MATCH($A39,'Marcellas PDA FY 2020'!$B$7:$B$63,0),MATCH(M$2,'Marcellas PDA FY 2020'!$B$7:$AE$7,0))</f>
        <v>6325.4981229077193</v>
      </c>
      <c r="N39" s="87">
        <f>INDEX('Marcellas PDA FY 2020'!$B$7:$AE$63,MATCH($A39,'Marcellas PDA FY 2020'!$B$7:$B$63,0),MATCH(N$2,'Marcellas PDA FY 2020'!$B$7:$AE$7,0))</f>
        <v>10224.902680099904</v>
      </c>
      <c r="O39" s="87">
        <f>INDEX('Marcellas PDA FY 2020'!$B$7:$AE$63,MATCH($A39,'Marcellas PDA FY 2020'!$B$7:$B$63,0),MATCH(O$2,'Marcellas PDA FY 2020'!$B$7:$AE$7,0))</f>
        <v>13852.081290535509</v>
      </c>
      <c r="P39" s="87">
        <f>INDEX('Marcellas PDA FY 2020'!$B$7:$AE$63,MATCH($A39,'Marcellas PDA FY 2020'!$B$7:$B$63,0),MATCH(P$2,'Marcellas PDA FY 2020'!$B$7:$AE$7,0))</f>
        <v>13522.486501624857</v>
      </c>
      <c r="Q39" s="87">
        <f>INDEX('Marcellas PDA FY 2020'!$B$7:$AE$63,MATCH($A39,'Marcellas PDA FY 2020'!$B$7:$B$63,0),MATCH(Q$2,'Marcellas PDA FY 2020'!$B$7:$AE$7,0))</f>
        <v>27374.567792160364</v>
      </c>
      <c r="R39" s="87">
        <f>INDEX('Marcellas PDA FY 2020'!$B$7:$AE$63,MATCH($A39,'Marcellas PDA FY 2020'!$B$7:$B$63,0),MATCH(R$2,'Marcellas PDA FY 2020'!$B$7:$AE$7,0))</f>
        <v>1184.367</v>
      </c>
      <c r="S39" s="87">
        <f>INDEX('Marcellas PDA FY 2020'!$B$7:$AE$63,MATCH($A39,'Marcellas PDA FY 2020'!$B$7:$B$63,0),MATCH(S$2,'Marcellas PDA FY 2020'!$B$7:$AE$7,0))</f>
        <v>1310.6988699999999</v>
      </c>
      <c r="T39" s="87">
        <f>INDEX('Marcellas PDA FY 2020'!$B$7:$AE$63,MATCH($A39,'Marcellas PDA FY 2020'!$B$7:$B$63,0),MATCH(T$2,'Marcellas PDA FY 2020'!$B$7:$AE$7,0))</f>
        <v>3670.1607199999999</v>
      </c>
      <c r="U39" s="87">
        <f>INDEX('Marcellas PDA FY 2020'!$B$7:$AE$63,MATCH($A39,'Marcellas PDA FY 2020'!$B$7:$B$63,0),MATCH(U$2,'Marcellas PDA FY 2020'!$B$7:$AE$7,0))</f>
        <v>4980.85959</v>
      </c>
      <c r="V39" s="87">
        <f>INDEX('Marcellas PDA FY 2020'!$B$7:$AE$63,MATCH($A39,'Marcellas PDA FY 2020'!$B$7:$B$63,0),MATCH(V$2,'Marcellas PDA FY 2020'!$B$7:$AE$7,0))</f>
        <v>13638.560948660008</v>
      </c>
      <c r="W39" s="87">
        <f>INDEX('Marcellas PDA FY 2020'!$B$7:$AE$63,MATCH($A39,'Marcellas PDA FY 2020'!$B$7:$B$63,0),MATCH(W$2,'Marcellas PDA FY 2020'!$B$7:$AE$7,0))</f>
        <v>19586.246070527486</v>
      </c>
      <c r="X39" s="87">
        <f>INDEX('Marcellas PDA FY 2020'!$B$7:$AE$63,MATCH($A39,'Marcellas PDA FY 2020'!$B$7:$B$63,0),MATCH(X$2,'Marcellas PDA FY 2020'!$B$7:$AE$7,0))</f>
        <v>33224.807019187494</v>
      </c>
      <c r="Y39" s="87">
        <f>INDEX('Marcellas PDA FY 2020'!$B$7:$AE$63,MATCH($A39,'Marcellas PDA FY 2020'!$B$7:$B$63,0),MATCH(Y$2,'Marcellas PDA FY 2020'!$B$7:$AE$7,0))</f>
        <v>125172.53828937659</v>
      </c>
      <c r="Z39" s="87">
        <f>INDEX('Marcellas PDA FY 2020'!$B$7:$AE$63,MATCH($A39,'Marcellas PDA FY 2020'!$B$7:$B$63,0),MATCH(Z$2,'Marcellas PDA FY 2020'!$B$7:$AE$7,0))</f>
        <v>137666.23054295679</v>
      </c>
      <c r="AA39" s="131">
        <f t="shared" si="0"/>
        <v>0.50422223025127144</v>
      </c>
      <c r="AB39" s="80">
        <f t="shared" si="1"/>
        <v>1.2999082146207121E-2</v>
      </c>
      <c r="AC39" s="80">
        <f t="shared" si="2"/>
        <v>0.17433987221981859</v>
      </c>
      <c r="AD39" s="80">
        <f t="shared" si="3"/>
        <v>0.18733895436602571</v>
      </c>
      <c r="AE39" s="80">
        <f t="shared" si="4"/>
        <v>3.1721502639181144E-2</v>
      </c>
      <c r="AF39" s="128">
        <f t="shared" si="7"/>
        <v>0</v>
      </c>
      <c r="AG39" s="110">
        <f t="shared" si="8"/>
        <v>0</v>
      </c>
      <c r="AH39" s="110">
        <f t="shared" si="9"/>
        <v>0</v>
      </c>
      <c r="AI39" s="110">
        <f t="shared" si="10"/>
        <v>0</v>
      </c>
      <c r="AJ39" s="110">
        <f t="shared" si="11"/>
        <v>0</v>
      </c>
      <c r="AK39" s="110">
        <f t="shared" si="12"/>
        <v>0</v>
      </c>
      <c r="AL39" s="110">
        <f t="shared" si="13"/>
        <v>0</v>
      </c>
      <c r="AM39" s="110">
        <f t="shared" si="5"/>
        <v>0</v>
      </c>
      <c r="AN39" s="190"/>
      <c r="AP39" s="112">
        <f t="shared" si="6"/>
        <v>3.1721502639181144E-2</v>
      </c>
      <c r="AQ39" s="382">
        <f>'PDA Schedules FY 2018'!AP39</f>
        <v>3.8155776669835814E-2</v>
      </c>
    </row>
    <row r="40" spans="1:43">
      <c r="A40" s="33">
        <f>'UCC Fund Calc FY2022'!C40</f>
        <v>210040</v>
      </c>
      <c r="B40" s="33" t="str">
        <f>'UCC Fund Calc FY2022'!D40</f>
        <v>Northwest Hospital Center</v>
      </c>
      <c r="C40" s="87">
        <f>INDEX('Marcellas PDA FY 2020'!$B$7:$AE$63,MATCH($A40,'Marcellas PDA FY 2020'!$B$7:$B$63,0),MATCH(C$2,'Marcellas PDA FY 2020'!$B$7:$AE$7,0))</f>
        <v>141331.83535999991</v>
      </c>
      <c r="D40" s="87">
        <f>INDEX('Marcellas PDA FY 2020'!$B$7:$AE$63,MATCH($A40,'Marcellas PDA FY 2020'!$B$7:$B$63,0),MATCH(D$2,'Marcellas PDA FY 2020'!$B$7:$AE$7,0))</f>
        <v>126747.27354000002</v>
      </c>
      <c r="E40" s="87">
        <f>INDEX('Marcellas PDA FY 2020'!$B$7:$AE$63,MATCH($A40,'Marcellas PDA FY 2020'!$B$7:$B$63,0),MATCH(E$2,'Marcellas PDA FY 2020'!$B$7:$AE$7,0))</f>
        <v>268079.10889999993</v>
      </c>
      <c r="F40" s="87">
        <f>INDEX('Marcellas PDA FY 2020'!$B$7:$AE$63,MATCH($A40,'Marcellas PDA FY 2020'!$B$7:$B$63,0),MATCH(F$2,'Marcellas PDA FY 2020'!$B$7:$AE$7,0))</f>
        <v>70595.927721888511</v>
      </c>
      <c r="G40" s="87">
        <f>INDEX('Marcellas PDA FY 2020'!$B$7:$AE$63,MATCH($A40,'Marcellas PDA FY 2020'!$B$7:$B$63,0),MATCH(G$2,'Marcellas PDA FY 2020'!$B$7:$AE$7,0))</f>
        <v>45574.03220392514</v>
      </c>
      <c r="H40" s="87">
        <f>INDEX('Marcellas PDA FY 2020'!$B$7:$AE$63,MATCH($A40,'Marcellas PDA FY 2020'!$B$7:$B$63,0),MATCH(H$2,'Marcellas PDA FY 2020'!$B$7:$AE$7,0))</f>
        <v>116169.95992581366</v>
      </c>
      <c r="I40" s="87">
        <f>INDEX('Marcellas PDA FY 2020'!$B$7:$AE$63,MATCH($A40,'Marcellas PDA FY 2020'!$B$7:$B$63,0),MATCH(I$2,'Marcellas PDA FY 2020'!$B$7:$AE$7,0))</f>
        <v>9378.1963046991877</v>
      </c>
      <c r="J40" s="87">
        <f>INDEX('Marcellas PDA FY 2020'!$B$7:$AE$63,MATCH($A40,'Marcellas PDA FY 2020'!$B$7:$B$63,0),MATCH(J$2,'Marcellas PDA FY 2020'!$B$7:$AE$7,0))</f>
        <v>2092.2502491582745</v>
      </c>
      <c r="K40" s="87">
        <f>INDEX('Marcellas PDA FY 2020'!$B$7:$AE$63,MATCH($A40,'Marcellas PDA FY 2020'!$B$7:$B$63,0),MATCH(K$2,'Marcellas PDA FY 2020'!$B$7:$AE$7,0))</f>
        <v>11470.446553857462</v>
      </c>
      <c r="L40" s="87">
        <f>INDEX('Marcellas PDA FY 2020'!$B$7:$AE$63,MATCH($A40,'Marcellas PDA FY 2020'!$B$7:$B$63,0),MATCH(L$2,'Marcellas PDA FY 2020'!$B$7:$AE$7,0))</f>
        <v>11380.819709496873</v>
      </c>
      <c r="M40" s="87">
        <f>INDEX('Marcellas PDA FY 2020'!$B$7:$AE$63,MATCH($A40,'Marcellas PDA FY 2020'!$B$7:$B$63,0),MATCH(M$2,'Marcellas PDA FY 2020'!$B$7:$AE$7,0))</f>
        <v>17720.636772169422</v>
      </c>
      <c r="N40" s="87">
        <f>INDEX('Marcellas PDA FY 2020'!$B$7:$AE$63,MATCH($A40,'Marcellas PDA FY 2020'!$B$7:$B$63,0),MATCH(N$2,'Marcellas PDA FY 2020'!$B$7:$AE$7,0))</f>
        <v>29101.456481666297</v>
      </c>
      <c r="O40" s="87">
        <f>INDEX('Marcellas PDA FY 2020'!$B$7:$AE$63,MATCH($A40,'Marcellas PDA FY 2020'!$B$7:$B$63,0),MATCH(O$2,'Marcellas PDA FY 2020'!$B$7:$AE$7,0))</f>
        <v>32444.459724345765</v>
      </c>
      <c r="P40" s="87">
        <f>INDEX('Marcellas PDA FY 2020'!$B$7:$AE$63,MATCH($A40,'Marcellas PDA FY 2020'!$B$7:$B$63,0),MATCH(P$2,'Marcellas PDA FY 2020'!$B$7:$AE$7,0))</f>
        <v>28067.811314551338</v>
      </c>
      <c r="Q40" s="87">
        <f>INDEX('Marcellas PDA FY 2020'!$B$7:$AE$63,MATCH($A40,'Marcellas PDA FY 2020'!$B$7:$B$63,0),MATCH(Q$2,'Marcellas PDA FY 2020'!$B$7:$AE$7,0))</f>
        <v>60512.271038897103</v>
      </c>
      <c r="R40" s="87">
        <f>INDEX('Marcellas PDA FY 2020'!$B$7:$AE$63,MATCH($A40,'Marcellas PDA FY 2020'!$B$7:$B$63,0),MATCH(R$2,'Marcellas PDA FY 2020'!$B$7:$AE$7,0))</f>
        <v>0</v>
      </c>
      <c r="S40" s="87">
        <f>INDEX('Marcellas PDA FY 2020'!$B$7:$AE$63,MATCH($A40,'Marcellas PDA FY 2020'!$B$7:$B$63,0),MATCH(S$2,'Marcellas PDA FY 2020'!$B$7:$AE$7,0))</f>
        <v>4728.948524075965</v>
      </c>
      <c r="T40" s="87">
        <f>INDEX('Marcellas PDA FY 2020'!$B$7:$AE$63,MATCH($A40,'Marcellas PDA FY 2020'!$B$7:$B$63,0),MATCH(T$2,'Marcellas PDA FY 2020'!$B$7:$AE$7,0))</f>
        <v>12753.027735924034</v>
      </c>
      <c r="U40" s="87">
        <f>INDEX('Marcellas PDA FY 2020'!$B$7:$AE$63,MATCH($A40,'Marcellas PDA FY 2020'!$B$7:$B$63,0),MATCH(U$2,'Marcellas PDA FY 2020'!$B$7:$AE$7,0))</f>
        <v>17481.976259999999</v>
      </c>
      <c r="V40" s="87">
        <f>INDEX('Marcellas PDA FY 2020'!$B$7:$AE$63,MATCH($A40,'Marcellas PDA FY 2020'!$B$7:$B$63,0),MATCH(V$2,'Marcellas PDA FY 2020'!$B$7:$AE$7,0))</f>
        <v>12803.483375493612</v>
      </c>
      <c r="W40" s="87">
        <f>INDEX('Marcellas PDA FY 2020'!$B$7:$AE$63,MATCH($A40,'Marcellas PDA FY 2020'!$B$7:$B$63,0),MATCH(W$2,'Marcellas PDA FY 2020'!$B$7:$AE$7,0))</f>
        <v>20539.515264271824</v>
      </c>
      <c r="X40" s="87">
        <f>INDEX('Marcellas PDA FY 2020'!$B$7:$AE$63,MATCH($A40,'Marcellas PDA FY 2020'!$B$7:$B$63,0),MATCH(X$2,'Marcellas PDA FY 2020'!$B$7:$AE$7,0))</f>
        <v>33342.998639765436</v>
      </c>
      <c r="Y40" s="87">
        <f>INDEX('Marcellas PDA FY 2020'!$B$7:$AE$63,MATCH($A40,'Marcellas PDA FY 2020'!$B$7:$B$63,0),MATCH(Y$2,'Marcellas PDA FY 2020'!$B$7:$AE$7,0))</f>
        <v>194507.91761863593</v>
      </c>
      <c r="Z40" s="87">
        <f>INDEX('Marcellas PDA FY 2020'!$B$7:$AE$63,MATCH($A40,'Marcellas PDA FY 2020'!$B$7:$B$63,0),MATCH(Z$2,'Marcellas PDA FY 2020'!$B$7:$AE$7,0))</f>
        <v>222069.16609930317</v>
      </c>
      <c r="AA40" s="131">
        <f t="shared" si="0"/>
        <v>0.43334208473942626</v>
      </c>
      <c r="AB40" s="80">
        <f t="shared" si="1"/>
        <v>4.2787543575938322E-2</v>
      </c>
      <c r="AC40" s="80">
        <f t="shared" si="2"/>
        <v>0.2257254259281713</v>
      </c>
      <c r="AD40" s="80">
        <f t="shared" si="3"/>
        <v>0.26851296950410963</v>
      </c>
      <c r="AE40" s="80">
        <f t="shared" si="4"/>
        <v>6.5212005261182829E-2</v>
      </c>
      <c r="AF40" s="128">
        <f t="shared" si="7"/>
        <v>0</v>
      </c>
      <c r="AG40" s="110">
        <f t="shared" si="8"/>
        <v>0</v>
      </c>
      <c r="AH40" s="110">
        <f t="shared" si="9"/>
        <v>0</v>
      </c>
      <c r="AI40" s="110">
        <f t="shared" si="10"/>
        <v>0</v>
      </c>
      <c r="AJ40" s="110">
        <f t="shared" si="11"/>
        <v>0</v>
      </c>
      <c r="AK40" s="110">
        <f t="shared" si="12"/>
        <v>0</v>
      </c>
      <c r="AL40" s="110">
        <f t="shared" si="13"/>
        <v>0</v>
      </c>
      <c r="AM40" s="110">
        <f t="shared" si="5"/>
        <v>0</v>
      </c>
      <c r="AN40" s="190"/>
      <c r="AP40" s="112">
        <f t="shared" si="6"/>
        <v>6.5212005261182829E-2</v>
      </c>
      <c r="AQ40" s="382">
        <f>'PDA Schedules FY 2018'!AP40</f>
        <v>4.3255759810276052E-2</v>
      </c>
    </row>
    <row r="41" spans="1:43">
      <c r="A41" s="33">
        <f>'UCC Fund Calc FY2022'!C41</f>
        <v>210043</v>
      </c>
      <c r="B41" s="33" t="str">
        <f>'UCC Fund Calc FY2022'!D41</f>
        <v>UM Baltimore Washington Medical Center</v>
      </c>
      <c r="C41" s="87">
        <f>INDEX('Marcellas PDA FY 2020'!$B$7:$AE$63,MATCH($A41,'Marcellas PDA FY 2020'!$B$7:$B$63,0),MATCH(C$2,'Marcellas PDA FY 2020'!$B$7:$AE$7,0))</f>
        <v>278706.95785000006</v>
      </c>
      <c r="D41" s="87">
        <f>INDEX('Marcellas PDA FY 2020'!$B$7:$AE$63,MATCH($A41,'Marcellas PDA FY 2020'!$B$7:$B$63,0),MATCH(D$2,'Marcellas PDA FY 2020'!$B$7:$AE$7,0))</f>
        <v>160077.17693000005</v>
      </c>
      <c r="E41" s="87">
        <f>INDEX('Marcellas PDA FY 2020'!$B$7:$AE$63,MATCH($A41,'Marcellas PDA FY 2020'!$B$7:$B$63,0),MATCH(E$2,'Marcellas PDA FY 2020'!$B$7:$AE$7,0))</f>
        <v>438784.13478000008</v>
      </c>
      <c r="F41" s="87">
        <f>INDEX('Marcellas PDA FY 2020'!$B$7:$AE$63,MATCH($A41,'Marcellas PDA FY 2020'!$B$7:$B$63,0),MATCH(F$2,'Marcellas PDA FY 2020'!$B$7:$AE$7,0))</f>
        <v>109869.55788775544</v>
      </c>
      <c r="G41" s="87">
        <f>INDEX('Marcellas PDA FY 2020'!$B$7:$AE$63,MATCH($A41,'Marcellas PDA FY 2020'!$B$7:$B$63,0),MATCH(G$2,'Marcellas PDA FY 2020'!$B$7:$AE$7,0))</f>
        <v>50523.451472680899</v>
      </c>
      <c r="H41" s="87">
        <f>INDEX('Marcellas PDA FY 2020'!$B$7:$AE$63,MATCH($A41,'Marcellas PDA FY 2020'!$B$7:$B$63,0),MATCH(H$2,'Marcellas PDA FY 2020'!$B$7:$AE$7,0))</f>
        <v>160393.00936043635</v>
      </c>
      <c r="I41" s="87">
        <f>INDEX('Marcellas PDA FY 2020'!$B$7:$AE$63,MATCH($A41,'Marcellas PDA FY 2020'!$B$7:$B$63,0),MATCH(I$2,'Marcellas PDA FY 2020'!$B$7:$AE$7,0))</f>
        <v>14410.004497175831</v>
      </c>
      <c r="J41" s="87">
        <f>INDEX('Marcellas PDA FY 2020'!$B$7:$AE$63,MATCH($A41,'Marcellas PDA FY 2020'!$B$7:$B$63,0),MATCH(J$2,'Marcellas PDA FY 2020'!$B$7:$AE$7,0))</f>
        <v>3194.4417152761071</v>
      </c>
      <c r="K41" s="87">
        <f>INDEX('Marcellas PDA FY 2020'!$B$7:$AE$63,MATCH($A41,'Marcellas PDA FY 2020'!$B$7:$B$63,0),MATCH(K$2,'Marcellas PDA FY 2020'!$B$7:$AE$7,0))</f>
        <v>17604.446212451938</v>
      </c>
      <c r="L41" s="87">
        <f>INDEX('Marcellas PDA FY 2020'!$B$7:$AE$63,MATCH($A41,'Marcellas PDA FY 2020'!$B$7:$B$63,0),MATCH(L$2,'Marcellas PDA FY 2020'!$B$7:$AE$7,0))</f>
        <v>14972.796781862105</v>
      </c>
      <c r="M41" s="87">
        <f>INDEX('Marcellas PDA FY 2020'!$B$7:$AE$63,MATCH($A41,'Marcellas PDA FY 2020'!$B$7:$B$63,0),MATCH(M$2,'Marcellas PDA FY 2020'!$B$7:$AE$7,0))</f>
        <v>16483.695075279495</v>
      </c>
      <c r="N41" s="87">
        <f>INDEX('Marcellas PDA FY 2020'!$B$7:$AE$63,MATCH($A41,'Marcellas PDA FY 2020'!$B$7:$B$63,0),MATCH(N$2,'Marcellas PDA FY 2020'!$B$7:$AE$7,0))</f>
        <v>31456.491857141598</v>
      </c>
      <c r="O41" s="87">
        <f>INDEX('Marcellas PDA FY 2020'!$B$7:$AE$63,MATCH($A41,'Marcellas PDA FY 2020'!$B$7:$B$63,0),MATCH(O$2,'Marcellas PDA FY 2020'!$B$7:$AE$7,0))</f>
        <v>71238.850575622346</v>
      </c>
      <c r="P41" s="87">
        <f>INDEX('Marcellas PDA FY 2020'!$B$7:$AE$63,MATCH($A41,'Marcellas PDA FY 2020'!$B$7:$B$63,0),MATCH(P$2,'Marcellas PDA FY 2020'!$B$7:$AE$7,0))</f>
        <v>35804.141834579335</v>
      </c>
      <c r="Q41" s="87">
        <f>INDEX('Marcellas PDA FY 2020'!$B$7:$AE$63,MATCH($A41,'Marcellas PDA FY 2020'!$B$7:$B$63,0),MATCH(Q$2,'Marcellas PDA FY 2020'!$B$7:$AE$7,0))</f>
        <v>107042.99241020168</v>
      </c>
      <c r="R41" s="87">
        <f>INDEX('Marcellas PDA FY 2020'!$B$7:$AE$63,MATCH($A41,'Marcellas PDA FY 2020'!$B$7:$B$63,0),MATCH(R$2,'Marcellas PDA FY 2020'!$B$7:$AE$7,0))</f>
        <v>2266.9639699999893</v>
      </c>
      <c r="S41" s="87">
        <f>INDEX('Marcellas PDA FY 2020'!$B$7:$AE$63,MATCH($A41,'Marcellas PDA FY 2020'!$B$7:$B$63,0),MATCH(S$2,'Marcellas PDA FY 2020'!$B$7:$AE$7,0))</f>
        <v>15937.304303220895</v>
      </c>
      <c r="T41" s="87">
        <f>INDEX('Marcellas PDA FY 2020'!$B$7:$AE$63,MATCH($A41,'Marcellas PDA FY 2020'!$B$7:$B$63,0),MATCH(T$2,'Marcellas PDA FY 2020'!$B$7:$AE$7,0))</f>
        <v>9153.6956967791084</v>
      </c>
      <c r="U41" s="87">
        <f>INDEX('Marcellas PDA FY 2020'!$B$7:$AE$63,MATCH($A41,'Marcellas PDA FY 2020'!$B$7:$B$63,0),MATCH(U$2,'Marcellas PDA FY 2020'!$B$7:$AE$7,0))</f>
        <v>25091.000000000004</v>
      </c>
      <c r="V41" s="87">
        <f>INDEX('Marcellas PDA FY 2020'!$B$7:$AE$63,MATCH($A41,'Marcellas PDA FY 2020'!$B$7:$B$63,0),MATCH(V$2,'Marcellas PDA FY 2020'!$B$7:$AE$7,0))</f>
        <v>52278.443804363444</v>
      </c>
      <c r="W41" s="87">
        <f>INDEX('Marcellas PDA FY 2020'!$B$7:$AE$63,MATCH($A41,'Marcellas PDA FY 2020'!$B$7:$B$63,0),MATCH(W$2,'Marcellas PDA FY 2020'!$B$7:$AE$7,0))</f>
        <v>44917.751135405109</v>
      </c>
      <c r="X41" s="87">
        <f>INDEX('Marcellas PDA FY 2020'!$B$7:$AE$63,MATCH($A41,'Marcellas PDA FY 2020'!$B$7:$B$63,0),MATCH(X$2,'Marcellas PDA FY 2020'!$B$7:$AE$7,0))</f>
        <v>97196.194939768553</v>
      </c>
      <c r="Y41" s="87">
        <f>INDEX('Marcellas PDA FY 2020'!$B$7:$AE$63,MATCH($A41,'Marcellas PDA FY 2020'!$B$7:$B$63,0),MATCH(Y$2,'Marcellas PDA FY 2020'!$B$7:$AE$7,0))</f>
        <v>355162.82929992548</v>
      </c>
      <c r="Z41" s="87">
        <f>INDEX('Marcellas PDA FY 2020'!$B$7:$AE$63,MATCH($A41,'Marcellas PDA FY 2020'!$B$7:$B$63,0),MATCH(Z$2,'Marcellas PDA FY 2020'!$B$7:$AE$7,0))</f>
        <v>400574.06884405989</v>
      </c>
      <c r="AA41" s="131">
        <f t="shared" si="0"/>
        <v>0.36553967349082722</v>
      </c>
      <c r="AB41" s="80">
        <f t="shared" si="1"/>
        <v>4.0120972517109235E-2</v>
      </c>
      <c r="AC41" s="80">
        <f t="shared" si="2"/>
        <v>0.24395365266310612</v>
      </c>
      <c r="AD41" s="80">
        <f t="shared" si="3"/>
        <v>0.28407462518021537</v>
      </c>
      <c r="AE41" s="80">
        <f t="shared" si="4"/>
        <v>5.7183015544945037E-2</v>
      </c>
      <c r="AF41" s="128">
        <f t="shared" si="7"/>
        <v>0</v>
      </c>
      <c r="AG41" s="110">
        <f t="shared" si="8"/>
        <v>0</v>
      </c>
      <c r="AH41" s="110">
        <f t="shared" si="9"/>
        <v>0</v>
      </c>
      <c r="AI41" s="110">
        <f t="shared" si="10"/>
        <v>0</v>
      </c>
      <c r="AJ41" s="110">
        <f t="shared" si="11"/>
        <v>0</v>
      </c>
      <c r="AK41" s="110">
        <f t="shared" si="12"/>
        <v>0</v>
      </c>
      <c r="AL41" s="110">
        <f t="shared" si="13"/>
        <v>0</v>
      </c>
      <c r="AM41" s="110">
        <f t="shared" ref="AM41:AM57" si="14">SUM(AG41:AL41)</f>
        <v>0</v>
      </c>
      <c r="AN41" s="190"/>
      <c r="AP41" s="112">
        <f t="shared" si="6"/>
        <v>5.7183015544945037E-2</v>
      </c>
      <c r="AQ41" s="382">
        <f>'PDA Schedules FY 2018'!AP41</f>
        <v>6.0461346983036957E-2</v>
      </c>
    </row>
    <row r="42" spans="1:43">
      <c r="A42" s="33">
        <f>'UCC Fund Calc FY2022'!C42</f>
        <v>210044</v>
      </c>
      <c r="B42" s="33" t="str">
        <f>'UCC Fund Calc FY2022'!D42</f>
        <v>Greater Baltimore Medical Center</v>
      </c>
      <c r="C42" s="87">
        <f>INDEX('Marcellas PDA FY 2020'!$B$7:$AE$63,MATCH($A42,'Marcellas PDA FY 2020'!$B$7:$B$63,0),MATCH(C$2,'Marcellas PDA FY 2020'!$B$7:$AE$7,0))</f>
        <v>237357.89935521723</v>
      </c>
      <c r="D42" s="87">
        <f>INDEX('Marcellas PDA FY 2020'!$B$7:$AE$63,MATCH($A42,'Marcellas PDA FY 2020'!$B$7:$B$63,0),MATCH(D$2,'Marcellas PDA FY 2020'!$B$7:$AE$7,0))</f>
        <v>235186.49969478266</v>
      </c>
      <c r="E42" s="87">
        <f>INDEX('Marcellas PDA FY 2020'!$B$7:$AE$63,MATCH($A42,'Marcellas PDA FY 2020'!$B$7:$B$63,0),MATCH(E$2,'Marcellas PDA FY 2020'!$B$7:$AE$7,0))</f>
        <v>472544.39904999989</v>
      </c>
      <c r="F42" s="87">
        <f>INDEX('Marcellas PDA FY 2020'!$B$7:$AE$63,MATCH($A42,'Marcellas PDA FY 2020'!$B$7:$B$63,0),MATCH(F$2,'Marcellas PDA FY 2020'!$B$7:$AE$7,0))</f>
        <v>83152.570208751189</v>
      </c>
      <c r="G42" s="87">
        <f>INDEX('Marcellas PDA FY 2020'!$B$7:$AE$63,MATCH($A42,'Marcellas PDA FY 2020'!$B$7:$B$63,0),MATCH(G$2,'Marcellas PDA FY 2020'!$B$7:$AE$7,0))</f>
        <v>78276.37856782673</v>
      </c>
      <c r="H42" s="87">
        <f>INDEX('Marcellas PDA FY 2020'!$B$7:$AE$63,MATCH($A42,'Marcellas PDA FY 2020'!$B$7:$B$63,0),MATCH(H$2,'Marcellas PDA FY 2020'!$B$7:$AE$7,0))</f>
        <v>161428.94877657792</v>
      </c>
      <c r="I42" s="87">
        <f>INDEX('Marcellas PDA FY 2020'!$B$7:$AE$63,MATCH($A42,'Marcellas PDA FY 2020'!$B$7:$B$63,0),MATCH(I$2,'Marcellas PDA FY 2020'!$B$7:$AE$7,0))</f>
        <v>3143.6789111013195</v>
      </c>
      <c r="J42" s="87">
        <f>INDEX('Marcellas PDA FY 2020'!$B$7:$AE$63,MATCH($A42,'Marcellas PDA FY 2020'!$B$7:$B$63,0),MATCH(J$2,'Marcellas PDA FY 2020'!$B$7:$AE$7,0))</f>
        <v>1295.8544626237192</v>
      </c>
      <c r="K42" s="87">
        <f>INDEX('Marcellas PDA FY 2020'!$B$7:$AE$63,MATCH($A42,'Marcellas PDA FY 2020'!$B$7:$B$63,0),MATCH(K$2,'Marcellas PDA FY 2020'!$B$7:$AE$7,0))</f>
        <v>4439.5333737250385</v>
      </c>
      <c r="L42" s="87">
        <f>INDEX('Marcellas PDA FY 2020'!$B$7:$AE$63,MATCH($A42,'Marcellas PDA FY 2020'!$B$7:$B$63,0),MATCH(L$2,'Marcellas PDA FY 2020'!$B$7:$AE$7,0))</f>
        <v>24436.936351977263</v>
      </c>
      <c r="M42" s="87">
        <f>INDEX('Marcellas PDA FY 2020'!$B$7:$AE$63,MATCH($A42,'Marcellas PDA FY 2020'!$B$7:$B$63,0),MATCH(M$2,'Marcellas PDA FY 2020'!$B$7:$AE$7,0))</f>
        <v>30973.926949042136</v>
      </c>
      <c r="N42" s="87">
        <f>INDEX('Marcellas PDA FY 2020'!$B$7:$AE$63,MATCH($A42,'Marcellas PDA FY 2020'!$B$7:$B$63,0),MATCH(N$2,'Marcellas PDA FY 2020'!$B$7:$AE$7,0))</f>
        <v>55410.863301019403</v>
      </c>
      <c r="O42" s="87">
        <f>INDEX('Marcellas PDA FY 2020'!$B$7:$AE$63,MATCH($A42,'Marcellas PDA FY 2020'!$B$7:$B$63,0),MATCH(O$2,'Marcellas PDA FY 2020'!$B$7:$AE$7,0))</f>
        <v>50451.313641976936</v>
      </c>
      <c r="P42" s="87">
        <f>INDEX('Marcellas PDA FY 2020'!$B$7:$AE$63,MATCH($A42,'Marcellas PDA FY 2020'!$B$7:$B$63,0),MATCH(P$2,'Marcellas PDA FY 2020'!$B$7:$AE$7,0))</f>
        <v>35553.712387077321</v>
      </c>
      <c r="Q42" s="87">
        <f>INDEX('Marcellas PDA FY 2020'!$B$7:$AE$63,MATCH($A42,'Marcellas PDA FY 2020'!$B$7:$B$63,0),MATCH(Q$2,'Marcellas PDA FY 2020'!$B$7:$AE$7,0))</f>
        <v>86005.02602905425</v>
      </c>
      <c r="R42" s="87">
        <f>INDEX('Marcellas PDA FY 2020'!$B$7:$AE$63,MATCH($A42,'Marcellas PDA FY 2020'!$B$7:$B$63,0),MATCH(R$2,'Marcellas PDA FY 2020'!$B$7:$AE$7,0))</f>
        <v>198.16855999999999</v>
      </c>
      <c r="S42" s="87">
        <f>INDEX('Marcellas PDA FY 2020'!$B$7:$AE$63,MATCH($A42,'Marcellas PDA FY 2020'!$B$7:$B$63,0),MATCH(S$2,'Marcellas PDA FY 2020'!$B$7:$AE$7,0))</f>
        <v>6400</v>
      </c>
      <c r="T42" s="87">
        <f>INDEX('Marcellas PDA FY 2020'!$B$7:$AE$63,MATCH($A42,'Marcellas PDA FY 2020'!$B$7:$B$63,0),MATCH(T$2,'Marcellas PDA FY 2020'!$B$7:$AE$7,0))</f>
        <v>7448</v>
      </c>
      <c r="U42" s="87">
        <f>INDEX('Marcellas PDA FY 2020'!$B$7:$AE$63,MATCH($A42,'Marcellas PDA FY 2020'!$B$7:$B$63,0),MATCH(U$2,'Marcellas PDA FY 2020'!$B$7:$AE$7,0))</f>
        <v>13848</v>
      </c>
      <c r="V42" s="87">
        <f>INDEX('Marcellas PDA FY 2020'!$B$7:$AE$63,MATCH($A42,'Marcellas PDA FY 2020'!$B$7:$B$63,0),MATCH(V$2,'Marcellas PDA FY 2020'!$B$7:$AE$7,0))</f>
        <v>69773.400241410534</v>
      </c>
      <c r="W42" s="87">
        <f>INDEX('Marcellas PDA FY 2020'!$B$7:$AE$63,MATCH($A42,'Marcellas PDA FY 2020'!$B$7:$B$63,0),MATCH(W$2,'Marcellas PDA FY 2020'!$B$7:$AE$7,0))</f>
        <v>81638.627328212766</v>
      </c>
      <c r="X42" s="87">
        <f>INDEX('Marcellas PDA FY 2020'!$B$7:$AE$63,MATCH($A42,'Marcellas PDA FY 2020'!$B$7:$B$63,0),MATCH(X$2,'Marcellas PDA FY 2020'!$B$7:$AE$7,0))</f>
        <v>151412.02756962331</v>
      </c>
      <c r="Y42" s="87">
        <f>INDEX('Marcellas PDA FY 2020'!$B$7:$AE$63,MATCH($A42,'Marcellas PDA FY 2020'!$B$7:$B$63,0),MATCH(Y$2,'Marcellas PDA FY 2020'!$B$7:$AE$7,0))</f>
        <v>377518.51169493899</v>
      </c>
      <c r="Z42" s="87">
        <f>INDEX('Marcellas PDA FY 2020'!$B$7:$AE$63,MATCH($A42,'Marcellas PDA FY 2020'!$B$7:$B$63,0),MATCH(Z$2,'Marcellas PDA FY 2020'!$B$7:$AE$7,0))</f>
        <v>410060.72586958646</v>
      </c>
      <c r="AA42" s="131">
        <f t="shared" si="0"/>
        <v>0.34161646842310184</v>
      </c>
      <c r="AB42" s="80">
        <f t="shared" si="1"/>
        <v>9.3949550193595504E-3</v>
      </c>
      <c r="AC42" s="80">
        <f t="shared" si="2"/>
        <v>0.18200411686596685</v>
      </c>
      <c r="AD42" s="80">
        <f t="shared" si="3"/>
        <v>0.19139907188532637</v>
      </c>
      <c r="AE42" s="80">
        <f t="shared" si="4"/>
        <v>2.9305182809996111E-2</v>
      </c>
      <c r="AF42" s="128">
        <f t="shared" si="7"/>
        <v>0</v>
      </c>
      <c r="AG42" s="110">
        <f t="shared" si="8"/>
        <v>0</v>
      </c>
      <c r="AH42" s="110">
        <f t="shared" si="9"/>
        <v>0</v>
      </c>
      <c r="AI42" s="110">
        <f t="shared" si="10"/>
        <v>0</v>
      </c>
      <c r="AJ42" s="110">
        <f t="shared" si="11"/>
        <v>0</v>
      </c>
      <c r="AK42" s="110">
        <f t="shared" si="12"/>
        <v>0</v>
      </c>
      <c r="AL42" s="110">
        <f t="shared" si="13"/>
        <v>0</v>
      </c>
      <c r="AM42" s="110">
        <f t="shared" si="14"/>
        <v>0</v>
      </c>
      <c r="AN42" s="190"/>
      <c r="AP42" s="112">
        <f t="shared" si="6"/>
        <v>2.9305182809996111E-2</v>
      </c>
      <c r="AQ42" s="382">
        <f>'PDA Schedules FY 2018'!AP42</f>
        <v>2.249905476023038E-2</v>
      </c>
    </row>
    <row r="43" spans="1:43">
      <c r="A43" s="33">
        <f>'UCC Fund Calc FY2022'!C43</f>
        <v>210045</v>
      </c>
      <c r="B43" s="33" t="str">
        <f>'UCC Fund Calc FY2022'!D43</f>
        <v>McCready Memorial Hospital</v>
      </c>
      <c r="C43" s="87">
        <f>INDEX('Marcellas PDA FY 2020'!$B$7:$AE$63,MATCH($A43,'Marcellas PDA FY 2020'!$B$7:$B$63,0),MATCH(C$2,'Marcellas PDA FY 2020'!$B$7:$AE$7,0))</f>
        <v>0</v>
      </c>
      <c r="D43" s="87">
        <f>INDEX('Marcellas PDA FY 2020'!$B$7:$AE$63,MATCH($A43,'Marcellas PDA FY 2020'!$B$7:$B$63,0),MATCH(D$2,'Marcellas PDA FY 2020'!$B$7:$AE$7,0))</f>
        <v>0</v>
      </c>
      <c r="E43" s="87">
        <f>INDEX('Marcellas PDA FY 2020'!$B$7:$AE$63,MATCH($A43,'Marcellas PDA FY 2020'!$B$7:$B$63,0),MATCH(E$2,'Marcellas PDA FY 2020'!$B$7:$AE$7,0))</f>
        <v>0</v>
      </c>
      <c r="F43" s="87">
        <f>INDEX('Marcellas PDA FY 2020'!$B$7:$AE$63,MATCH($A43,'Marcellas PDA FY 2020'!$B$7:$B$63,0),MATCH(F$2,'Marcellas PDA FY 2020'!$B$7:$AE$7,0))</f>
        <v>0</v>
      </c>
      <c r="G43" s="87">
        <f>INDEX('Marcellas PDA FY 2020'!$B$7:$AE$63,MATCH($A43,'Marcellas PDA FY 2020'!$B$7:$B$63,0),MATCH(G$2,'Marcellas PDA FY 2020'!$B$7:$AE$7,0))</f>
        <v>0</v>
      </c>
      <c r="H43" s="87">
        <f>INDEX('Marcellas PDA FY 2020'!$B$7:$AE$63,MATCH($A43,'Marcellas PDA FY 2020'!$B$7:$B$63,0),MATCH(H$2,'Marcellas PDA FY 2020'!$B$7:$AE$7,0))</f>
        <v>0</v>
      </c>
      <c r="I43" s="87">
        <f>INDEX('Marcellas PDA FY 2020'!$B$7:$AE$63,MATCH($A43,'Marcellas PDA FY 2020'!$B$7:$B$63,0),MATCH(I$2,'Marcellas PDA FY 2020'!$B$7:$AE$7,0))</f>
        <v>0</v>
      </c>
      <c r="J43" s="87">
        <f>INDEX('Marcellas PDA FY 2020'!$B$7:$AE$63,MATCH($A43,'Marcellas PDA FY 2020'!$B$7:$B$63,0),MATCH(J$2,'Marcellas PDA FY 2020'!$B$7:$AE$7,0))</f>
        <v>0</v>
      </c>
      <c r="K43" s="87">
        <f>INDEX('Marcellas PDA FY 2020'!$B$7:$AE$63,MATCH($A43,'Marcellas PDA FY 2020'!$B$7:$B$63,0),MATCH(K$2,'Marcellas PDA FY 2020'!$B$7:$AE$7,0))</f>
        <v>0</v>
      </c>
      <c r="L43" s="87">
        <f>INDEX('Marcellas PDA FY 2020'!$B$7:$AE$63,MATCH($A43,'Marcellas PDA FY 2020'!$B$7:$B$63,0),MATCH(L$2,'Marcellas PDA FY 2020'!$B$7:$AE$7,0))</f>
        <v>0</v>
      </c>
      <c r="M43" s="87">
        <f>INDEX('Marcellas PDA FY 2020'!$B$7:$AE$63,MATCH($A43,'Marcellas PDA FY 2020'!$B$7:$B$63,0),MATCH(M$2,'Marcellas PDA FY 2020'!$B$7:$AE$7,0))</f>
        <v>0</v>
      </c>
      <c r="N43" s="87">
        <f>INDEX('Marcellas PDA FY 2020'!$B$7:$AE$63,MATCH($A43,'Marcellas PDA FY 2020'!$B$7:$B$63,0),MATCH(N$2,'Marcellas PDA FY 2020'!$B$7:$AE$7,0))</f>
        <v>0</v>
      </c>
      <c r="O43" s="87">
        <f>INDEX('Marcellas PDA FY 2020'!$B$7:$AE$63,MATCH($A43,'Marcellas PDA FY 2020'!$B$7:$B$63,0),MATCH(O$2,'Marcellas PDA FY 2020'!$B$7:$AE$7,0))</f>
        <v>0</v>
      </c>
      <c r="P43" s="87">
        <f>INDEX('Marcellas PDA FY 2020'!$B$7:$AE$63,MATCH($A43,'Marcellas PDA FY 2020'!$B$7:$B$63,0),MATCH(P$2,'Marcellas PDA FY 2020'!$B$7:$AE$7,0))</f>
        <v>0</v>
      </c>
      <c r="Q43" s="87">
        <f>INDEX('Marcellas PDA FY 2020'!$B$7:$AE$63,MATCH($A43,'Marcellas PDA FY 2020'!$B$7:$B$63,0),MATCH(Q$2,'Marcellas PDA FY 2020'!$B$7:$AE$7,0))</f>
        <v>0</v>
      </c>
      <c r="R43" s="87">
        <f>INDEX('Marcellas PDA FY 2020'!$B$7:$AE$63,MATCH($A43,'Marcellas PDA FY 2020'!$B$7:$B$63,0),MATCH(R$2,'Marcellas PDA FY 2020'!$B$7:$AE$7,0))</f>
        <v>0</v>
      </c>
      <c r="S43" s="87">
        <f>INDEX('Marcellas PDA FY 2020'!$B$7:$AE$63,MATCH($A43,'Marcellas PDA FY 2020'!$B$7:$B$63,0),MATCH(S$2,'Marcellas PDA FY 2020'!$B$7:$AE$7,0))</f>
        <v>0</v>
      </c>
      <c r="T43" s="87">
        <f>INDEX('Marcellas PDA FY 2020'!$B$7:$AE$63,MATCH($A43,'Marcellas PDA FY 2020'!$B$7:$B$63,0),MATCH(T$2,'Marcellas PDA FY 2020'!$B$7:$AE$7,0))</f>
        <v>0</v>
      </c>
      <c r="U43" s="87">
        <f>INDEX('Marcellas PDA FY 2020'!$B$7:$AE$63,MATCH($A43,'Marcellas PDA FY 2020'!$B$7:$B$63,0),MATCH(U$2,'Marcellas PDA FY 2020'!$B$7:$AE$7,0))</f>
        <v>0</v>
      </c>
      <c r="V43" s="87">
        <f>INDEX('Marcellas PDA FY 2020'!$B$7:$AE$63,MATCH($A43,'Marcellas PDA FY 2020'!$B$7:$B$63,0),MATCH(V$2,'Marcellas PDA FY 2020'!$B$7:$AE$7,0))</f>
        <v>0</v>
      </c>
      <c r="W43" s="87">
        <f>INDEX('Marcellas PDA FY 2020'!$B$7:$AE$63,MATCH($A43,'Marcellas PDA FY 2020'!$B$7:$B$63,0),MATCH(W$2,'Marcellas PDA FY 2020'!$B$7:$AE$7,0))</f>
        <v>0</v>
      </c>
      <c r="X43" s="87">
        <f>INDEX('Marcellas PDA FY 2020'!$B$7:$AE$63,MATCH($A43,'Marcellas PDA FY 2020'!$B$7:$B$63,0),MATCH(X$2,'Marcellas PDA FY 2020'!$B$7:$AE$7,0))</f>
        <v>0</v>
      </c>
      <c r="Y43" s="87">
        <f>INDEX('Marcellas PDA FY 2020'!$B$7:$AE$63,MATCH($A43,'Marcellas PDA FY 2020'!$B$7:$B$63,0),MATCH(Y$2,'Marcellas PDA FY 2020'!$B$7:$AE$7,0))</f>
        <v>0</v>
      </c>
      <c r="Z43" s="87">
        <f>INDEX('Marcellas PDA FY 2020'!$B$7:$AE$63,MATCH($A43,'Marcellas PDA FY 2020'!$B$7:$B$63,0),MATCH(Z$2,'Marcellas PDA FY 2020'!$B$7:$AE$7,0))</f>
        <v>0</v>
      </c>
      <c r="AA43" s="131" t="e">
        <f t="shared" si="0"/>
        <v>#DIV/0!</v>
      </c>
      <c r="AB43" s="80" t="e">
        <f t="shared" si="1"/>
        <v>#DIV/0!</v>
      </c>
      <c r="AC43" s="80" t="e">
        <f t="shared" si="2"/>
        <v>#DIV/0!</v>
      </c>
      <c r="AD43" s="80" t="e">
        <f t="shared" si="3"/>
        <v>#DIV/0!</v>
      </c>
      <c r="AE43" s="80" t="e">
        <f t="shared" si="4"/>
        <v>#DIV/0!</v>
      </c>
      <c r="AF43" s="128">
        <f t="shared" si="7"/>
        <v>0</v>
      </c>
      <c r="AG43" s="110">
        <f t="shared" si="8"/>
        <v>0</v>
      </c>
      <c r="AH43" s="110">
        <f t="shared" si="9"/>
        <v>0</v>
      </c>
      <c r="AI43" s="110">
        <f t="shared" si="10"/>
        <v>0</v>
      </c>
      <c r="AJ43" s="110">
        <f t="shared" si="11"/>
        <v>0</v>
      </c>
      <c r="AK43" s="110">
        <f t="shared" si="12"/>
        <v>0</v>
      </c>
      <c r="AL43" s="110">
        <f t="shared" si="13"/>
        <v>0</v>
      </c>
      <c r="AM43" s="110">
        <f t="shared" si="14"/>
        <v>0</v>
      </c>
      <c r="AN43" s="190"/>
      <c r="AP43" s="112" t="e">
        <f t="shared" si="6"/>
        <v>#DIV/0!</v>
      </c>
      <c r="AQ43" s="382">
        <f>'PDA Schedules FY 2018'!AP43</f>
        <v>5.7775859756346484E-2</v>
      </c>
    </row>
    <row r="44" spans="1:43">
      <c r="A44" s="33">
        <f>'UCC Fund Calc FY2022'!C44</f>
        <v>210048</v>
      </c>
      <c r="B44" s="33" t="str">
        <f>'UCC Fund Calc FY2022'!D44</f>
        <v>Howard County General Hospital</v>
      </c>
      <c r="C44" s="87">
        <f>INDEX('Marcellas PDA FY 2020'!$B$7:$AE$63,MATCH($A44,'Marcellas PDA FY 2020'!$B$7:$B$63,0),MATCH(C$2,'Marcellas PDA FY 2020'!$B$7:$AE$7,0))</f>
        <v>191637.253</v>
      </c>
      <c r="D44" s="87">
        <f>INDEX('Marcellas PDA FY 2020'!$B$7:$AE$63,MATCH($A44,'Marcellas PDA FY 2020'!$B$7:$B$63,0),MATCH(D$2,'Marcellas PDA FY 2020'!$B$7:$AE$7,0))</f>
        <v>109091.57500000001</v>
      </c>
      <c r="E44" s="87">
        <f>INDEX('Marcellas PDA FY 2020'!$B$7:$AE$63,MATCH($A44,'Marcellas PDA FY 2020'!$B$7:$B$63,0),MATCH(E$2,'Marcellas PDA FY 2020'!$B$7:$AE$7,0))</f>
        <v>300728.82799999998</v>
      </c>
      <c r="F44" s="87">
        <f>INDEX('Marcellas PDA FY 2020'!$B$7:$AE$63,MATCH($A44,'Marcellas PDA FY 2020'!$B$7:$B$63,0),MATCH(F$2,'Marcellas PDA FY 2020'!$B$7:$AE$7,0))</f>
        <v>72785.111999999994</v>
      </c>
      <c r="G44" s="87">
        <f>INDEX('Marcellas PDA FY 2020'!$B$7:$AE$63,MATCH($A44,'Marcellas PDA FY 2020'!$B$7:$B$63,0),MATCH(G$2,'Marcellas PDA FY 2020'!$B$7:$AE$7,0))</f>
        <v>23452.489000000001</v>
      </c>
      <c r="H44" s="87">
        <f>INDEX('Marcellas PDA FY 2020'!$B$7:$AE$63,MATCH($A44,'Marcellas PDA FY 2020'!$B$7:$B$63,0),MATCH(H$2,'Marcellas PDA FY 2020'!$B$7:$AE$7,0))</f>
        <v>96237.600999999995</v>
      </c>
      <c r="I44" s="87">
        <f>INDEX('Marcellas PDA FY 2020'!$B$7:$AE$63,MATCH($A44,'Marcellas PDA FY 2020'!$B$7:$B$63,0),MATCH(I$2,'Marcellas PDA FY 2020'!$B$7:$AE$7,0))</f>
        <v>11573.61</v>
      </c>
      <c r="J44" s="87">
        <f>INDEX('Marcellas PDA FY 2020'!$B$7:$AE$63,MATCH($A44,'Marcellas PDA FY 2020'!$B$7:$B$63,0),MATCH(J$2,'Marcellas PDA FY 2020'!$B$7:$AE$7,0))</f>
        <v>3908.7779999999998</v>
      </c>
      <c r="K44" s="87">
        <f>INDEX('Marcellas PDA FY 2020'!$B$7:$AE$63,MATCH($A44,'Marcellas PDA FY 2020'!$B$7:$B$63,0),MATCH(K$2,'Marcellas PDA FY 2020'!$B$7:$AE$7,0))</f>
        <v>15482.388000000001</v>
      </c>
      <c r="L44" s="87">
        <f>INDEX('Marcellas PDA FY 2020'!$B$7:$AE$63,MATCH($A44,'Marcellas PDA FY 2020'!$B$7:$B$63,0),MATCH(L$2,'Marcellas PDA FY 2020'!$B$7:$AE$7,0))</f>
        <v>20571.316999999999</v>
      </c>
      <c r="M44" s="87">
        <f>INDEX('Marcellas PDA FY 2020'!$B$7:$AE$63,MATCH($A44,'Marcellas PDA FY 2020'!$B$7:$B$63,0),MATCH(M$2,'Marcellas PDA FY 2020'!$B$7:$AE$7,0))</f>
        <v>15134.93</v>
      </c>
      <c r="N44" s="87">
        <f>INDEX('Marcellas PDA FY 2020'!$B$7:$AE$63,MATCH($A44,'Marcellas PDA FY 2020'!$B$7:$B$63,0),MATCH(N$2,'Marcellas PDA FY 2020'!$B$7:$AE$7,0))</f>
        <v>35706.247000000003</v>
      </c>
      <c r="O44" s="87">
        <f>INDEX('Marcellas PDA FY 2020'!$B$7:$AE$63,MATCH($A44,'Marcellas PDA FY 2020'!$B$7:$B$63,0),MATCH(O$2,'Marcellas PDA FY 2020'!$B$7:$AE$7,0))</f>
        <v>21339.914000000001</v>
      </c>
      <c r="P44" s="87">
        <f>INDEX('Marcellas PDA FY 2020'!$B$7:$AE$63,MATCH($A44,'Marcellas PDA FY 2020'!$B$7:$B$63,0),MATCH(P$2,'Marcellas PDA FY 2020'!$B$7:$AE$7,0))</f>
        <v>14402.578</v>
      </c>
      <c r="Q44" s="87">
        <f>INDEX('Marcellas PDA FY 2020'!$B$7:$AE$63,MATCH($A44,'Marcellas PDA FY 2020'!$B$7:$B$63,0),MATCH(Q$2,'Marcellas PDA FY 2020'!$B$7:$AE$7,0))</f>
        <v>35742.491999999998</v>
      </c>
      <c r="R44" s="87">
        <f>INDEX('Marcellas PDA FY 2020'!$B$7:$AE$63,MATCH($A44,'Marcellas PDA FY 2020'!$B$7:$B$63,0),MATCH(R$2,'Marcellas PDA FY 2020'!$B$7:$AE$7,0))</f>
        <v>1920.827</v>
      </c>
      <c r="S44" s="87">
        <f>INDEX('Marcellas PDA FY 2020'!$B$7:$AE$63,MATCH($A44,'Marcellas PDA FY 2020'!$B$7:$B$63,0),MATCH(S$2,'Marcellas PDA FY 2020'!$B$7:$AE$7,0))</f>
        <v>8278</v>
      </c>
      <c r="T44" s="87">
        <f>INDEX('Marcellas PDA FY 2020'!$B$7:$AE$63,MATCH($A44,'Marcellas PDA FY 2020'!$B$7:$B$63,0),MATCH(T$2,'Marcellas PDA FY 2020'!$B$7:$AE$7,0))</f>
        <v>7479</v>
      </c>
      <c r="U44" s="87">
        <f>INDEX('Marcellas PDA FY 2020'!$B$7:$AE$63,MATCH($A44,'Marcellas PDA FY 2020'!$B$7:$B$63,0),MATCH(U$2,'Marcellas PDA FY 2020'!$B$7:$AE$7,0))</f>
        <v>15757</v>
      </c>
      <c r="V44" s="87">
        <f>INDEX('Marcellas PDA FY 2020'!$B$7:$AE$63,MATCH($A44,'Marcellas PDA FY 2020'!$B$7:$B$63,0),MATCH(V$2,'Marcellas PDA FY 2020'!$B$7:$AE$7,0))</f>
        <v>57089.3</v>
      </c>
      <c r="W44" s="87">
        <f>INDEX('Marcellas PDA FY 2020'!$B$7:$AE$63,MATCH($A44,'Marcellas PDA FY 2020'!$B$7:$B$63,0),MATCH(W$2,'Marcellas PDA FY 2020'!$B$7:$AE$7,0))</f>
        <v>44713.799999999996</v>
      </c>
      <c r="X44" s="87">
        <f>INDEX('Marcellas PDA FY 2020'!$B$7:$AE$63,MATCH($A44,'Marcellas PDA FY 2020'!$B$7:$B$63,0),MATCH(X$2,'Marcellas PDA FY 2020'!$B$7:$AE$7,0))</f>
        <v>101803.1</v>
      </c>
      <c r="Y44" s="87">
        <f>INDEX('Marcellas PDA FY 2020'!$B$7:$AE$63,MATCH($A44,'Marcellas PDA FY 2020'!$B$7:$B$63,0),MATCH(Y$2,'Marcellas PDA FY 2020'!$B$7:$AE$7,0))</f>
        <v>251425.30891948615</v>
      </c>
      <c r="Z44" s="87">
        <f>INDEX('Marcellas PDA FY 2020'!$B$7:$AE$63,MATCH($A44,'Marcellas PDA FY 2020'!$B$7:$B$63,0),MATCH(Z$2,'Marcellas PDA FY 2020'!$B$7:$AE$7,0))</f>
        <v>279291.56939784193</v>
      </c>
      <c r="AA44" s="131">
        <f t="shared" si="0"/>
        <v>0.32001455144832341</v>
      </c>
      <c r="AB44" s="80">
        <f t="shared" si="1"/>
        <v>5.14828861036229E-2</v>
      </c>
      <c r="AC44" s="80">
        <f t="shared" si="2"/>
        <v>0.11885289560600423</v>
      </c>
      <c r="AD44" s="80">
        <f t="shared" si="3"/>
        <v>0.17033578170962713</v>
      </c>
      <c r="AE44" s="80">
        <f t="shared" si="4"/>
        <v>5.2396040994114476E-2</v>
      </c>
      <c r="AF44" s="128">
        <f t="shared" si="7"/>
        <v>0</v>
      </c>
      <c r="AG44" s="110">
        <f t="shared" si="8"/>
        <v>0</v>
      </c>
      <c r="AH44" s="110">
        <f t="shared" si="9"/>
        <v>0</v>
      </c>
      <c r="AI44" s="110">
        <f t="shared" si="10"/>
        <v>0</v>
      </c>
      <c r="AJ44" s="110">
        <f t="shared" si="11"/>
        <v>0</v>
      </c>
      <c r="AK44" s="110">
        <f t="shared" si="12"/>
        <v>0</v>
      </c>
      <c r="AL44" s="110">
        <f t="shared" si="13"/>
        <v>0</v>
      </c>
      <c r="AM44" s="110">
        <f t="shared" si="14"/>
        <v>0</v>
      </c>
      <c r="AN44" s="190"/>
      <c r="AP44" s="112">
        <f t="shared" si="6"/>
        <v>5.2396040994114476E-2</v>
      </c>
      <c r="AQ44" s="382">
        <f>'PDA Schedules FY 2018'!AP44</f>
        <v>3.6312513864792541E-2</v>
      </c>
    </row>
    <row r="45" spans="1:43">
      <c r="A45" s="33">
        <f>'UCC Fund Calc FY2022'!C45</f>
        <v>210049</v>
      </c>
      <c r="B45" s="33" t="str">
        <f>'UCC Fund Calc FY2022'!D45</f>
        <v>UM Upper Chesapeake Medical Center</v>
      </c>
      <c r="C45" s="87">
        <f>INDEX('Marcellas PDA FY 2020'!$B$7:$AE$63,MATCH($A45,'Marcellas PDA FY 2020'!$B$7:$B$63,0),MATCH(C$2,'Marcellas PDA FY 2020'!$B$7:$AE$7,0))</f>
        <v>160756.6966</v>
      </c>
      <c r="D45" s="87">
        <f>INDEX('Marcellas PDA FY 2020'!$B$7:$AE$63,MATCH($A45,'Marcellas PDA FY 2020'!$B$7:$B$63,0),MATCH(D$2,'Marcellas PDA FY 2020'!$B$7:$AE$7,0))</f>
        <v>151483.82386</v>
      </c>
      <c r="E45" s="87">
        <f>INDEX('Marcellas PDA FY 2020'!$B$7:$AE$63,MATCH($A45,'Marcellas PDA FY 2020'!$B$7:$B$63,0),MATCH(E$2,'Marcellas PDA FY 2020'!$B$7:$AE$7,0))</f>
        <v>312240.52046000003</v>
      </c>
      <c r="F45" s="87">
        <f>INDEX('Marcellas PDA FY 2020'!$B$7:$AE$63,MATCH($A45,'Marcellas PDA FY 2020'!$B$7:$B$63,0),MATCH(F$2,'Marcellas PDA FY 2020'!$B$7:$AE$7,0))</f>
        <v>81476.464175704081</v>
      </c>
      <c r="G45" s="87">
        <f>INDEX('Marcellas PDA FY 2020'!$B$7:$AE$63,MATCH($A45,'Marcellas PDA FY 2020'!$B$7:$B$63,0),MATCH(G$2,'Marcellas PDA FY 2020'!$B$7:$AE$7,0))</f>
        <v>54940.123084681429</v>
      </c>
      <c r="H45" s="87">
        <f>INDEX('Marcellas PDA FY 2020'!$B$7:$AE$63,MATCH($A45,'Marcellas PDA FY 2020'!$B$7:$B$63,0),MATCH(H$2,'Marcellas PDA FY 2020'!$B$7:$AE$7,0))</f>
        <v>136416.58726038551</v>
      </c>
      <c r="I45" s="87">
        <f>INDEX('Marcellas PDA FY 2020'!$B$7:$AE$63,MATCH($A45,'Marcellas PDA FY 2020'!$B$7:$B$63,0),MATCH(I$2,'Marcellas PDA FY 2020'!$B$7:$AE$7,0))</f>
        <v>3746.9900967138706</v>
      </c>
      <c r="J45" s="87">
        <f>INDEX('Marcellas PDA FY 2020'!$B$7:$AE$63,MATCH($A45,'Marcellas PDA FY 2020'!$B$7:$B$63,0),MATCH(J$2,'Marcellas PDA FY 2020'!$B$7:$AE$7,0))</f>
        <v>2299.4405068099413</v>
      </c>
      <c r="K45" s="87">
        <f>INDEX('Marcellas PDA FY 2020'!$B$7:$AE$63,MATCH($A45,'Marcellas PDA FY 2020'!$B$7:$B$63,0),MATCH(K$2,'Marcellas PDA FY 2020'!$B$7:$AE$7,0))</f>
        <v>6046.4306035238114</v>
      </c>
      <c r="L45" s="87">
        <f>INDEX('Marcellas PDA FY 2020'!$B$7:$AE$63,MATCH($A45,'Marcellas PDA FY 2020'!$B$7:$B$63,0),MATCH(L$2,'Marcellas PDA FY 2020'!$B$7:$AE$7,0))</f>
        <v>10764.884619575003</v>
      </c>
      <c r="M45" s="87">
        <f>INDEX('Marcellas PDA FY 2020'!$B$7:$AE$63,MATCH($A45,'Marcellas PDA FY 2020'!$B$7:$B$63,0),MATCH(M$2,'Marcellas PDA FY 2020'!$B$7:$AE$7,0))</f>
        <v>17290.098700979863</v>
      </c>
      <c r="N45" s="87">
        <f>INDEX('Marcellas PDA FY 2020'!$B$7:$AE$63,MATCH($A45,'Marcellas PDA FY 2020'!$B$7:$B$63,0),MATCH(N$2,'Marcellas PDA FY 2020'!$B$7:$AE$7,0))</f>
        <v>28054.983320554864</v>
      </c>
      <c r="O45" s="87">
        <f>INDEX('Marcellas PDA FY 2020'!$B$7:$AE$63,MATCH($A45,'Marcellas PDA FY 2020'!$B$7:$B$63,0),MATCH(O$2,'Marcellas PDA FY 2020'!$B$7:$AE$7,0))</f>
        <v>24378.120465814576</v>
      </c>
      <c r="P45" s="87">
        <f>INDEX('Marcellas PDA FY 2020'!$B$7:$AE$63,MATCH($A45,'Marcellas PDA FY 2020'!$B$7:$B$63,0),MATCH(P$2,'Marcellas PDA FY 2020'!$B$7:$AE$7,0))</f>
        <v>21688.280141554445</v>
      </c>
      <c r="Q45" s="87">
        <f>INDEX('Marcellas PDA FY 2020'!$B$7:$AE$63,MATCH($A45,'Marcellas PDA FY 2020'!$B$7:$B$63,0),MATCH(Q$2,'Marcellas PDA FY 2020'!$B$7:$AE$7,0))</f>
        <v>46066.400607369025</v>
      </c>
      <c r="R45" s="87">
        <f>INDEX('Marcellas PDA FY 2020'!$B$7:$AE$63,MATCH($A45,'Marcellas PDA FY 2020'!$B$7:$B$63,0),MATCH(R$2,'Marcellas PDA FY 2020'!$B$7:$AE$7,0))</f>
        <v>1471.0947000000017</v>
      </c>
      <c r="S45" s="87">
        <f>INDEX('Marcellas PDA FY 2020'!$B$7:$AE$63,MATCH($A45,'Marcellas PDA FY 2020'!$B$7:$B$63,0),MATCH(S$2,'Marcellas PDA FY 2020'!$B$7:$AE$7,0))</f>
        <v>9677.7470945144505</v>
      </c>
      <c r="T45" s="87">
        <f>INDEX('Marcellas PDA FY 2020'!$B$7:$AE$63,MATCH($A45,'Marcellas PDA FY 2020'!$B$7:$B$63,0),MATCH(T$2,'Marcellas PDA FY 2020'!$B$7:$AE$7,0))</f>
        <v>9119.5089674855517</v>
      </c>
      <c r="U45" s="87">
        <f>INDEX('Marcellas PDA FY 2020'!$B$7:$AE$63,MATCH($A45,'Marcellas PDA FY 2020'!$B$7:$B$63,0),MATCH(U$2,'Marcellas PDA FY 2020'!$B$7:$AE$7,0))</f>
        <v>18797.256062</v>
      </c>
      <c r="V45" s="87">
        <f>INDEX('Marcellas PDA FY 2020'!$B$7:$AE$63,MATCH($A45,'Marcellas PDA FY 2020'!$B$7:$B$63,0),MATCH(V$2,'Marcellas PDA FY 2020'!$B$7:$AE$7,0))</f>
        <v>30712.490147678014</v>
      </c>
      <c r="W45" s="87">
        <f>INDEX('Marcellas PDA FY 2020'!$B$7:$AE$63,MATCH($A45,'Marcellas PDA FY 2020'!$B$7:$B$63,0),MATCH(W$2,'Marcellas PDA FY 2020'!$B$7:$AE$7,0))</f>
        <v>46146.372458488768</v>
      </c>
      <c r="X45" s="87">
        <f>INDEX('Marcellas PDA FY 2020'!$B$7:$AE$63,MATCH($A45,'Marcellas PDA FY 2020'!$B$7:$B$63,0),MATCH(X$2,'Marcellas PDA FY 2020'!$B$7:$AE$7,0))</f>
        <v>76858.862606166775</v>
      </c>
      <c r="Y45" s="87">
        <f>INDEX('Marcellas PDA FY 2020'!$B$7:$AE$63,MATCH($A45,'Marcellas PDA FY 2020'!$B$7:$B$63,0),MATCH(Y$2,'Marcellas PDA FY 2020'!$B$7:$AE$7,0))</f>
        <v>256959.5968888902</v>
      </c>
      <c r="Z45" s="87">
        <f>INDEX('Marcellas PDA FY 2020'!$B$7:$AE$63,MATCH($A45,'Marcellas PDA FY 2020'!$B$7:$B$63,0),MATCH(Z$2,'Marcellas PDA FY 2020'!$B$7:$AE$7,0))</f>
        <v>289917.76762166555</v>
      </c>
      <c r="AA45" s="131">
        <f t="shared" si="0"/>
        <v>0.43689584894174982</v>
      </c>
      <c r="AB45" s="80">
        <f t="shared" si="1"/>
        <v>1.9364657074668171E-2</v>
      </c>
      <c r="AC45" s="80">
        <f t="shared" si="2"/>
        <v>0.14753498533599332</v>
      </c>
      <c r="AD45" s="80">
        <f t="shared" si="3"/>
        <v>0.16689964241066149</v>
      </c>
      <c r="AE45" s="80">
        <f t="shared" si="4"/>
        <v>6.0201206538816436E-2</v>
      </c>
      <c r="AF45" s="128">
        <f t="shared" si="7"/>
        <v>0</v>
      </c>
      <c r="AG45" s="110">
        <f t="shared" si="8"/>
        <v>0</v>
      </c>
      <c r="AH45" s="110">
        <f t="shared" si="9"/>
        <v>0</v>
      </c>
      <c r="AI45" s="110">
        <f t="shared" si="10"/>
        <v>0</v>
      </c>
      <c r="AJ45" s="110">
        <f t="shared" si="11"/>
        <v>0</v>
      </c>
      <c r="AK45" s="110">
        <f t="shared" si="12"/>
        <v>0</v>
      </c>
      <c r="AL45" s="110">
        <f t="shared" si="13"/>
        <v>0</v>
      </c>
      <c r="AM45" s="110">
        <f t="shared" si="14"/>
        <v>0</v>
      </c>
      <c r="AN45" s="190"/>
      <c r="AP45" s="112">
        <f t="shared" si="6"/>
        <v>6.0201206538816436E-2</v>
      </c>
      <c r="AQ45" s="382">
        <f>'PDA Schedules FY 2018'!AP45</f>
        <v>2.9233814349214807E-2</v>
      </c>
    </row>
    <row r="46" spans="1:43">
      <c r="A46" s="33">
        <f>'UCC Fund Calc FY2022'!C46</f>
        <v>210051</v>
      </c>
      <c r="B46" s="33" t="str">
        <f>'UCC Fund Calc FY2022'!D46</f>
        <v>Doctors' Community Hospital</v>
      </c>
      <c r="C46" s="87">
        <f>INDEX('Marcellas PDA FY 2020'!$B$7:$AE$63,MATCH($A46,'Marcellas PDA FY 2020'!$B$7:$B$63,0),MATCH(C$2,'Marcellas PDA FY 2020'!$B$7:$AE$7,0))</f>
        <v>150967.41027999998</v>
      </c>
      <c r="D46" s="87">
        <f>INDEX('Marcellas PDA FY 2020'!$B$7:$AE$63,MATCH($A46,'Marcellas PDA FY 2020'!$B$7:$B$63,0),MATCH(D$2,'Marcellas PDA FY 2020'!$B$7:$AE$7,0))</f>
        <v>105674.90562999999</v>
      </c>
      <c r="E46" s="87">
        <f>INDEX('Marcellas PDA FY 2020'!$B$7:$AE$63,MATCH($A46,'Marcellas PDA FY 2020'!$B$7:$B$63,0),MATCH(E$2,'Marcellas PDA FY 2020'!$B$7:$AE$7,0))</f>
        <v>256642.31590999998</v>
      </c>
      <c r="F46" s="87">
        <f>INDEX('Marcellas PDA FY 2020'!$B$7:$AE$63,MATCH($A46,'Marcellas PDA FY 2020'!$B$7:$B$63,0),MATCH(F$2,'Marcellas PDA FY 2020'!$B$7:$AE$7,0))</f>
        <v>67413.411590771109</v>
      </c>
      <c r="G46" s="87">
        <f>INDEX('Marcellas PDA FY 2020'!$B$7:$AE$63,MATCH($A46,'Marcellas PDA FY 2020'!$B$7:$B$63,0),MATCH(G$2,'Marcellas PDA FY 2020'!$B$7:$AE$7,0))</f>
        <v>31474.912657534507</v>
      </c>
      <c r="H46" s="87">
        <f>INDEX('Marcellas PDA FY 2020'!$B$7:$AE$63,MATCH($A46,'Marcellas PDA FY 2020'!$B$7:$B$63,0),MATCH(H$2,'Marcellas PDA FY 2020'!$B$7:$AE$7,0))</f>
        <v>98888.324248305609</v>
      </c>
      <c r="I46" s="87">
        <f>INDEX('Marcellas PDA FY 2020'!$B$7:$AE$63,MATCH($A46,'Marcellas PDA FY 2020'!$B$7:$B$63,0),MATCH(I$2,'Marcellas PDA FY 2020'!$B$7:$AE$7,0))</f>
        <v>10873.169879976153</v>
      </c>
      <c r="J46" s="87">
        <f>INDEX('Marcellas PDA FY 2020'!$B$7:$AE$63,MATCH($A46,'Marcellas PDA FY 2020'!$B$7:$B$63,0),MATCH(J$2,'Marcellas PDA FY 2020'!$B$7:$AE$7,0))</f>
        <v>3751.0002885776294</v>
      </c>
      <c r="K46" s="87">
        <f>INDEX('Marcellas PDA FY 2020'!$B$7:$AE$63,MATCH($A46,'Marcellas PDA FY 2020'!$B$7:$B$63,0),MATCH(K$2,'Marcellas PDA FY 2020'!$B$7:$AE$7,0))</f>
        <v>14624.170168553781</v>
      </c>
      <c r="L46" s="87">
        <f>INDEX('Marcellas PDA FY 2020'!$B$7:$AE$63,MATCH($A46,'Marcellas PDA FY 2020'!$B$7:$B$63,0),MATCH(L$2,'Marcellas PDA FY 2020'!$B$7:$AE$7,0))</f>
        <v>18244.334857596205</v>
      </c>
      <c r="M46" s="87">
        <f>INDEX('Marcellas PDA FY 2020'!$B$7:$AE$63,MATCH($A46,'Marcellas PDA FY 2020'!$B$7:$B$63,0),MATCH(M$2,'Marcellas PDA FY 2020'!$B$7:$AE$7,0))</f>
        <v>19743.178766434852</v>
      </c>
      <c r="N46" s="87">
        <f>INDEX('Marcellas PDA FY 2020'!$B$7:$AE$63,MATCH($A46,'Marcellas PDA FY 2020'!$B$7:$B$63,0),MATCH(N$2,'Marcellas PDA FY 2020'!$B$7:$AE$7,0))</f>
        <v>37987.513624031053</v>
      </c>
      <c r="O46" s="87">
        <f>INDEX('Marcellas PDA FY 2020'!$B$7:$AE$63,MATCH($A46,'Marcellas PDA FY 2020'!$B$7:$B$63,0),MATCH(O$2,'Marcellas PDA FY 2020'!$B$7:$AE$7,0))</f>
        <v>27271.53911962279</v>
      </c>
      <c r="P46" s="87">
        <f>INDEX('Marcellas PDA FY 2020'!$B$7:$AE$63,MATCH($A46,'Marcellas PDA FY 2020'!$B$7:$B$63,0),MATCH(P$2,'Marcellas PDA FY 2020'!$B$7:$AE$7,0))</f>
        <v>23222.270600645941</v>
      </c>
      <c r="Q46" s="87">
        <f>INDEX('Marcellas PDA FY 2020'!$B$7:$AE$63,MATCH($A46,'Marcellas PDA FY 2020'!$B$7:$B$63,0),MATCH(Q$2,'Marcellas PDA FY 2020'!$B$7:$AE$7,0))</f>
        <v>50493.809720268735</v>
      </c>
      <c r="R46" s="87">
        <f>INDEX('Marcellas PDA FY 2020'!$B$7:$AE$63,MATCH($A46,'Marcellas PDA FY 2020'!$B$7:$B$63,0),MATCH(R$2,'Marcellas PDA FY 2020'!$B$7:$AE$7,0))</f>
        <v>804.01474999999857</v>
      </c>
      <c r="S46" s="87">
        <f>INDEX('Marcellas PDA FY 2020'!$B$7:$AE$63,MATCH($A46,'Marcellas PDA FY 2020'!$B$7:$B$63,0),MATCH(S$2,'Marcellas PDA FY 2020'!$B$7:$AE$7,0))</f>
        <v>10403.417814728646</v>
      </c>
      <c r="T46" s="87">
        <f>INDEX('Marcellas PDA FY 2020'!$B$7:$AE$63,MATCH($A46,'Marcellas PDA FY 2020'!$B$7:$B$63,0),MATCH(T$2,'Marcellas PDA FY 2020'!$B$7:$AE$7,0))</f>
        <v>7199.1843352713531</v>
      </c>
      <c r="U46" s="87">
        <f>INDEX('Marcellas PDA FY 2020'!$B$7:$AE$63,MATCH($A46,'Marcellas PDA FY 2020'!$B$7:$B$63,0),MATCH(U$2,'Marcellas PDA FY 2020'!$B$7:$AE$7,0))</f>
        <v>17602.602149999999</v>
      </c>
      <c r="V46" s="87">
        <f>INDEX('Marcellas PDA FY 2020'!$B$7:$AE$63,MATCH($A46,'Marcellas PDA FY 2020'!$B$7:$B$63,0),MATCH(V$2,'Marcellas PDA FY 2020'!$B$7:$AE$7,0))</f>
        <v>16761.537017305083</v>
      </c>
      <c r="W46" s="87">
        <f>INDEX('Marcellas PDA FY 2020'!$B$7:$AE$63,MATCH($A46,'Marcellas PDA FY 2020'!$B$7:$B$63,0),MATCH(W$2,'Marcellas PDA FY 2020'!$B$7:$AE$7,0))</f>
        <v>20284.358981535712</v>
      </c>
      <c r="X46" s="87">
        <f>INDEX('Marcellas PDA FY 2020'!$B$7:$AE$63,MATCH($A46,'Marcellas PDA FY 2020'!$B$7:$B$63,0),MATCH(X$2,'Marcellas PDA FY 2020'!$B$7:$AE$7,0))</f>
        <v>37045.895998840795</v>
      </c>
      <c r="Y46" s="87">
        <f>INDEX('Marcellas PDA FY 2020'!$B$7:$AE$63,MATCH($A46,'Marcellas PDA FY 2020'!$B$7:$B$63,0),MATCH(Y$2,'Marcellas PDA FY 2020'!$B$7:$AE$7,0))</f>
        <v>204748.6609800616</v>
      </c>
      <c r="Z46" s="87">
        <f>INDEX('Marcellas PDA FY 2020'!$B$7:$AE$63,MATCH($A46,'Marcellas PDA FY 2020'!$B$7:$B$63,0),MATCH(Z$2,'Marcellas PDA FY 2020'!$B$7:$AE$7,0))</f>
        <v>233749.09280220658</v>
      </c>
      <c r="AA46" s="131">
        <f t="shared" si="0"/>
        <v>0.38531574147337433</v>
      </c>
      <c r="AB46" s="80">
        <f t="shared" si="1"/>
        <v>5.6982692494413997E-2</v>
      </c>
      <c r="AC46" s="80">
        <f t="shared" si="2"/>
        <v>0.19674779484913954</v>
      </c>
      <c r="AD46" s="80">
        <f t="shared" si="3"/>
        <v>0.25373048734355352</v>
      </c>
      <c r="AE46" s="80">
        <f t="shared" si="4"/>
        <v>6.8588073979869033E-2</v>
      </c>
      <c r="AF46" s="128">
        <f t="shared" si="7"/>
        <v>0</v>
      </c>
      <c r="AG46" s="110">
        <f t="shared" si="8"/>
        <v>0</v>
      </c>
      <c r="AH46" s="110">
        <f t="shared" si="9"/>
        <v>0</v>
      </c>
      <c r="AI46" s="110">
        <f t="shared" si="10"/>
        <v>0</v>
      </c>
      <c r="AJ46" s="110">
        <f t="shared" si="11"/>
        <v>0</v>
      </c>
      <c r="AK46" s="110">
        <f t="shared" si="12"/>
        <v>0</v>
      </c>
      <c r="AL46" s="110">
        <f t="shared" si="13"/>
        <v>0</v>
      </c>
      <c r="AM46" s="110">
        <f t="shared" si="14"/>
        <v>0</v>
      </c>
      <c r="AN46" s="190"/>
      <c r="AP46" s="112">
        <f t="shared" si="6"/>
        <v>6.8588073979869033E-2</v>
      </c>
      <c r="AQ46" s="382">
        <f>'PDA Schedules FY 2018'!AP46</f>
        <v>6.578841218190791E-2</v>
      </c>
    </row>
    <row r="47" spans="1:43">
      <c r="A47" s="33" t="e">
        <f>'UCC Fund Calc FY2022'!#REF!</f>
        <v>#REF!</v>
      </c>
      <c r="B47" s="33" t="e">
        <f>'UCC Fund Calc FY2022'!#REF!</f>
        <v>#REF!</v>
      </c>
      <c r="C47" s="87" t="e">
        <f>INDEX('Marcellas PDA FY 2020'!$B$7:$AE$63,MATCH($A47,'Marcellas PDA FY 2020'!$B$7:$B$63,0),MATCH(C$2,'Marcellas PDA FY 2020'!$B$7:$AE$7,0))</f>
        <v>#REF!</v>
      </c>
      <c r="D47" s="87" t="e">
        <f>INDEX('Marcellas PDA FY 2020'!$B$7:$AE$63,MATCH($A47,'Marcellas PDA FY 2020'!$B$7:$B$63,0),MATCH(D$2,'Marcellas PDA FY 2020'!$B$7:$AE$7,0))</f>
        <v>#REF!</v>
      </c>
      <c r="E47" s="87" t="e">
        <f>INDEX('Marcellas PDA FY 2020'!$B$7:$AE$63,MATCH($A47,'Marcellas PDA FY 2020'!$B$7:$B$63,0),MATCH(E$2,'Marcellas PDA FY 2020'!$B$7:$AE$7,0))</f>
        <v>#REF!</v>
      </c>
      <c r="F47" s="87" t="e">
        <f>INDEX('Marcellas PDA FY 2020'!$B$7:$AE$63,MATCH($A47,'Marcellas PDA FY 2020'!$B$7:$B$63,0),MATCH(F$2,'Marcellas PDA FY 2020'!$B$7:$AE$7,0))</f>
        <v>#REF!</v>
      </c>
      <c r="G47" s="87" t="e">
        <f>INDEX('Marcellas PDA FY 2020'!$B$7:$AE$63,MATCH($A47,'Marcellas PDA FY 2020'!$B$7:$B$63,0),MATCH(G$2,'Marcellas PDA FY 2020'!$B$7:$AE$7,0))</f>
        <v>#REF!</v>
      </c>
      <c r="H47" s="87" t="e">
        <f>INDEX('Marcellas PDA FY 2020'!$B$7:$AE$63,MATCH($A47,'Marcellas PDA FY 2020'!$B$7:$B$63,0),MATCH(H$2,'Marcellas PDA FY 2020'!$B$7:$AE$7,0))</f>
        <v>#REF!</v>
      </c>
      <c r="I47" s="87" t="e">
        <f>INDEX('Marcellas PDA FY 2020'!$B$7:$AE$63,MATCH($A47,'Marcellas PDA FY 2020'!$B$7:$B$63,0),MATCH(I$2,'Marcellas PDA FY 2020'!$B$7:$AE$7,0))</f>
        <v>#REF!</v>
      </c>
      <c r="J47" s="87" t="e">
        <f>INDEX('Marcellas PDA FY 2020'!$B$7:$AE$63,MATCH($A47,'Marcellas PDA FY 2020'!$B$7:$B$63,0),MATCH(J$2,'Marcellas PDA FY 2020'!$B$7:$AE$7,0))</f>
        <v>#REF!</v>
      </c>
      <c r="K47" s="87" t="e">
        <f>INDEX('Marcellas PDA FY 2020'!$B$7:$AE$63,MATCH($A47,'Marcellas PDA FY 2020'!$B$7:$B$63,0),MATCH(K$2,'Marcellas PDA FY 2020'!$B$7:$AE$7,0))</f>
        <v>#REF!</v>
      </c>
      <c r="L47" s="87" t="e">
        <f>INDEX('Marcellas PDA FY 2020'!$B$7:$AE$63,MATCH($A47,'Marcellas PDA FY 2020'!$B$7:$B$63,0),MATCH(L$2,'Marcellas PDA FY 2020'!$B$7:$AE$7,0))</f>
        <v>#REF!</v>
      </c>
      <c r="M47" s="87" t="e">
        <f>INDEX('Marcellas PDA FY 2020'!$B$7:$AE$63,MATCH($A47,'Marcellas PDA FY 2020'!$B$7:$B$63,0),MATCH(M$2,'Marcellas PDA FY 2020'!$B$7:$AE$7,0))</f>
        <v>#REF!</v>
      </c>
      <c r="N47" s="87" t="e">
        <f>INDEX('Marcellas PDA FY 2020'!$B$7:$AE$63,MATCH($A47,'Marcellas PDA FY 2020'!$B$7:$B$63,0),MATCH(N$2,'Marcellas PDA FY 2020'!$B$7:$AE$7,0))</f>
        <v>#REF!</v>
      </c>
      <c r="O47" s="87" t="e">
        <f>INDEX('Marcellas PDA FY 2020'!$B$7:$AE$63,MATCH($A47,'Marcellas PDA FY 2020'!$B$7:$B$63,0),MATCH(O$2,'Marcellas PDA FY 2020'!$B$7:$AE$7,0))</f>
        <v>#REF!</v>
      </c>
      <c r="P47" s="87" t="e">
        <f>INDEX('Marcellas PDA FY 2020'!$B$7:$AE$63,MATCH($A47,'Marcellas PDA FY 2020'!$B$7:$B$63,0),MATCH(P$2,'Marcellas PDA FY 2020'!$B$7:$AE$7,0))</f>
        <v>#REF!</v>
      </c>
      <c r="Q47" s="87" t="e">
        <f>INDEX('Marcellas PDA FY 2020'!$B$7:$AE$63,MATCH($A47,'Marcellas PDA FY 2020'!$B$7:$B$63,0),MATCH(Q$2,'Marcellas PDA FY 2020'!$B$7:$AE$7,0))</f>
        <v>#REF!</v>
      </c>
      <c r="R47" s="87" t="e">
        <f>INDEX('Marcellas PDA FY 2020'!$B$7:$AE$63,MATCH($A47,'Marcellas PDA FY 2020'!$B$7:$B$63,0),MATCH(R$2,'Marcellas PDA FY 2020'!$B$7:$AE$7,0))</f>
        <v>#REF!</v>
      </c>
      <c r="S47" s="87" t="e">
        <f>INDEX('Marcellas PDA FY 2020'!$B$7:$AE$63,MATCH($A47,'Marcellas PDA FY 2020'!$B$7:$B$63,0),MATCH(S$2,'Marcellas PDA FY 2020'!$B$7:$AE$7,0))</f>
        <v>#REF!</v>
      </c>
      <c r="T47" s="87" t="e">
        <f>INDEX('Marcellas PDA FY 2020'!$B$7:$AE$63,MATCH($A47,'Marcellas PDA FY 2020'!$B$7:$B$63,0),MATCH(T$2,'Marcellas PDA FY 2020'!$B$7:$AE$7,0))</f>
        <v>#REF!</v>
      </c>
      <c r="U47" s="87" t="e">
        <f>INDEX('Marcellas PDA FY 2020'!$B$7:$AE$63,MATCH($A47,'Marcellas PDA FY 2020'!$B$7:$B$63,0),MATCH(U$2,'Marcellas PDA FY 2020'!$B$7:$AE$7,0))</f>
        <v>#REF!</v>
      </c>
      <c r="V47" s="87" t="e">
        <f>INDEX('Marcellas PDA FY 2020'!$B$7:$AE$63,MATCH($A47,'Marcellas PDA FY 2020'!$B$7:$B$63,0),MATCH(V$2,'Marcellas PDA FY 2020'!$B$7:$AE$7,0))</f>
        <v>#REF!</v>
      </c>
      <c r="W47" s="87" t="e">
        <f>INDEX('Marcellas PDA FY 2020'!$B$7:$AE$63,MATCH($A47,'Marcellas PDA FY 2020'!$B$7:$B$63,0),MATCH(W$2,'Marcellas PDA FY 2020'!$B$7:$AE$7,0))</f>
        <v>#REF!</v>
      </c>
      <c r="X47" s="87" t="e">
        <f>INDEX('Marcellas PDA FY 2020'!$B$7:$AE$63,MATCH($A47,'Marcellas PDA FY 2020'!$B$7:$B$63,0),MATCH(X$2,'Marcellas PDA FY 2020'!$B$7:$AE$7,0))</f>
        <v>#REF!</v>
      </c>
      <c r="Y47" s="87" t="e">
        <f>INDEX('Marcellas PDA FY 2020'!$B$7:$AE$63,MATCH($A47,'Marcellas PDA FY 2020'!$B$7:$B$63,0),MATCH(Y$2,'Marcellas PDA FY 2020'!$B$7:$AE$7,0))</f>
        <v>#REF!</v>
      </c>
      <c r="Z47" s="87" t="e">
        <f>INDEX('Marcellas PDA FY 2020'!$B$7:$AE$63,MATCH($A47,'Marcellas PDA FY 2020'!$B$7:$B$63,0),MATCH(Z$2,'Marcellas PDA FY 2020'!$B$7:$AE$7,0))</f>
        <v>#REF!</v>
      </c>
      <c r="AA47" s="131" t="e">
        <f t="shared" si="0"/>
        <v>#REF!</v>
      </c>
      <c r="AB47" s="80" t="e">
        <f t="shared" si="1"/>
        <v>#REF!</v>
      </c>
      <c r="AC47" s="80" t="e">
        <f t="shared" si="2"/>
        <v>#REF!</v>
      </c>
      <c r="AD47" s="80" t="e">
        <f t="shared" si="3"/>
        <v>#REF!</v>
      </c>
      <c r="AE47" s="80" t="e">
        <f t="shared" si="4"/>
        <v>#REF!</v>
      </c>
      <c r="AF47" s="128" t="e">
        <f t="shared" si="7"/>
        <v>#REF!</v>
      </c>
      <c r="AG47" s="110" t="e">
        <f t="shared" si="8"/>
        <v>#REF!</v>
      </c>
      <c r="AH47" s="110" t="e">
        <f t="shared" si="9"/>
        <v>#REF!</v>
      </c>
      <c r="AI47" s="110" t="e">
        <f t="shared" si="10"/>
        <v>#REF!</v>
      </c>
      <c r="AJ47" s="110" t="e">
        <f t="shared" si="11"/>
        <v>#REF!</v>
      </c>
      <c r="AK47" s="110" t="e">
        <f t="shared" si="12"/>
        <v>#REF!</v>
      </c>
      <c r="AL47" s="110" t="e">
        <f t="shared" si="13"/>
        <v>#REF!</v>
      </c>
      <c r="AM47" s="110" t="e">
        <f t="shared" si="14"/>
        <v>#REF!</v>
      </c>
      <c r="AN47" s="190"/>
      <c r="AP47" s="112" t="e">
        <f t="shared" si="6"/>
        <v>#REF!</v>
      </c>
      <c r="AQ47" s="382">
        <f>'PDA Schedules FY 2018'!AP47</f>
        <v>9.5449668405982971E-2</v>
      </c>
    </row>
    <row r="48" spans="1:43">
      <c r="A48" s="33">
        <f>'UCC Fund Calc FY2022'!C47</f>
        <v>210056</v>
      </c>
      <c r="B48" s="33" t="str">
        <f>'UCC Fund Calc FY2022'!D47</f>
        <v>Medstar Good Samaritan Hospital</v>
      </c>
      <c r="C48" s="87">
        <f>INDEX('Marcellas PDA FY 2020'!$B$7:$AE$63,MATCH($A48,'Marcellas PDA FY 2020'!$B$7:$B$63,0),MATCH(C$2,'Marcellas PDA FY 2020'!$B$7:$AE$7,0))</f>
        <v>166089.87648999994</v>
      </c>
      <c r="D48" s="87">
        <f>INDEX('Marcellas PDA FY 2020'!$B$7:$AE$63,MATCH($A48,'Marcellas PDA FY 2020'!$B$7:$B$63,0),MATCH(D$2,'Marcellas PDA FY 2020'!$B$7:$AE$7,0))</f>
        <v>102929.99460999995</v>
      </c>
      <c r="E48" s="87">
        <f>INDEX('Marcellas PDA FY 2020'!$B$7:$AE$63,MATCH($A48,'Marcellas PDA FY 2020'!$B$7:$B$63,0),MATCH(E$2,'Marcellas PDA FY 2020'!$B$7:$AE$7,0))</f>
        <v>269019.87109999987</v>
      </c>
      <c r="F48" s="87">
        <f>INDEX('Marcellas PDA FY 2020'!$B$7:$AE$63,MATCH($A48,'Marcellas PDA FY 2020'!$B$7:$B$63,0),MATCH(F$2,'Marcellas PDA FY 2020'!$B$7:$AE$7,0))</f>
        <v>89122.359274894567</v>
      </c>
      <c r="G48" s="87">
        <f>INDEX('Marcellas PDA FY 2020'!$B$7:$AE$63,MATCH($A48,'Marcellas PDA FY 2020'!$B$7:$B$63,0),MATCH(G$2,'Marcellas PDA FY 2020'!$B$7:$AE$7,0))</f>
        <v>41400.335602210704</v>
      </c>
      <c r="H48" s="87">
        <f>INDEX('Marcellas PDA FY 2020'!$B$7:$AE$63,MATCH($A48,'Marcellas PDA FY 2020'!$B$7:$B$63,0),MATCH(H$2,'Marcellas PDA FY 2020'!$B$7:$AE$7,0))</f>
        <v>130522.69487710527</v>
      </c>
      <c r="I48" s="87">
        <f>INDEX('Marcellas PDA FY 2020'!$B$7:$AE$63,MATCH($A48,'Marcellas PDA FY 2020'!$B$7:$B$63,0),MATCH(I$2,'Marcellas PDA FY 2020'!$B$7:$AE$7,0))</f>
        <v>9907.21042943473</v>
      </c>
      <c r="J48" s="87">
        <f>INDEX('Marcellas PDA FY 2020'!$B$7:$AE$63,MATCH($A48,'Marcellas PDA FY 2020'!$B$7:$B$63,0),MATCH(J$2,'Marcellas PDA FY 2020'!$B$7:$AE$7,0))</f>
        <v>2972.608965513994</v>
      </c>
      <c r="K48" s="87">
        <f>INDEX('Marcellas PDA FY 2020'!$B$7:$AE$63,MATCH($A48,'Marcellas PDA FY 2020'!$B$7:$B$63,0),MATCH(K$2,'Marcellas PDA FY 2020'!$B$7:$AE$7,0))</f>
        <v>12879.819394948725</v>
      </c>
      <c r="L48" s="87">
        <f>INDEX('Marcellas PDA FY 2020'!$B$7:$AE$63,MATCH($A48,'Marcellas PDA FY 2020'!$B$7:$B$63,0),MATCH(L$2,'Marcellas PDA FY 2020'!$B$7:$AE$7,0))</f>
        <v>9132.0014601141393</v>
      </c>
      <c r="M48" s="87">
        <f>INDEX('Marcellas PDA FY 2020'!$B$7:$AE$63,MATCH($A48,'Marcellas PDA FY 2020'!$B$7:$B$63,0),MATCH(M$2,'Marcellas PDA FY 2020'!$B$7:$AE$7,0))</f>
        <v>10480.592306527837</v>
      </c>
      <c r="N48" s="87">
        <f>INDEX('Marcellas PDA FY 2020'!$B$7:$AE$63,MATCH($A48,'Marcellas PDA FY 2020'!$B$7:$B$63,0),MATCH(N$2,'Marcellas PDA FY 2020'!$B$7:$AE$7,0))</f>
        <v>19612.593766641978</v>
      </c>
      <c r="O48" s="87">
        <f>INDEX('Marcellas PDA FY 2020'!$B$7:$AE$63,MATCH($A48,'Marcellas PDA FY 2020'!$B$7:$B$63,0),MATCH(O$2,'Marcellas PDA FY 2020'!$B$7:$AE$7,0))</f>
        <v>39405.086607105157</v>
      </c>
      <c r="P48" s="87">
        <f>INDEX('Marcellas PDA FY 2020'!$B$7:$AE$63,MATCH($A48,'Marcellas PDA FY 2020'!$B$7:$B$63,0),MATCH(P$2,'Marcellas PDA FY 2020'!$B$7:$AE$7,0))</f>
        <v>28888.77353062449</v>
      </c>
      <c r="Q48" s="87">
        <f>INDEX('Marcellas PDA FY 2020'!$B$7:$AE$63,MATCH($A48,'Marcellas PDA FY 2020'!$B$7:$B$63,0),MATCH(Q$2,'Marcellas PDA FY 2020'!$B$7:$AE$7,0))</f>
        <v>68293.860137729644</v>
      </c>
      <c r="R48" s="87">
        <f>INDEX('Marcellas PDA FY 2020'!$B$7:$AE$63,MATCH($A48,'Marcellas PDA FY 2020'!$B$7:$B$63,0),MATCH(R$2,'Marcellas PDA FY 2020'!$B$7:$AE$7,0))</f>
        <v>3974.46542000002</v>
      </c>
      <c r="S48" s="87">
        <f>INDEX('Marcellas PDA FY 2020'!$B$7:$AE$63,MATCH($A48,'Marcellas PDA FY 2020'!$B$7:$B$63,0),MATCH(S$2,'Marcellas PDA FY 2020'!$B$7:$AE$7,0))</f>
        <v>4219.8632320185397</v>
      </c>
      <c r="T48" s="87">
        <f>INDEX('Marcellas PDA FY 2020'!$B$7:$AE$63,MATCH($A48,'Marcellas PDA FY 2020'!$B$7:$B$63,0),MATCH(T$2,'Marcellas PDA FY 2020'!$B$7:$AE$7,0))</f>
        <v>7945.4026879814601</v>
      </c>
      <c r="U48" s="87">
        <f>INDEX('Marcellas PDA FY 2020'!$B$7:$AE$63,MATCH($A48,'Marcellas PDA FY 2020'!$B$7:$B$63,0),MATCH(U$2,'Marcellas PDA FY 2020'!$B$7:$AE$7,0))</f>
        <v>12165.26592</v>
      </c>
      <c r="V48" s="87">
        <f>INDEX('Marcellas PDA FY 2020'!$B$7:$AE$63,MATCH($A48,'Marcellas PDA FY 2020'!$B$7:$B$63,0),MATCH(V$2,'Marcellas PDA FY 2020'!$B$7:$AE$7,0))</f>
        <v>14303.3554864328</v>
      </c>
      <c r="W48" s="87">
        <f>INDEX('Marcellas PDA FY 2020'!$B$7:$AE$63,MATCH($A48,'Marcellas PDA FY 2020'!$B$7:$B$63,0),MATCH(W$2,'Marcellas PDA FY 2020'!$B$7:$AE$7,0))</f>
        <v>11242.28151714147</v>
      </c>
      <c r="X48" s="87">
        <f>INDEX('Marcellas PDA FY 2020'!$B$7:$AE$63,MATCH($A48,'Marcellas PDA FY 2020'!$B$7:$B$63,0),MATCH(X$2,'Marcellas PDA FY 2020'!$B$7:$AE$7,0))</f>
        <v>25545.637003574269</v>
      </c>
      <c r="Y48" s="87">
        <f>INDEX('Marcellas PDA FY 2020'!$B$7:$AE$63,MATCH($A48,'Marcellas PDA FY 2020'!$B$7:$B$63,0),MATCH(Y$2,'Marcellas PDA FY 2020'!$B$7:$AE$7,0))</f>
        <v>213882.90373294055</v>
      </c>
      <c r="Z48" s="87">
        <f>INDEX('Marcellas PDA FY 2020'!$B$7:$AE$63,MATCH($A48,'Marcellas PDA FY 2020'!$B$7:$B$63,0),MATCH(Z$2,'Marcellas PDA FY 2020'!$B$7:$AE$7,0))</f>
        <v>240215.98000055098</v>
      </c>
      <c r="AA48" s="131">
        <f t="shared" si="0"/>
        <v>0.48517863882474122</v>
      </c>
      <c r="AB48" s="80">
        <f t="shared" si="1"/>
        <v>4.7876832823851322E-2</v>
      </c>
      <c r="AC48" s="80">
        <f t="shared" si="2"/>
        <v>0.25386176812323091</v>
      </c>
      <c r="AD48" s="80">
        <f t="shared" si="3"/>
        <v>0.30173860094708221</v>
      </c>
      <c r="AE48" s="80">
        <f t="shared" si="4"/>
        <v>4.5220696412711966E-2</v>
      </c>
      <c r="AF48" s="128">
        <f t="shared" si="7"/>
        <v>0</v>
      </c>
      <c r="AG48" s="110">
        <f t="shared" si="8"/>
        <v>0</v>
      </c>
      <c r="AH48" s="110">
        <f t="shared" si="9"/>
        <v>0</v>
      </c>
      <c r="AI48" s="110">
        <f t="shared" si="10"/>
        <v>0</v>
      </c>
      <c r="AJ48" s="110">
        <f t="shared" si="11"/>
        <v>0</v>
      </c>
      <c r="AK48" s="110">
        <f t="shared" si="12"/>
        <v>0</v>
      </c>
      <c r="AL48" s="110">
        <f t="shared" si="13"/>
        <v>0</v>
      </c>
      <c r="AM48" s="110">
        <f t="shared" si="14"/>
        <v>0</v>
      </c>
      <c r="AN48" s="190"/>
      <c r="AP48" s="112">
        <f t="shared" si="6"/>
        <v>4.5220696412711966E-2</v>
      </c>
      <c r="AQ48" s="382">
        <f>'PDA Schedules FY 2018'!AP48</f>
        <v>4.159021041236341E-2</v>
      </c>
    </row>
    <row r="49" spans="1:43">
      <c r="A49" s="33">
        <f>'UCC Fund Calc FY2022'!C48</f>
        <v>210057</v>
      </c>
      <c r="B49" s="33" t="str">
        <f>'UCC Fund Calc FY2022'!D48</f>
        <v>Adventist - Shady Grove Medical Center</v>
      </c>
      <c r="C49" s="87">
        <f>INDEX('Marcellas PDA FY 2020'!$B$7:$AE$63,MATCH($A49,'Marcellas PDA FY 2020'!$B$7:$B$63,0),MATCH(C$2,'Marcellas PDA FY 2020'!$B$7:$AE$7,0))</f>
        <v>623977.60057399655</v>
      </c>
      <c r="D49" s="87">
        <f>INDEX('Marcellas PDA FY 2020'!$B$7:$AE$63,MATCH($A49,'Marcellas PDA FY 2020'!$B$7:$B$63,0),MATCH(D$2,'Marcellas PDA FY 2020'!$B$7:$AE$7,0))</f>
        <v>325060.19942600344</v>
      </c>
      <c r="E49" s="87">
        <f>INDEX('Marcellas PDA FY 2020'!$B$7:$AE$63,MATCH($A49,'Marcellas PDA FY 2020'!$B$7:$B$63,0),MATCH(E$2,'Marcellas PDA FY 2020'!$B$7:$AE$7,0))</f>
        <v>949037.8</v>
      </c>
      <c r="F49" s="87">
        <f>INDEX('Marcellas PDA FY 2020'!$B$7:$AE$63,MATCH($A49,'Marcellas PDA FY 2020'!$B$7:$B$63,0),MATCH(F$2,'Marcellas PDA FY 2020'!$B$7:$AE$7,0))</f>
        <v>219254.22399999999</v>
      </c>
      <c r="G49" s="87">
        <f>INDEX('Marcellas PDA FY 2020'!$B$7:$AE$63,MATCH($A49,'Marcellas PDA FY 2020'!$B$7:$B$63,0),MATCH(G$2,'Marcellas PDA FY 2020'!$B$7:$AE$7,0))</f>
        <v>90021.95</v>
      </c>
      <c r="H49" s="87">
        <f>INDEX('Marcellas PDA FY 2020'!$B$7:$AE$63,MATCH($A49,'Marcellas PDA FY 2020'!$B$7:$B$63,0),MATCH(H$2,'Marcellas PDA FY 2020'!$B$7:$AE$7,0))</f>
        <v>309276.174</v>
      </c>
      <c r="I49" s="87">
        <f>INDEX('Marcellas PDA FY 2020'!$B$7:$AE$63,MATCH($A49,'Marcellas PDA FY 2020'!$B$7:$B$63,0),MATCH(I$2,'Marcellas PDA FY 2020'!$B$7:$AE$7,0))</f>
        <v>75698.763999999996</v>
      </c>
      <c r="J49" s="87">
        <f>INDEX('Marcellas PDA FY 2020'!$B$7:$AE$63,MATCH($A49,'Marcellas PDA FY 2020'!$B$7:$B$63,0),MATCH(J$2,'Marcellas PDA FY 2020'!$B$7:$AE$7,0))</f>
        <v>16948.312000000002</v>
      </c>
      <c r="K49" s="87">
        <f>INDEX('Marcellas PDA FY 2020'!$B$7:$AE$63,MATCH($A49,'Marcellas PDA FY 2020'!$B$7:$B$63,0),MATCH(K$2,'Marcellas PDA FY 2020'!$B$7:$AE$7,0))</f>
        <v>92647.076000000001</v>
      </c>
      <c r="L49" s="87">
        <f>INDEX('Marcellas PDA FY 2020'!$B$7:$AE$63,MATCH($A49,'Marcellas PDA FY 2020'!$B$7:$B$63,0),MATCH(L$2,'Marcellas PDA FY 2020'!$B$7:$AE$7,0))</f>
        <v>111980.144</v>
      </c>
      <c r="M49" s="87">
        <f>INDEX('Marcellas PDA FY 2020'!$B$7:$AE$63,MATCH($A49,'Marcellas PDA FY 2020'!$B$7:$B$63,0),MATCH(M$2,'Marcellas PDA FY 2020'!$B$7:$AE$7,0))</f>
        <v>77750.789999999994</v>
      </c>
      <c r="N49" s="87">
        <f>INDEX('Marcellas PDA FY 2020'!$B$7:$AE$63,MATCH($A49,'Marcellas PDA FY 2020'!$B$7:$B$63,0),MATCH(N$2,'Marcellas PDA FY 2020'!$B$7:$AE$7,0))</f>
        <v>189730.93400000001</v>
      </c>
      <c r="O49" s="87">
        <f>INDEX('Marcellas PDA FY 2020'!$B$7:$AE$63,MATCH($A49,'Marcellas PDA FY 2020'!$B$7:$B$63,0),MATCH(O$2,'Marcellas PDA FY 2020'!$B$7:$AE$7,0))</f>
        <v>86968.55</v>
      </c>
      <c r="P49" s="87">
        <f>INDEX('Marcellas PDA FY 2020'!$B$7:$AE$63,MATCH($A49,'Marcellas PDA FY 2020'!$B$7:$B$63,0),MATCH(P$2,'Marcellas PDA FY 2020'!$B$7:$AE$7,0))</f>
        <v>42364.078000000001</v>
      </c>
      <c r="Q49" s="87">
        <f>INDEX('Marcellas PDA FY 2020'!$B$7:$AE$63,MATCH($A49,'Marcellas PDA FY 2020'!$B$7:$B$63,0),MATCH(Q$2,'Marcellas PDA FY 2020'!$B$7:$AE$7,0))</f>
        <v>129332.628</v>
      </c>
      <c r="R49" s="87">
        <f>INDEX('Marcellas PDA FY 2020'!$B$7:$AE$63,MATCH($A49,'Marcellas PDA FY 2020'!$B$7:$B$63,0),MATCH(R$2,'Marcellas PDA FY 2020'!$B$7:$AE$7,0))</f>
        <v>14178.1</v>
      </c>
      <c r="S49" s="87">
        <f>INDEX('Marcellas PDA FY 2020'!$B$7:$AE$63,MATCH($A49,'Marcellas PDA FY 2020'!$B$7:$B$63,0),MATCH(S$2,'Marcellas PDA FY 2020'!$B$7:$AE$7,0))</f>
        <v>40349.915064602232</v>
      </c>
      <c r="T49" s="87">
        <f>INDEX('Marcellas PDA FY 2020'!$B$7:$AE$63,MATCH($A49,'Marcellas PDA FY 2020'!$B$7:$B$63,0),MATCH(T$2,'Marcellas PDA FY 2020'!$B$7:$AE$7,0))</f>
        <v>21020.228935397765</v>
      </c>
      <c r="U49" s="87">
        <f>INDEX('Marcellas PDA FY 2020'!$B$7:$AE$63,MATCH($A49,'Marcellas PDA FY 2020'!$B$7:$B$63,0),MATCH(U$2,'Marcellas PDA FY 2020'!$B$7:$AE$7,0))</f>
        <v>61370.144</v>
      </c>
      <c r="V49" s="87">
        <f>INDEX('Marcellas PDA FY 2020'!$B$7:$AE$63,MATCH($A49,'Marcellas PDA FY 2020'!$B$7:$B$63,0),MATCH(V$2,'Marcellas PDA FY 2020'!$B$7:$AE$7,0))</f>
        <v>89726.003509394301</v>
      </c>
      <c r="W49" s="87">
        <f>INDEX('Marcellas PDA FY 2020'!$B$7:$AE$63,MATCH($A49,'Marcellas PDA FY 2020'!$B$7:$B$63,0),MATCH(W$2,'Marcellas PDA FY 2020'!$B$7:$AE$7,0))</f>
        <v>76954.840490605638</v>
      </c>
      <c r="X49" s="87">
        <f>INDEX('Marcellas PDA FY 2020'!$B$7:$AE$63,MATCH($A49,'Marcellas PDA FY 2020'!$B$7:$B$63,0),MATCH(X$2,'Marcellas PDA FY 2020'!$B$7:$AE$7,0))</f>
        <v>166680.84399999992</v>
      </c>
      <c r="Y49" s="87">
        <f>INDEX('Marcellas PDA FY 2020'!$B$7:$AE$63,MATCH($A49,'Marcellas PDA FY 2020'!$B$7:$B$63,0),MATCH(Y$2,'Marcellas PDA FY 2020'!$B$7:$AE$7,0))</f>
        <v>744669.70763409196</v>
      </c>
      <c r="Z49" s="87">
        <f>INDEX('Marcellas PDA FY 2020'!$B$7:$AE$63,MATCH($A49,'Marcellas PDA FY 2020'!$B$7:$B$63,0),MATCH(Z$2,'Marcellas PDA FY 2020'!$B$7:$AE$7,0))</f>
        <v>842579.65415387275</v>
      </c>
      <c r="AA49" s="131">
        <f t="shared" si="0"/>
        <v>0.32588393634057566</v>
      </c>
      <c r="AB49" s="80">
        <f t="shared" si="1"/>
        <v>9.7622113681878633E-2</v>
      </c>
      <c r="AC49" s="80">
        <f t="shared" si="2"/>
        <v>0.13627763614895</v>
      </c>
      <c r="AD49" s="80">
        <f t="shared" si="3"/>
        <v>0.23389974983082865</v>
      </c>
      <c r="AE49" s="80">
        <f t="shared" si="4"/>
        <v>6.4665647669671325E-2</v>
      </c>
      <c r="AF49" s="128">
        <f t="shared" si="7"/>
        <v>0</v>
      </c>
      <c r="AG49" s="110">
        <f t="shared" si="8"/>
        <v>0</v>
      </c>
      <c r="AH49" s="110">
        <f t="shared" si="9"/>
        <v>0</v>
      </c>
      <c r="AI49" s="110">
        <f t="shared" si="10"/>
        <v>0</v>
      </c>
      <c r="AJ49" s="110">
        <f t="shared" si="11"/>
        <v>0</v>
      </c>
      <c r="AK49" s="110">
        <f t="shared" si="12"/>
        <v>0</v>
      </c>
      <c r="AL49" s="110">
        <f t="shared" si="13"/>
        <v>0</v>
      </c>
      <c r="AM49" s="110">
        <f t="shared" si="14"/>
        <v>0</v>
      </c>
      <c r="AN49" s="190"/>
      <c r="AP49" s="112">
        <f t="shared" si="6"/>
        <v>6.4665647669671325E-2</v>
      </c>
      <c r="AQ49" s="382">
        <f>'PDA Schedules FY 2018'!AP49</f>
        <v>5.0110654229591836E-2</v>
      </c>
    </row>
    <row r="50" spans="1:43">
      <c r="A50" s="33">
        <f>'UCC Fund Calc FY2022'!C49</f>
        <v>210058</v>
      </c>
      <c r="B50" s="33" t="str">
        <f>'UCC Fund Calc FY2022'!D49</f>
        <v>UM Rehabilitation &amp; Orthopaedic Institute</v>
      </c>
      <c r="C50" s="87">
        <f>INDEX('Marcellas PDA FY 2020'!$B$7:$AE$63,MATCH($A50,'Marcellas PDA FY 2020'!$B$7:$B$63,0),MATCH(C$2,'Marcellas PDA FY 2020'!$B$7:$AE$7,0))</f>
        <v>69067.804849999986</v>
      </c>
      <c r="D50" s="87">
        <f>INDEX('Marcellas PDA FY 2020'!$B$7:$AE$63,MATCH($A50,'Marcellas PDA FY 2020'!$B$7:$B$63,0),MATCH(D$2,'Marcellas PDA FY 2020'!$B$7:$AE$7,0))</f>
        <v>45194.536380000005</v>
      </c>
      <c r="E50" s="87">
        <f>INDEX('Marcellas PDA FY 2020'!$B$7:$AE$63,MATCH($A50,'Marcellas PDA FY 2020'!$B$7:$B$63,0),MATCH(E$2,'Marcellas PDA FY 2020'!$B$7:$AE$7,0))</f>
        <v>114262.34122999999</v>
      </c>
      <c r="F50" s="87">
        <f>INDEX('Marcellas PDA FY 2020'!$B$7:$AE$63,MATCH($A50,'Marcellas PDA FY 2020'!$B$7:$B$63,0),MATCH(F$2,'Marcellas PDA FY 2020'!$B$7:$AE$7,0))</f>
        <v>26154.634382314965</v>
      </c>
      <c r="G50" s="87">
        <f>INDEX('Marcellas PDA FY 2020'!$B$7:$AE$63,MATCH($A50,'Marcellas PDA FY 2020'!$B$7:$B$63,0),MATCH(G$2,'Marcellas PDA FY 2020'!$B$7:$AE$7,0))</f>
        <v>8453.0780216831154</v>
      </c>
      <c r="H50" s="87">
        <f>INDEX('Marcellas PDA FY 2020'!$B$7:$AE$63,MATCH($A50,'Marcellas PDA FY 2020'!$B$7:$B$63,0),MATCH(H$2,'Marcellas PDA FY 2020'!$B$7:$AE$7,0))</f>
        <v>34607.712403998084</v>
      </c>
      <c r="I50" s="87">
        <f>INDEX('Marcellas PDA FY 2020'!$B$7:$AE$63,MATCH($A50,'Marcellas PDA FY 2020'!$B$7:$B$63,0),MATCH(I$2,'Marcellas PDA FY 2020'!$B$7:$AE$7,0))</f>
        <v>4431.8423697776761</v>
      </c>
      <c r="J50" s="87">
        <f>INDEX('Marcellas PDA FY 2020'!$B$7:$AE$63,MATCH($A50,'Marcellas PDA FY 2020'!$B$7:$B$63,0),MATCH(J$2,'Marcellas PDA FY 2020'!$B$7:$AE$7,0))</f>
        <v>1734.4107828982217</v>
      </c>
      <c r="K50" s="87">
        <f>INDEX('Marcellas PDA FY 2020'!$B$7:$AE$63,MATCH($A50,'Marcellas PDA FY 2020'!$B$7:$B$63,0),MATCH(K$2,'Marcellas PDA FY 2020'!$B$7:$AE$7,0))</f>
        <v>6166.2531526758976</v>
      </c>
      <c r="L50" s="87">
        <f>INDEX('Marcellas PDA FY 2020'!$B$7:$AE$63,MATCH($A50,'Marcellas PDA FY 2020'!$B$7:$B$63,0),MATCH(L$2,'Marcellas PDA FY 2020'!$B$7:$AE$7,0))</f>
        <v>5473.4012643152328</v>
      </c>
      <c r="M50" s="87">
        <f>INDEX('Marcellas PDA FY 2020'!$B$7:$AE$63,MATCH($A50,'Marcellas PDA FY 2020'!$B$7:$B$63,0),MATCH(M$2,'Marcellas PDA FY 2020'!$B$7:$AE$7,0))</f>
        <v>7917.5881783538825</v>
      </c>
      <c r="N50" s="87">
        <f>INDEX('Marcellas PDA FY 2020'!$B$7:$AE$63,MATCH($A50,'Marcellas PDA FY 2020'!$B$7:$B$63,0),MATCH(N$2,'Marcellas PDA FY 2020'!$B$7:$AE$7,0))</f>
        <v>13390.989442669115</v>
      </c>
      <c r="O50" s="87">
        <f>INDEX('Marcellas PDA FY 2020'!$B$7:$AE$63,MATCH($A50,'Marcellas PDA FY 2020'!$B$7:$B$63,0),MATCH(O$2,'Marcellas PDA FY 2020'!$B$7:$AE$7,0))</f>
        <v>16040.183580217614</v>
      </c>
      <c r="P50" s="87">
        <f>INDEX('Marcellas PDA FY 2020'!$B$7:$AE$63,MATCH($A50,'Marcellas PDA FY 2020'!$B$7:$B$63,0),MATCH(P$2,'Marcellas PDA FY 2020'!$B$7:$AE$7,0))</f>
        <v>11545.879518075852</v>
      </c>
      <c r="Q50" s="87">
        <f>INDEX('Marcellas PDA FY 2020'!$B$7:$AE$63,MATCH($A50,'Marcellas PDA FY 2020'!$B$7:$B$63,0),MATCH(Q$2,'Marcellas PDA FY 2020'!$B$7:$AE$7,0))</f>
        <v>27586.063098293467</v>
      </c>
      <c r="R50" s="87">
        <f>INDEX('Marcellas PDA FY 2020'!$B$7:$AE$63,MATCH($A50,'Marcellas PDA FY 2020'!$B$7:$B$63,0),MATCH(R$2,'Marcellas PDA FY 2020'!$B$7:$AE$7,0))</f>
        <v>488.02691000000215</v>
      </c>
      <c r="S50" s="87">
        <f>INDEX('Marcellas PDA FY 2020'!$B$7:$AE$63,MATCH($A50,'Marcellas PDA FY 2020'!$B$7:$B$63,0),MATCH(S$2,'Marcellas PDA FY 2020'!$B$7:$AE$7,0))</f>
        <v>2730.3770529212534</v>
      </c>
      <c r="T50" s="87">
        <f>INDEX('Marcellas PDA FY 2020'!$B$7:$AE$63,MATCH($A50,'Marcellas PDA FY 2020'!$B$7:$B$63,0),MATCH(T$2,'Marcellas PDA FY 2020'!$B$7:$AE$7,0))</f>
        <v>1786.6229470787471</v>
      </c>
      <c r="U50" s="87">
        <f>INDEX('Marcellas PDA FY 2020'!$B$7:$AE$63,MATCH($A50,'Marcellas PDA FY 2020'!$B$7:$B$63,0),MATCH(U$2,'Marcellas PDA FY 2020'!$B$7:$AE$7,0))</f>
        <v>4517</v>
      </c>
      <c r="V50" s="87">
        <f>INDEX('Marcellas PDA FY 2020'!$B$7:$AE$63,MATCH($A50,'Marcellas PDA FY 2020'!$B$7:$B$63,0),MATCH(V$2,'Marcellas PDA FY 2020'!$B$7:$AE$7,0))</f>
        <v>14237.366200453249</v>
      </c>
      <c r="W50" s="87">
        <f>INDEX('Marcellas PDA FY 2020'!$B$7:$AE$63,MATCH($A50,'Marcellas PDA FY 2020'!$B$7:$B$63,0),MATCH(W$2,'Marcellas PDA FY 2020'!$B$7:$AE$7,0))</f>
        <v>13756.956931910181</v>
      </c>
      <c r="X50" s="87">
        <f>INDEX('Marcellas PDA FY 2020'!$B$7:$AE$63,MATCH($A50,'Marcellas PDA FY 2020'!$B$7:$B$63,0),MATCH(X$2,'Marcellas PDA FY 2020'!$B$7:$AE$7,0))</f>
        <v>27994.323132363432</v>
      </c>
      <c r="Y50" s="87">
        <f>INDEX('Marcellas PDA FY 2020'!$B$7:$AE$63,MATCH($A50,'Marcellas PDA FY 2020'!$B$7:$B$63,0),MATCH(Y$2,'Marcellas PDA FY 2020'!$B$7:$AE$7,0))</f>
        <v>102941.70395881117</v>
      </c>
      <c r="Z50" s="87">
        <f>INDEX('Marcellas PDA FY 2020'!$B$7:$AE$63,MATCH($A50,'Marcellas PDA FY 2020'!$B$7:$B$63,0),MATCH(Z$2,'Marcellas PDA FY 2020'!$B$7:$AE$7,0))</f>
        <v>113513.29972408495</v>
      </c>
      <c r="AA50" s="131">
        <f t="shared" si="0"/>
        <v>0.30287942668998719</v>
      </c>
      <c r="AB50" s="80">
        <f t="shared" si="1"/>
        <v>5.396575185050493E-2</v>
      </c>
      <c r="AC50" s="80">
        <f t="shared" si="2"/>
        <v>0.24142742745630566</v>
      </c>
      <c r="AD50" s="80">
        <f t="shared" si="3"/>
        <v>0.29539317930681058</v>
      </c>
      <c r="AE50" s="80">
        <f t="shared" si="4"/>
        <v>3.953183482305582E-2</v>
      </c>
      <c r="AF50" s="128">
        <f t="shared" si="7"/>
        <v>0</v>
      </c>
      <c r="AG50" s="110">
        <f t="shared" si="8"/>
        <v>0</v>
      </c>
      <c r="AH50" s="110">
        <f t="shared" si="9"/>
        <v>0</v>
      </c>
      <c r="AI50" s="110">
        <f t="shared" si="10"/>
        <v>0</v>
      </c>
      <c r="AJ50" s="110">
        <f t="shared" si="11"/>
        <v>0</v>
      </c>
      <c r="AK50" s="110">
        <f t="shared" si="12"/>
        <v>0</v>
      </c>
      <c r="AL50" s="110">
        <f t="shared" si="13"/>
        <v>0</v>
      </c>
      <c r="AM50" s="110">
        <f t="shared" si="14"/>
        <v>0</v>
      </c>
      <c r="AN50" s="190"/>
      <c r="AP50" s="112">
        <f t="shared" si="6"/>
        <v>3.953183482305582E-2</v>
      </c>
      <c r="AQ50" s="382">
        <f>'PDA Schedules FY 2018'!AP50</f>
        <v>5.0729628810968312E-2</v>
      </c>
    </row>
    <row r="51" spans="1:43">
      <c r="A51" s="33">
        <f>'UCC Fund Calc FY2022'!C50</f>
        <v>210060</v>
      </c>
      <c r="B51" s="33" t="str">
        <f>'UCC Fund Calc FY2022'!D50</f>
        <v>Fort Washington Hospital</v>
      </c>
      <c r="C51" s="87">
        <f>INDEX('Marcellas PDA FY 2020'!$B$7:$AE$63,MATCH($A51,'Marcellas PDA FY 2020'!$B$7:$B$63,0),MATCH(C$2,'Marcellas PDA FY 2020'!$B$7:$AE$7,0))</f>
        <v>24368.100004872213</v>
      </c>
      <c r="D51" s="87">
        <f>INDEX('Marcellas PDA FY 2020'!$B$7:$AE$63,MATCH($A51,'Marcellas PDA FY 2020'!$B$7:$B$63,0),MATCH(D$2,'Marcellas PDA FY 2020'!$B$7:$AE$7,0))</f>
        <v>29258.399995127784</v>
      </c>
      <c r="E51" s="87">
        <f>INDEX('Marcellas PDA FY 2020'!$B$7:$AE$63,MATCH($A51,'Marcellas PDA FY 2020'!$B$7:$B$63,0),MATCH(E$2,'Marcellas PDA FY 2020'!$B$7:$AE$7,0))</f>
        <v>53626.5</v>
      </c>
      <c r="F51" s="87">
        <f>INDEX('Marcellas PDA FY 2020'!$B$7:$AE$63,MATCH($A51,'Marcellas PDA FY 2020'!$B$7:$B$63,0),MATCH(F$2,'Marcellas PDA FY 2020'!$B$7:$AE$7,0))</f>
        <v>10451.525</v>
      </c>
      <c r="G51" s="87">
        <f>INDEX('Marcellas PDA FY 2020'!$B$7:$AE$63,MATCH($A51,'Marcellas PDA FY 2020'!$B$7:$B$63,0),MATCH(G$2,'Marcellas PDA FY 2020'!$B$7:$AE$7,0))</f>
        <v>8880.3220000000001</v>
      </c>
      <c r="H51" s="87">
        <f>INDEX('Marcellas PDA FY 2020'!$B$7:$AE$63,MATCH($A51,'Marcellas PDA FY 2020'!$B$7:$B$63,0),MATCH(H$2,'Marcellas PDA FY 2020'!$B$7:$AE$7,0))</f>
        <v>19331.847000000002</v>
      </c>
      <c r="I51" s="87">
        <f>INDEX('Marcellas PDA FY 2020'!$B$7:$AE$63,MATCH($A51,'Marcellas PDA FY 2020'!$B$7:$B$63,0),MATCH(I$2,'Marcellas PDA FY 2020'!$B$7:$AE$7,0))</f>
        <v>1295.8420000000001</v>
      </c>
      <c r="J51" s="87">
        <f>INDEX('Marcellas PDA FY 2020'!$B$7:$AE$63,MATCH($A51,'Marcellas PDA FY 2020'!$B$7:$B$63,0),MATCH(J$2,'Marcellas PDA FY 2020'!$B$7:$AE$7,0))</f>
        <v>715.40599999999995</v>
      </c>
      <c r="K51" s="87">
        <f>INDEX('Marcellas PDA FY 2020'!$B$7:$AE$63,MATCH($A51,'Marcellas PDA FY 2020'!$B$7:$B$63,0),MATCH(K$2,'Marcellas PDA FY 2020'!$B$7:$AE$7,0))</f>
        <v>2011.248</v>
      </c>
      <c r="L51" s="87">
        <f>INDEX('Marcellas PDA FY 2020'!$B$7:$AE$63,MATCH($A51,'Marcellas PDA FY 2020'!$B$7:$B$63,0),MATCH(L$2,'Marcellas PDA FY 2020'!$B$7:$AE$7,0))</f>
        <v>3092.721</v>
      </c>
      <c r="M51" s="87">
        <f>INDEX('Marcellas PDA FY 2020'!$B$7:$AE$63,MATCH($A51,'Marcellas PDA FY 2020'!$B$7:$B$63,0),MATCH(M$2,'Marcellas PDA FY 2020'!$B$7:$AE$7,0))</f>
        <v>4473.9070000000002</v>
      </c>
      <c r="N51" s="87">
        <f>INDEX('Marcellas PDA FY 2020'!$B$7:$AE$63,MATCH($A51,'Marcellas PDA FY 2020'!$B$7:$B$63,0),MATCH(N$2,'Marcellas PDA FY 2020'!$B$7:$AE$7,0))</f>
        <v>7566.6280000000006</v>
      </c>
      <c r="O51" s="87">
        <f>INDEX('Marcellas PDA FY 2020'!$B$7:$AE$63,MATCH($A51,'Marcellas PDA FY 2020'!$B$7:$B$63,0),MATCH(O$2,'Marcellas PDA FY 2020'!$B$7:$AE$7,0))</f>
        <v>6143.9219999999996</v>
      </c>
      <c r="P51" s="87">
        <f>INDEX('Marcellas PDA FY 2020'!$B$7:$AE$63,MATCH($A51,'Marcellas PDA FY 2020'!$B$7:$B$63,0),MATCH(P$2,'Marcellas PDA FY 2020'!$B$7:$AE$7,0))</f>
        <v>6389.7669999999998</v>
      </c>
      <c r="Q51" s="87">
        <f>INDEX('Marcellas PDA FY 2020'!$B$7:$AE$63,MATCH($A51,'Marcellas PDA FY 2020'!$B$7:$B$63,0),MATCH(Q$2,'Marcellas PDA FY 2020'!$B$7:$AE$7,0))</f>
        <v>12533.688999999998</v>
      </c>
      <c r="R51" s="87">
        <f>INDEX('Marcellas PDA FY 2020'!$B$7:$AE$63,MATCH($A51,'Marcellas PDA FY 2020'!$B$7:$B$63,0),MATCH(R$2,'Marcellas PDA FY 2020'!$B$7:$AE$7,0))</f>
        <v>457.21300000000002</v>
      </c>
      <c r="S51" s="87">
        <f>INDEX('Marcellas PDA FY 2020'!$B$7:$AE$63,MATCH($A51,'Marcellas PDA FY 2020'!$B$7:$B$63,0),MATCH(S$2,'Marcellas PDA FY 2020'!$B$7:$AE$7,0))</f>
        <v>1779.4842061488685</v>
      </c>
      <c r="T51" s="87">
        <f>INDEX('Marcellas PDA FY 2020'!$B$7:$AE$63,MATCH($A51,'Marcellas PDA FY 2020'!$B$7:$B$63,0),MATCH(T$2,'Marcellas PDA FY 2020'!$B$7:$AE$7,0))</f>
        <v>2136.883793851131</v>
      </c>
      <c r="U51" s="87">
        <f>INDEX('Marcellas PDA FY 2020'!$B$7:$AE$63,MATCH($A51,'Marcellas PDA FY 2020'!$B$7:$B$63,0),MATCH(U$2,'Marcellas PDA FY 2020'!$B$7:$AE$7,0))</f>
        <v>3916.3679999999995</v>
      </c>
      <c r="V51" s="87">
        <f>INDEX('Marcellas PDA FY 2020'!$B$7:$AE$63,MATCH($A51,'Marcellas PDA FY 2020'!$B$7:$B$63,0),MATCH(V$2,'Marcellas PDA FY 2020'!$B$7:$AE$7,0))</f>
        <v>1604.6057987233448</v>
      </c>
      <c r="W51" s="87">
        <f>INDEX('Marcellas PDA FY 2020'!$B$7:$AE$63,MATCH($A51,'Marcellas PDA FY 2020'!$B$7:$B$63,0),MATCH(W$2,'Marcellas PDA FY 2020'!$B$7:$AE$7,0))</f>
        <v>6662.1142012766541</v>
      </c>
      <c r="X51" s="87">
        <f>INDEX('Marcellas PDA FY 2020'!$B$7:$AE$63,MATCH($A51,'Marcellas PDA FY 2020'!$B$7:$B$63,0),MATCH(X$2,'Marcellas PDA FY 2020'!$B$7:$AE$7,0))</f>
        <v>8266.7199999999993</v>
      </c>
      <c r="Y51" s="87">
        <f>INDEX('Marcellas PDA FY 2020'!$B$7:$AE$63,MATCH($A51,'Marcellas PDA FY 2020'!$B$7:$B$63,0),MATCH(Y$2,'Marcellas PDA FY 2020'!$B$7:$AE$7,0))</f>
        <v>47593.597881200003</v>
      </c>
      <c r="Z51" s="87">
        <f>INDEX('Marcellas PDA FY 2020'!$B$7:$AE$63,MATCH($A51,'Marcellas PDA FY 2020'!$B$7:$B$63,0),MATCH(Z$2,'Marcellas PDA FY 2020'!$B$7:$AE$7,0))</f>
        <v>54580.15208029958</v>
      </c>
      <c r="AA51" s="131">
        <f t="shared" si="0"/>
        <v>0.36049055970462368</v>
      </c>
      <c r="AB51" s="80">
        <f t="shared" si="1"/>
        <v>3.750474112612235E-2</v>
      </c>
      <c r="AC51" s="80">
        <f t="shared" si="2"/>
        <v>0.23372192852414381</v>
      </c>
      <c r="AD51" s="80">
        <f t="shared" si="3"/>
        <v>0.27122666965026615</v>
      </c>
      <c r="AE51" s="80">
        <f t="shared" si="4"/>
        <v>7.3030460686414361E-2</v>
      </c>
      <c r="AF51" s="128">
        <f t="shared" si="7"/>
        <v>0</v>
      </c>
      <c r="AG51" s="110">
        <f t="shared" si="8"/>
        <v>0</v>
      </c>
      <c r="AH51" s="110">
        <f t="shared" si="9"/>
        <v>0</v>
      </c>
      <c r="AI51" s="110">
        <f t="shared" si="10"/>
        <v>0</v>
      </c>
      <c r="AJ51" s="110">
        <f t="shared" si="11"/>
        <v>0</v>
      </c>
      <c r="AK51" s="110">
        <f t="shared" si="12"/>
        <v>0</v>
      </c>
      <c r="AL51" s="110">
        <f t="shared" si="13"/>
        <v>0</v>
      </c>
      <c r="AM51" s="110">
        <f t="shared" si="14"/>
        <v>0</v>
      </c>
      <c r="AN51" s="190"/>
      <c r="AP51" s="112">
        <f t="shared" si="6"/>
        <v>7.3030460686414361E-2</v>
      </c>
      <c r="AQ51" s="382">
        <f>'PDA Schedules FY 2018'!AP51</f>
        <v>9.8900546494640168E-2</v>
      </c>
    </row>
    <row r="52" spans="1:43">
      <c r="A52" s="33">
        <f>'UCC Fund Calc FY2022'!C51</f>
        <v>210061</v>
      </c>
      <c r="B52" s="33" t="str">
        <f>'UCC Fund Calc FY2022'!D51</f>
        <v>Atlantic General Hospital</v>
      </c>
      <c r="C52" s="87">
        <f>INDEX('Marcellas PDA FY 2020'!$B$7:$AE$63,MATCH($A52,'Marcellas PDA FY 2020'!$B$7:$B$63,0),MATCH(C$2,'Marcellas PDA FY 2020'!$B$7:$AE$7,0))</f>
        <v>40650</v>
      </c>
      <c r="D52" s="87">
        <f>INDEX('Marcellas PDA FY 2020'!$B$7:$AE$63,MATCH($A52,'Marcellas PDA FY 2020'!$B$7:$B$63,0),MATCH(D$2,'Marcellas PDA FY 2020'!$B$7:$AE$7,0))</f>
        <v>66507.5</v>
      </c>
      <c r="E52" s="87">
        <f>INDEX('Marcellas PDA FY 2020'!$B$7:$AE$63,MATCH($A52,'Marcellas PDA FY 2020'!$B$7:$B$63,0),MATCH(E$2,'Marcellas PDA FY 2020'!$B$7:$AE$7,0))</f>
        <v>107157.5</v>
      </c>
      <c r="F52" s="87">
        <f>INDEX('Marcellas PDA FY 2020'!$B$7:$AE$63,MATCH($A52,'Marcellas PDA FY 2020'!$B$7:$B$63,0),MATCH(F$2,'Marcellas PDA FY 2020'!$B$7:$AE$7,0))</f>
        <v>22283.3</v>
      </c>
      <c r="G52" s="87">
        <f>INDEX('Marcellas PDA FY 2020'!$B$7:$AE$63,MATCH($A52,'Marcellas PDA FY 2020'!$B$7:$B$63,0),MATCH(G$2,'Marcellas PDA FY 2020'!$B$7:$AE$7,0))</f>
        <v>30607.5</v>
      </c>
      <c r="H52" s="87">
        <f>INDEX('Marcellas PDA FY 2020'!$B$7:$AE$63,MATCH($A52,'Marcellas PDA FY 2020'!$B$7:$B$63,0),MATCH(H$2,'Marcellas PDA FY 2020'!$B$7:$AE$7,0))</f>
        <v>52890.8</v>
      </c>
      <c r="I52" s="87">
        <f>INDEX('Marcellas PDA FY 2020'!$B$7:$AE$63,MATCH($A52,'Marcellas PDA FY 2020'!$B$7:$B$63,0),MATCH(I$2,'Marcellas PDA FY 2020'!$B$7:$AE$7,0))</f>
        <v>826.9</v>
      </c>
      <c r="J52" s="87">
        <f>INDEX('Marcellas PDA FY 2020'!$B$7:$AE$63,MATCH($A52,'Marcellas PDA FY 2020'!$B$7:$B$63,0),MATCH(J$2,'Marcellas PDA FY 2020'!$B$7:$AE$7,0))</f>
        <v>988.2</v>
      </c>
      <c r="K52" s="87">
        <f>INDEX('Marcellas PDA FY 2020'!$B$7:$AE$63,MATCH($A52,'Marcellas PDA FY 2020'!$B$7:$B$63,0),MATCH(K$2,'Marcellas PDA FY 2020'!$B$7:$AE$7,0))</f>
        <v>1815.1</v>
      </c>
      <c r="L52" s="87">
        <f>INDEX('Marcellas PDA FY 2020'!$B$7:$AE$63,MATCH($A52,'Marcellas PDA FY 2020'!$B$7:$B$63,0),MATCH(L$2,'Marcellas PDA FY 2020'!$B$7:$AE$7,0))</f>
        <v>4085.7</v>
      </c>
      <c r="M52" s="87">
        <f>INDEX('Marcellas PDA FY 2020'!$B$7:$AE$63,MATCH($A52,'Marcellas PDA FY 2020'!$B$7:$B$63,0),MATCH(M$2,'Marcellas PDA FY 2020'!$B$7:$AE$7,0))</f>
        <v>13338.4</v>
      </c>
      <c r="N52" s="87">
        <f>INDEX('Marcellas PDA FY 2020'!$B$7:$AE$63,MATCH($A52,'Marcellas PDA FY 2020'!$B$7:$B$63,0),MATCH(N$2,'Marcellas PDA FY 2020'!$B$7:$AE$7,0))</f>
        <v>17424.099999999999</v>
      </c>
      <c r="O52" s="87">
        <f>INDEX('Marcellas PDA FY 2020'!$B$7:$AE$63,MATCH($A52,'Marcellas PDA FY 2020'!$B$7:$B$63,0),MATCH(O$2,'Marcellas PDA FY 2020'!$B$7:$AE$7,0))</f>
        <v>3289</v>
      </c>
      <c r="P52" s="87">
        <f>INDEX('Marcellas PDA FY 2020'!$B$7:$AE$63,MATCH($A52,'Marcellas PDA FY 2020'!$B$7:$B$63,0),MATCH(P$2,'Marcellas PDA FY 2020'!$B$7:$AE$7,0))</f>
        <v>8980.5</v>
      </c>
      <c r="Q52" s="87">
        <f>INDEX('Marcellas PDA FY 2020'!$B$7:$AE$63,MATCH($A52,'Marcellas PDA FY 2020'!$B$7:$B$63,0),MATCH(Q$2,'Marcellas PDA FY 2020'!$B$7:$AE$7,0))</f>
        <v>12269.5</v>
      </c>
      <c r="R52" s="87">
        <f>INDEX('Marcellas PDA FY 2020'!$B$7:$AE$63,MATCH($A52,'Marcellas PDA FY 2020'!$B$7:$B$63,0),MATCH(R$2,'Marcellas PDA FY 2020'!$B$7:$AE$7,0))</f>
        <v>1586.7239999999999</v>
      </c>
      <c r="S52" s="87">
        <f>INDEX('Marcellas PDA FY 2020'!$B$7:$AE$63,MATCH($A52,'Marcellas PDA FY 2020'!$B$7:$B$63,0),MATCH(S$2,'Marcellas PDA FY 2020'!$B$7:$AE$7,0))</f>
        <v>4592.1536699999997</v>
      </c>
      <c r="T52" s="87">
        <f>INDEX('Marcellas PDA FY 2020'!$B$7:$AE$63,MATCH($A52,'Marcellas PDA FY 2020'!$B$7:$B$63,0),MATCH(T$2,'Marcellas PDA FY 2020'!$B$7:$AE$7,0))</f>
        <v>1453.5</v>
      </c>
      <c r="U52" s="87">
        <f>INDEX('Marcellas PDA FY 2020'!$B$7:$AE$63,MATCH($A52,'Marcellas PDA FY 2020'!$B$7:$B$63,0),MATCH(U$2,'Marcellas PDA FY 2020'!$B$7:$AE$7,0))</f>
        <v>6045.6536699999997</v>
      </c>
      <c r="V52" s="87">
        <f>INDEX('Marcellas PDA FY 2020'!$B$7:$AE$63,MATCH($A52,'Marcellas PDA FY 2020'!$B$7:$B$63,0),MATCH(V$2,'Marcellas PDA FY 2020'!$B$7:$AE$7,0))</f>
        <v>5572.9463299999989</v>
      </c>
      <c r="W52" s="87">
        <f>INDEX('Marcellas PDA FY 2020'!$B$7:$AE$63,MATCH($A52,'Marcellas PDA FY 2020'!$B$7:$B$63,0),MATCH(W$2,'Marcellas PDA FY 2020'!$B$7:$AE$7,0))</f>
        <v>11139.400000000001</v>
      </c>
      <c r="X52" s="87">
        <f>INDEX('Marcellas PDA FY 2020'!$B$7:$AE$63,MATCH($A52,'Marcellas PDA FY 2020'!$B$7:$B$63,0),MATCH(X$2,'Marcellas PDA FY 2020'!$B$7:$AE$7,0))</f>
        <v>16712.34633</v>
      </c>
      <c r="Y52" s="87">
        <f>INDEX('Marcellas PDA FY 2020'!$B$7:$AE$63,MATCH($A52,'Marcellas PDA FY 2020'!$B$7:$B$63,0),MATCH(Y$2,'Marcellas PDA FY 2020'!$B$7:$AE$7,0))</f>
        <v>76691.296774949762</v>
      </c>
      <c r="Z52" s="87">
        <f>INDEX('Marcellas PDA FY 2020'!$B$7:$AE$63,MATCH($A52,'Marcellas PDA FY 2020'!$B$7:$B$63,0),MATCH(Z$2,'Marcellas PDA FY 2020'!$B$7:$AE$7,0))</f>
        <v>86304.155701531272</v>
      </c>
      <c r="AA52" s="131">
        <f t="shared" si="0"/>
        <v>0.49358001073186669</v>
      </c>
      <c r="AB52" s="80">
        <f t="shared" si="1"/>
        <v>1.6938618388820194E-2</v>
      </c>
      <c r="AC52" s="80">
        <f t="shared" si="2"/>
        <v>0.11449968504304411</v>
      </c>
      <c r="AD52" s="80">
        <f t="shared" si="3"/>
        <v>0.13143830343186433</v>
      </c>
      <c r="AE52" s="80">
        <f t="shared" si="4"/>
        <v>5.6418390406644425E-2</v>
      </c>
      <c r="AF52" s="128">
        <f t="shared" si="7"/>
        <v>0</v>
      </c>
      <c r="AG52" s="110">
        <f t="shared" si="8"/>
        <v>0</v>
      </c>
      <c r="AH52" s="110">
        <f t="shared" si="9"/>
        <v>0</v>
      </c>
      <c r="AI52" s="110">
        <f t="shared" si="10"/>
        <v>0</v>
      </c>
      <c r="AJ52" s="110">
        <f t="shared" si="11"/>
        <v>0</v>
      </c>
      <c r="AK52" s="110">
        <f t="shared" si="12"/>
        <v>0</v>
      </c>
      <c r="AL52" s="110">
        <f t="shared" si="13"/>
        <v>0</v>
      </c>
      <c r="AM52" s="110">
        <f t="shared" si="14"/>
        <v>0</v>
      </c>
      <c r="AN52" s="190"/>
      <c r="AP52" s="112">
        <f t="shared" si="6"/>
        <v>5.6418390406644425E-2</v>
      </c>
      <c r="AQ52" s="382">
        <f>'PDA Schedules FY 2018'!AP52</f>
        <v>4.9513511413395397E-2</v>
      </c>
    </row>
    <row r="53" spans="1:43">
      <c r="A53" s="33">
        <f>'UCC Fund Calc FY2022'!C52</f>
        <v>210062</v>
      </c>
      <c r="B53" s="33" t="str">
        <f>'UCC Fund Calc FY2022'!D52</f>
        <v>Medstar Southern Maryland Hospital Center</v>
      </c>
      <c r="C53" s="87">
        <f>INDEX('Marcellas PDA FY 2020'!$B$7:$AE$63,MATCH($A53,'Marcellas PDA FY 2020'!$B$7:$B$63,0),MATCH(C$2,'Marcellas PDA FY 2020'!$B$7:$AE$7,0))</f>
        <v>183403.6410700001</v>
      </c>
      <c r="D53" s="87">
        <f>INDEX('Marcellas PDA FY 2020'!$B$7:$AE$63,MATCH($A53,'Marcellas PDA FY 2020'!$B$7:$B$63,0),MATCH(D$2,'Marcellas PDA FY 2020'!$B$7:$AE$7,0))</f>
        <v>97978.772820000027</v>
      </c>
      <c r="E53" s="87">
        <f>INDEX('Marcellas PDA FY 2020'!$B$7:$AE$63,MATCH($A53,'Marcellas PDA FY 2020'!$B$7:$B$63,0),MATCH(E$2,'Marcellas PDA FY 2020'!$B$7:$AE$7,0))</f>
        <v>281382.41389000014</v>
      </c>
      <c r="F53" s="87">
        <f>INDEX('Marcellas PDA FY 2020'!$B$7:$AE$63,MATCH($A53,'Marcellas PDA FY 2020'!$B$7:$B$63,0),MATCH(F$2,'Marcellas PDA FY 2020'!$B$7:$AE$7,0))</f>
        <v>73752.018880698786</v>
      </c>
      <c r="G53" s="87">
        <f>INDEX('Marcellas PDA FY 2020'!$B$7:$AE$63,MATCH($A53,'Marcellas PDA FY 2020'!$B$7:$B$63,0),MATCH(G$2,'Marcellas PDA FY 2020'!$B$7:$AE$7,0))</f>
        <v>28078.617175080439</v>
      </c>
      <c r="H53" s="87">
        <f>INDEX('Marcellas PDA FY 2020'!$B$7:$AE$63,MATCH($A53,'Marcellas PDA FY 2020'!$B$7:$B$63,0),MATCH(H$2,'Marcellas PDA FY 2020'!$B$7:$AE$7,0))</f>
        <v>101830.63605577922</v>
      </c>
      <c r="I53" s="87">
        <f>INDEX('Marcellas PDA FY 2020'!$B$7:$AE$63,MATCH($A53,'Marcellas PDA FY 2020'!$B$7:$B$63,0),MATCH(I$2,'Marcellas PDA FY 2020'!$B$7:$AE$7,0))</f>
        <v>7798.7398779262176</v>
      </c>
      <c r="J53" s="87">
        <f>INDEX('Marcellas PDA FY 2020'!$B$7:$AE$63,MATCH($A53,'Marcellas PDA FY 2020'!$B$7:$B$63,0),MATCH(J$2,'Marcellas PDA FY 2020'!$B$7:$AE$7,0))</f>
        <v>2813.7153502760002</v>
      </c>
      <c r="K53" s="87">
        <f>INDEX('Marcellas PDA FY 2020'!$B$7:$AE$63,MATCH($A53,'Marcellas PDA FY 2020'!$B$7:$B$63,0),MATCH(K$2,'Marcellas PDA FY 2020'!$B$7:$AE$7,0))</f>
        <v>10612.455228202218</v>
      </c>
      <c r="L53" s="87">
        <f>INDEX('Marcellas PDA FY 2020'!$B$7:$AE$63,MATCH($A53,'Marcellas PDA FY 2020'!$B$7:$B$63,0),MATCH(L$2,'Marcellas PDA FY 2020'!$B$7:$AE$7,0))</f>
        <v>13520.176474210193</v>
      </c>
      <c r="M53" s="87">
        <f>INDEX('Marcellas PDA FY 2020'!$B$7:$AE$63,MATCH($A53,'Marcellas PDA FY 2020'!$B$7:$B$63,0),MATCH(M$2,'Marcellas PDA FY 2020'!$B$7:$AE$7,0))</f>
        <v>10957.239466066736</v>
      </c>
      <c r="N53" s="87">
        <f>INDEX('Marcellas PDA FY 2020'!$B$7:$AE$63,MATCH($A53,'Marcellas PDA FY 2020'!$B$7:$B$63,0),MATCH(N$2,'Marcellas PDA FY 2020'!$B$7:$AE$7,0))</f>
        <v>24477.415940276929</v>
      </c>
      <c r="O53" s="87">
        <f>INDEX('Marcellas PDA FY 2020'!$B$7:$AE$63,MATCH($A53,'Marcellas PDA FY 2020'!$B$7:$B$63,0),MATCH(O$2,'Marcellas PDA FY 2020'!$B$7:$AE$7,0))</f>
        <v>44572.771260406815</v>
      </c>
      <c r="P53" s="87">
        <f>INDEX('Marcellas PDA FY 2020'!$B$7:$AE$63,MATCH($A53,'Marcellas PDA FY 2020'!$B$7:$B$63,0),MATCH(P$2,'Marcellas PDA FY 2020'!$B$7:$AE$7,0))</f>
        <v>21098.574153654277</v>
      </c>
      <c r="Q53" s="87">
        <f>INDEX('Marcellas PDA FY 2020'!$B$7:$AE$63,MATCH($A53,'Marcellas PDA FY 2020'!$B$7:$B$63,0),MATCH(Q$2,'Marcellas PDA FY 2020'!$B$7:$AE$7,0))</f>
        <v>65671.345414061099</v>
      </c>
      <c r="R53" s="87">
        <f>INDEX('Marcellas PDA FY 2020'!$B$7:$AE$63,MATCH($A53,'Marcellas PDA FY 2020'!$B$7:$B$63,0),MATCH(R$2,'Marcellas PDA FY 2020'!$B$7:$AE$7,0))</f>
        <v>1864.7362300000043</v>
      </c>
      <c r="S53" s="87">
        <f>INDEX('Marcellas PDA FY 2020'!$B$7:$AE$63,MATCH($A53,'Marcellas PDA FY 2020'!$B$7:$B$63,0),MATCH(S$2,'Marcellas PDA FY 2020'!$B$7:$AE$7,0))</f>
        <v>5985.8691698534813</v>
      </c>
      <c r="T53" s="87">
        <f>INDEX('Marcellas PDA FY 2020'!$B$7:$AE$63,MATCH($A53,'Marcellas PDA FY 2020'!$B$7:$B$63,0),MATCH(T$2,'Marcellas PDA FY 2020'!$B$7:$AE$7,0))</f>
        <v>7877.1867401465188</v>
      </c>
      <c r="U53" s="87">
        <f>INDEX('Marcellas PDA FY 2020'!$B$7:$AE$63,MATCH($A53,'Marcellas PDA FY 2020'!$B$7:$B$63,0),MATCH(U$2,'Marcellas PDA FY 2020'!$B$7:$AE$7,0))</f>
        <v>13863.055909999999</v>
      </c>
      <c r="V53" s="87">
        <f>INDEX('Marcellas PDA FY 2020'!$B$7:$AE$63,MATCH($A53,'Marcellas PDA FY 2020'!$B$7:$B$63,0),MATCH(V$2,'Marcellas PDA FY 2020'!$B$7:$AE$7,0))</f>
        <v>37774.065406904607</v>
      </c>
      <c r="W53" s="87">
        <f>INDEX('Marcellas PDA FY 2020'!$B$7:$AE$63,MATCH($A53,'Marcellas PDA FY 2020'!$B$7:$B$63,0),MATCH(W$2,'Marcellas PDA FY 2020'!$B$7:$AE$7,0))</f>
        <v>27153.439934776055</v>
      </c>
      <c r="X53" s="87">
        <f>INDEX('Marcellas PDA FY 2020'!$B$7:$AE$63,MATCH($A53,'Marcellas PDA FY 2020'!$B$7:$B$63,0),MATCH(X$2,'Marcellas PDA FY 2020'!$B$7:$AE$7,0))</f>
        <v>64927.505341680662</v>
      </c>
      <c r="Y53" s="87">
        <f>INDEX('Marcellas PDA FY 2020'!$B$7:$AE$63,MATCH($A53,'Marcellas PDA FY 2020'!$B$7:$B$63,0),MATCH(Y$2,'Marcellas PDA FY 2020'!$B$7:$AE$7,0))</f>
        <v>205710.2496014277</v>
      </c>
      <c r="Z53" s="87">
        <f>INDEX('Marcellas PDA FY 2020'!$B$7:$AE$63,MATCH($A53,'Marcellas PDA FY 2020'!$B$7:$B$63,0),MATCH(Z$2,'Marcellas PDA FY 2020'!$B$7:$AE$7,0))</f>
        <v>229783.52008291421</v>
      </c>
      <c r="AA53" s="131">
        <f t="shared" si="0"/>
        <v>0.36189410222199431</v>
      </c>
      <c r="AB53" s="80">
        <f t="shared" si="1"/>
        <v>3.7715417539743293E-2</v>
      </c>
      <c r="AC53" s="80">
        <f t="shared" si="2"/>
        <v>0.23338823669248132</v>
      </c>
      <c r="AD53" s="80">
        <f t="shared" si="3"/>
        <v>0.27110365423222466</v>
      </c>
      <c r="AE53" s="80">
        <f t="shared" si="4"/>
        <v>4.9267669995252214E-2</v>
      </c>
      <c r="AF53" s="128">
        <f t="shared" si="7"/>
        <v>0</v>
      </c>
      <c r="AG53" s="110">
        <f t="shared" si="8"/>
        <v>0</v>
      </c>
      <c r="AH53" s="110">
        <f t="shared" si="9"/>
        <v>0</v>
      </c>
      <c r="AI53" s="110">
        <f t="shared" si="10"/>
        <v>0</v>
      </c>
      <c r="AJ53" s="110">
        <f t="shared" si="11"/>
        <v>0</v>
      </c>
      <c r="AK53" s="110">
        <f t="shared" si="12"/>
        <v>0</v>
      </c>
      <c r="AL53" s="110">
        <f t="shared" si="13"/>
        <v>0</v>
      </c>
      <c r="AM53" s="110">
        <f t="shared" si="14"/>
        <v>0</v>
      </c>
      <c r="AN53" s="190"/>
      <c r="AP53" s="112">
        <f t="shared" si="6"/>
        <v>4.9267669995252214E-2</v>
      </c>
      <c r="AQ53" s="382">
        <f>'PDA Schedules FY 2018'!AP53</f>
        <v>5.0678897035373593E-2</v>
      </c>
    </row>
    <row r="54" spans="1:43">
      <c r="A54" s="33">
        <f>'UCC Fund Calc FY2022'!C53</f>
        <v>210063</v>
      </c>
      <c r="B54" s="33" t="str">
        <f>'UCC Fund Calc FY2022'!D53</f>
        <v>UM St. Joseph Medical Center</v>
      </c>
      <c r="C54" s="87">
        <f>INDEX('Marcellas PDA FY 2020'!$B$7:$AE$63,MATCH($A54,'Marcellas PDA FY 2020'!$B$7:$B$63,0),MATCH(C$2,'Marcellas PDA FY 2020'!$B$7:$AE$7,0))</f>
        <v>250314.93859000001</v>
      </c>
      <c r="D54" s="87">
        <f>INDEX('Marcellas PDA FY 2020'!$B$7:$AE$63,MATCH($A54,'Marcellas PDA FY 2020'!$B$7:$B$63,0),MATCH(D$2,'Marcellas PDA FY 2020'!$B$7:$AE$7,0))</f>
        <v>122583.34742999999</v>
      </c>
      <c r="E54" s="87">
        <f>INDEX('Marcellas PDA FY 2020'!$B$7:$AE$63,MATCH($A54,'Marcellas PDA FY 2020'!$B$7:$B$63,0),MATCH(E$2,'Marcellas PDA FY 2020'!$B$7:$AE$7,0))</f>
        <v>372898.28602</v>
      </c>
      <c r="F54" s="87">
        <f>INDEX('Marcellas PDA FY 2020'!$B$7:$AE$63,MATCH($A54,'Marcellas PDA FY 2020'!$B$7:$B$63,0),MATCH(F$2,'Marcellas PDA FY 2020'!$B$7:$AE$7,0))</f>
        <v>121073.78043378367</v>
      </c>
      <c r="G54" s="87">
        <f>INDEX('Marcellas PDA FY 2020'!$B$7:$AE$63,MATCH($A54,'Marcellas PDA FY 2020'!$B$7:$B$63,0),MATCH(G$2,'Marcellas PDA FY 2020'!$B$7:$AE$7,0))</f>
        <v>42069.11214267624</v>
      </c>
      <c r="H54" s="87">
        <f>INDEX('Marcellas PDA FY 2020'!$B$7:$AE$63,MATCH($A54,'Marcellas PDA FY 2020'!$B$7:$B$63,0),MATCH(H$2,'Marcellas PDA FY 2020'!$B$7:$AE$7,0))</f>
        <v>163142.89257645991</v>
      </c>
      <c r="I54" s="87">
        <f>INDEX('Marcellas PDA FY 2020'!$B$7:$AE$63,MATCH($A54,'Marcellas PDA FY 2020'!$B$7:$B$63,0),MATCH(I$2,'Marcellas PDA FY 2020'!$B$7:$AE$7,0))</f>
        <v>9805.6497143755987</v>
      </c>
      <c r="J54" s="87">
        <f>INDEX('Marcellas PDA FY 2020'!$B$7:$AE$63,MATCH($A54,'Marcellas PDA FY 2020'!$B$7:$B$63,0),MATCH(J$2,'Marcellas PDA FY 2020'!$B$7:$AE$7,0))</f>
        <v>1185.6588613427482</v>
      </c>
      <c r="K54" s="87">
        <f>INDEX('Marcellas PDA FY 2020'!$B$7:$AE$63,MATCH($A54,'Marcellas PDA FY 2020'!$B$7:$B$63,0),MATCH(K$2,'Marcellas PDA FY 2020'!$B$7:$AE$7,0))</f>
        <v>10991.308575718347</v>
      </c>
      <c r="L54" s="87">
        <f>INDEX('Marcellas PDA FY 2020'!$B$7:$AE$63,MATCH($A54,'Marcellas PDA FY 2020'!$B$7:$B$63,0),MATCH(L$2,'Marcellas PDA FY 2020'!$B$7:$AE$7,0))</f>
        <v>22389.212441343418</v>
      </c>
      <c r="M54" s="87">
        <f>INDEX('Marcellas PDA FY 2020'!$B$7:$AE$63,MATCH($A54,'Marcellas PDA FY 2020'!$B$7:$B$63,0),MATCH(M$2,'Marcellas PDA FY 2020'!$B$7:$AE$7,0))</f>
        <v>17288.495470347221</v>
      </c>
      <c r="N54" s="87">
        <f>INDEX('Marcellas PDA FY 2020'!$B$7:$AE$63,MATCH($A54,'Marcellas PDA FY 2020'!$B$7:$B$63,0),MATCH(N$2,'Marcellas PDA FY 2020'!$B$7:$AE$7,0))</f>
        <v>39677.707911690639</v>
      </c>
      <c r="O54" s="87">
        <f>INDEX('Marcellas PDA FY 2020'!$B$7:$AE$63,MATCH($A54,'Marcellas PDA FY 2020'!$B$7:$B$63,0),MATCH(O$2,'Marcellas PDA FY 2020'!$B$7:$AE$7,0))</f>
        <v>33263.640301253014</v>
      </c>
      <c r="P54" s="87">
        <f>INDEX('Marcellas PDA FY 2020'!$B$7:$AE$63,MATCH($A54,'Marcellas PDA FY 2020'!$B$7:$B$63,0),MATCH(P$2,'Marcellas PDA FY 2020'!$B$7:$AE$7,0))</f>
        <v>17265.106934930147</v>
      </c>
      <c r="Q54" s="87">
        <f>INDEX('Marcellas PDA FY 2020'!$B$7:$AE$63,MATCH($A54,'Marcellas PDA FY 2020'!$B$7:$B$63,0),MATCH(Q$2,'Marcellas PDA FY 2020'!$B$7:$AE$7,0))</f>
        <v>50528.747236183161</v>
      </c>
      <c r="R54" s="87">
        <f>INDEX('Marcellas PDA FY 2020'!$B$7:$AE$63,MATCH($A54,'Marcellas PDA FY 2020'!$B$7:$B$63,0),MATCH(R$2,'Marcellas PDA FY 2020'!$B$7:$AE$7,0))</f>
        <v>966.3321699999974</v>
      </c>
      <c r="S54" s="87">
        <f>INDEX('Marcellas PDA FY 2020'!$B$7:$AE$63,MATCH($A54,'Marcellas PDA FY 2020'!$B$7:$B$63,0),MATCH(S$2,'Marcellas PDA FY 2020'!$B$7:$AE$7,0))</f>
        <v>9255.1369357626536</v>
      </c>
      <c r="T54" s="87">
        <f>INDEX('Marcellas PDA FY 2020'!$B$7:$AE$63,MATCH($A54,'Marcellas PDA FY 2020'!$B$7:$B$63,0),MATCH(T$2,'Marcellas PDA FY 2020'!$B$7:$AE$7,0))</f>
        <v>4532.3929642373441</v>
      </c>
      <c r="U54" s="87">
        <f>INDEX('Marcellas PDA FY 2020'!$B$7:$AE$63,MATCH($A54,'Marcellas PDA FY 2020'!$B$7:$B$63,0),MATCH(U$2,'Marcellas PDA FY 2020'!$B$7:$AE$7,0))</f>
        <v>13787.529899999998</v>
      </c>
      <c r="V54" s="87">
        <f>INDEX('Marcellas PDA FY 2020'!$B$7:$AE$63,MATCH($A54,'Marcellas PDA FY 2020'!$B$7:$B$63,0),MATCH(V$2,'Marcellas PDA FY 2020'!$B$7:$AE$7,0))</f>
        <v>54527.518763481647</v>
      </c>
      <c r="W54" s="87">
        <f>INDEX('Marcellas PDA FY 2020'!$B$7:$AE$63,MATCH($A54,'Marcellas PDA FY 2020'!$B$7:$B$63,0),MATCH(W$2,'Marcellas PDA FY 2020'!$B$7:$AE$7,0))</f>
        <v>40242.581056466297</v>
      </c>
      <c r="X54" s="87">
        <f>INDEX('Marcellas PDA FY 2020'!$B$7:$AE$63,MATCH($A54,'Marcellas PDA FY 2020'!$B$7:$B$63,0),MATCH(X$2,'Marcellas PDA FY 2020'!$B$7:$AE$7,0))</f>
        <v>94770.099819947936</v>
      </c>
      <c r="Y54" s="87">
        <f>INDEX('Marcellas PDA FY 2020'!$B$7:$AE$63,MATCH($A54,'Marcellas PDA FY 2020'!$B$7:$B$63,0),MATCH(Y$2,'Marcellas PDA FY 2020'!$B$7:$AE$7,0))</f>
        <v>290648.15942755278</v>
      </c>
      <c r="Z54" s="87">
        <f>INDEX('Marcellas PDA FY 2020'!$B$7:$AE$63,MATCH($A54,'Marcellas PDA FY 2020'!$B$7:$B$63,0),MATCH(Z$2,'Marcellas PDA FY 2020'!$B$7:$AE$7,0))</f>
        <v>319728.94583115232</v>
      </c>
      <c r="AA54" s="131">
        <f t="shared" si="0"/>
        <v>0.43749971156399986</v>
      </c>
      <c r="AB54" s="80">
        <f t="shared" si="1"/>
        <v>2.9475352898588651E-2</v>
      </c>
      <c r="AC54" s="80">
        <f t="shared" si="2"/>
        <v>0.13550276075410309</v>
      </c>
      <c r="AD54" s="80">
        <f t="shared" si="3"/>
        <v>0.16497811365269172</v>
      </c>
      <c r="AE54" s="80">
        <f t="shared" si="4"/>
        <v>3.6973969623610763E-2</v>
      </c>
      <c r="AF54" s="128">
        <f t="shared" si="7"/>
        <v>0</v>
      </c>
      <c r="AG54" s="110">
        <f t="shared" si="8"/>
        <v>0</v>
      </c>
      <c r="AH54" s="110">
        <f t="shared" si="9"/>
        <v>0</v>
      </c>
      <c r="AI54" s="110">
        <f t="shared" si="10"/>
        <v>0</v>
      </c>
      <c r="AJ54" s="110">
        <f t="shared" si="11"/>
        <v>0</v>
      </c>
      <c r="AK54" s="110">
        <f t="shared" si="12"/>
        <v>0</v>
      </c>
      <c r="AL54" s="110">
        <f t="shared" si="13"/>
        <v>0</v>
      </c>
      <c r="AM54" s="110">
        <f t="shared" si="14"/>
        <v>0</v>
      </c>
      <c r="AN54" s="190"/>
      <c r="AP54" s="112">
        <f t="shared" si="6"/>
        <v>3.6973969623610763E-2</v>
      </c>
      <c r="AQ54" s="382">
        <f>'PDA Schedules FY 2018'!AP54</f>
        <v>3.9084426592376389E-2</v>
      </c>
    </row>
    <row r="55" spans="1:43">
      <c r="A55" s="33">
        <f>'UCC Fund Calc FY2022'!C54</f>
        <v>210064</v>
      </c>
      <c r="B55" s="33" t="str">
        <f>'UCC Fund Calc FY2022'!D54</f>
        <v>Levindale Hospital</v>
      </c>
      <c r="C55" s="87">
        <f>INDEX('Marcellas PDA FY 2020'!$B$7:$AE$63,MATCH($A55,'Marcellas PDA FY 2020'!$B$7:$B$63,0),MATCH(C$2,'Marcellas PDA FY 2020'!$B$7:$AE$7,0))</f>
        <v>60865.466</v>
      </c>
      <c r="D55" s="87">
        <f>INDEX('Marcellas PDA FY 2020'!$B$7:$AE$63,MATCH($A55,'Marcellas PDA FY 2020'!$B$7:$B$63,0),MATCH(D$2,'Marcellas PDA FY 2020'!$B$7:$AE$7,0))</f>
        <v>2360.8500000000004</v>
      </c>
      <c r="E55" s="87">
        <f>INDEX('Marcellas PDA FY 2020'!$B$7:$AE$63,MATCH($A55,'Marcellas PDA FY 2020'!$B$7:$B$63,0),MATCH(E$2,'Marcellas PDA FY 2020'!$B$7:$AE$7,0))</f>
        <v>63226.315999999999</v>
      </c>
      <c r="F55" s="87">
        <f>INDEX('Marcellas PDA FY 2020'!$B$7:$AE$63,MATCH($A55,'Marcellas PDA FY 2020'!$B$7:$B$63,0),MATCH(F$2,'Marcellas PDA FY 2020'!$B$7:$AE$7,0))</f>
        <v>48643.13</v>
      </c>
      <c r="G55" s="87">
        <f>INDEX('Marcellas PDA FY 2020'!$B$7:$AE$63,MATCH($A55,'Marcellas PDA FY 2020'!$B$7:$B$63,0),MATCH(G$2,'Marcellas PDA FY 2020'!$B$7:$AE$7,0))</f>
        <v>2153.65</v>
      </c>
      <c r="H55" s="87">
        <f>INDEX('Marcellas PDA FY 2020'!$B$7:$AE$63,MATCH($A55,'Marcellas PDA FY 2020'!$B$7:$B$63,0),MATCH(H$2,'Marcellas PDA FY 2020'!$B$7:$AE$7,0))</f>
        <v>50796.78</v>
      </c>
      <c r="I55" s="87">
        <f>INDEX('Marcellas PDA FY 2020'!$B$7:$AE$63,MATCH($A55,'Marcellas PDA FY 2020'!$B$7:$B$63,0),MATCH(I$2,'Marcellas PDA FY 2020'!$B$7:$AE$7,0))</f>
        <v>2063.73</v>
      </c>
      <c r="J55" s="87">
        <f>INDEX('Marcellas PDA FY 2020'!$B$7:$AE$63,MATCH($A55,'Marcellas PDA FY 2020'!$B$7:$B$63,0),MATCH(J$2,'Marcellas PDA FY 2020'!$B$7:$AE$7,0))</f>
        <v>0</v>
      </c>
      <c r="K55" s="87">
        <f>INDEX('Marcellas PDA FY 2020'!$B$7:$AE$63,MATCH($A55,'Marcellas PDA FY 2020'!$B$7:$B$63,0),MATCH(K$2,'Marcellas PDA FY 2020'!$B$7:$AE$7,0))</f>
        <v>2063.73</v>
      </c>
      <c r="L55" s="87">
        <f>INDEX('Marcellas PDA FY 2020'!$B$7:$AE$63,MATCH($A55,'Marcellas PDA FY 2020'!$B$7:$B$63,0),MATCH(L$2,'Marcellas PDA FY 2020'!$B$7:$AE$7,0))</f>
        <v>2279.61</v>
      </c>
      <c r="M55" s="87">
        <f>INDEX('Marcellas PDA FY 2020'!$B$7:$AE$63,MATCH($A55,'Marcellas PDA FY 2020'!$B$7:$B$63,0),MATCH(M$2,'Marcellas PDA FY 2020'!$B$7:$AE$7,0))</f>
        <v>45.44</v>
      </c>
      <c r="N55" s="87">
        <f>INDEX('Marcellas PDA FY 2020'!$B$7:$AE$63,MATCH($A55,'Marcellas PDA FY 2020'!$B$7:$B$63,0),MATCH(N$2,'Marcellas PDA FY 2020'!$B$7:$AE$7,0))</f>
        <v>2325.0500000000002</v>
      </c>
      <c r="O55" s="87">
        <f>INDEX('Marcellas PDA FY 2020'!$B$7:$AE$63,MATCH($A55,'Marcellas PDA FY 2020'!$B$7:$B$63,0),MATCH(O$2,'Marcellas PDA FY 2020'!$B$7:$AE$7,0))</f>
        <v>4428.53</v>
      </c>
      <c r="P55" s="87">
        <f>INDEX('Marcellas PDA FY 2020'!$B$7:$AE$63,MATCH($A55,'Marcellas PDA FY 2020'!$B$7:$B$63,0),MATCH(P$2,'Marcellas PDA FY 2020'!$B$7:$AE$7,0))</f>
        <v>94.9</v>
      </c>
      <c r="Q55" s="87">
        <f>INDEX('Marcellas PDA FY 2020'!$B$7:$AE$63,MATCH($A55,'Marcellas PDA FY 2020'!$B$7:$B$63,0),MATCH(Q$2,'Marcellas PDA FY 2020'!$B$7:$AE$7,0))</f>
        <v>4523.4299999999994</v>
      </c>
      <c r="R55" s="87">
        <f>INDEX('Marcellas PDA FY 2020'!$B$7:$AE$63,MATCH($A55,'Marcellas PDA FY 2020'!$B$7:$B$63,0),MATCH(R$2,'Marcellas PDA FY 2020'!$B$7:$AE$7,0))</f>
        <v>0</v>
      </c>
      <c r="S55" s="87">
        <f>INDEX('Marcellas PDA FY 2020'!$B$7:$AE$63,MATCH($A55,'Marcellas PDA FY 2020'!$B$7:$B$63,0),MATCH(S$2,'Marcellas PDA FY 2020'!$B$7:$AE$7,0))</f>
        <v>3033.096</v>
      </c>
      <c r="T55" s="87">
        <f>INDEX('Marcellas PDA FY 2020'!$B$7:$AE$63,MATCH($A55,'Marcellas PDA FY 2020'!$B$7:$B$63,0),MATCH(T$2,'Marcellas PDA FY 2020'!$B$7:$AE$7,0))</f>
        <v>0</v>
      </c>
      <c r="U55" s="87">
        <f>INDEX('Marcellas PDA FY 2020'!$B$7:$AE$63,MATCH($A55,'Marcellas PDA FY 2020'!$B$7:$B$63,0),MATCH(U$2,'Marcellas PDA FY 2020'!$B$7:$AE$7,0))</f>
        <v>3033.096</v>
      </c>
      <c r="V55" s="87">
        <f>INDEX('Marcellas PDA FY 2020'!$B$7:$AE$63,MATCH($A55,'Marcellas PDA FY 2020'!$B$7:$B$63,0),MATCH(V$2,'Marcellas PDA FY 2020'!$B$7:$AE$7,0))</f>
        <v>417.37000000000307</v>
      </c>
      <c r="W55" s="87">
        <f>INDEX('Marcellas PDA FY 2020'!$B$7:$AE$63,MATCH($A55,'Marcellas PDA FY 2020'!$B$7:$B$63,0),MATCH(W$2,'Marcellas PDA FY 2020'!$B$7:$AE$7,0))</f>
        <v>66.860000000000269</v>
      </c>
      <c r="X55" s="87">
        <f>INDEX('Marcellas PDA FY 2020'!$B$7:$AE$63,MATCH($A55,'Marcellas PDA FY 2020'!$B$7:$B$63,0),MATCH(X$2,'Marcellas PDA FY 2020'!$B$7:$AE$7,0))</f>
        <v>484.23000000000332</v>
      </c>
      <c r="Y55" s="87">
        <f>INDEX('Marcellas PDA FY 2020'!$B$7:$AE$63,MATCH($A55,'Marcellas PDA FY 2020'!$B$7:$B$63,0),MATCH(Y$2,'Marcellas PDA FY 2020'!$B$7:$AE$7,0))</f>
        <v>44276.550171644718</v>
      </c>
      <c r="Z55" s="87">
        <f>INDEX('Marcellas PDA FY 2020'!$B$7:$AE$63,MATCH($A55,'Marcellas PDA FY 2020'!$B$7:$B$63,0),MATCH(Z$2,'Marcellas PDA FY 2020'!$B$7:$AE$7,0))</f>
        <v>50254.624167757196</v>
      </c>
      <c r="AA55" s="131">
        <f t="shared" si="0"/>
        <v>0.80341198433892624</v>
      </c>
      <c r="AB55" s="80">
        <f t="shared" si="1"/>
        <v>3.2640364496327762E-2</v>
      </c>
      <c r="AC55" s="80">
        <f t="shared" si="2"/>
        <v>7.1543469336407317E-2</v>
      </c>
      <c r="AD55" s="80">
        <f t="shared" si="3"/>
        <v>0.10418383383273509</v>
      </c>
      <c r="AE55" s="80">
        <f t="shared" si="4"/>
        <v>4.7972050119130777E-2</v>
      </c>
      <c r="AF55" s="128">
        <f t="shared" si="7"/>
        <v>0</v>
      </c>
      <c r="AG55" s="110">
        <f t="shared" si="8"/>
        <v>0</v>
      </c>
      <c r="AH55" s="110">
        <f t="shared" si="9"/>
        <v>0</v>
      </c>
      <c r="AI55" s="110">
        <f t="shared" si="10"/>
        <v>0</v>
      </c>
      <c r="AJ55" s="110">
        <f t="shared" si="11"/>
        <v>0</v>
      </c>
      <c r="AK55" s="110">
        <f t="shared" si="12"/>
        <v>0</v>
      </c>
      <c r="AL55" s="110">
        <f t="shared" si="13"/>
        <v>0</v>
      </c>
      <c r="AM55" s="110">
        <f t="shared" si="14"/>
        <v>0</v>
      </c>
      <c r="AN55" s="190"/>
      <c r="AP55" s="112">
        <f t="shared" si="6"/>
        <v>4.7972050119130777E-2</v>
      </c>
      <c r="AQ55" s="382">
        <f>'PDA Schedules FY 2018'!AP55</f>
        <v>3.1207410764895235E-2</v>
      </c>
    </row>
    <row r="56" spans="1:43">
      <c r="A56" s="33">
        <f>'UCC Fund Calc FY2022'!C55</f>
        <v>210065</v>
      </c>
      <c r="B56" s="33" t="str">
        <f>'UCC Fund Calc FY2022'!D55</f>
        <v>Holy Cross Germantown Hospital</v>
      </c>
      <c r="C56" s="87">
        <f>INDEX('Marcellas PDA FY 2020'!$B$7:$AE$63,MATCH($A56,'Marcellas PDA FY 2020'!$B$7:$B$63,0),MATCH(C$2,'Marcellas PDA FY 2020'!$B$7:$AE$7,0))</f>
        <v>74819.399999999994</v>
      </c>
      <c r="D56" s="87">
        <f>INDEX('Marcellas PDA FY 2020'!$B$7:$AE$63,MATCH($A56,'Marcellas PDA FY 2020'!$B$7:$B$63,0),MATCH(D$2,'Marcellas PDA FY 2020'!$B$7:$AE$7,0))</f>
        <v>44627.7</v>
      </c>
      <c r="E56" s="87">
        <f>INDEX('Marcellas PDA FY 2020'!$B$7:$AE$63,MATCH($A56,'Marcellas PDA FY 2020'!$B$7:$B$63,0),MATCH(E$2,'Marcellas PDA FY 2020'!$B$7:$AE$7,0))</f>
        <v>119447.09999999999</v>
      </c>
      <c r="F56" s="87">
        <f>INDEX('Marcellas PDA FY 2020'!$B$7:$AE$63,MATCH($A56,'Marcellas PDA FY 2020'!$B$7:$B$63,0),MATCH(F$2,'Marcellas PDA FY 2020'!$B$7:$AE$7,0))</f>
        <v>23910.145128712436</v>
      </c>
      <c r="G56" s="87">
        <f>INDEX('Marcellas PDA FY 2020'!$B$7:$AE$63,MATCH($A56,'Marcellas PDA FY 2020'!$B$7:$B$63,0),MATCH(G$2,'Marcellas PDA FY 2020'!$B$7:$AE$7,0))</f>
        <v>8365.8139626120592</v>
      </c>
      <c r="H56" s="87">
        <f>INDEX('Marcellas PDA FY 2020'!$B$7:$AE$63,MATCH($A56,'Marcellas PDA FY 2020'!$B$7:$B$63,0),MATCH(H$2,'Marcellas PDA FY 2020'!$B$7:$AE$7,0))</f>
        <v>32275.959091324497</v>
      </c>
      <c r="I56" s="87">
        <f>INDEX('Marcellas PDA FY 2020'!$B$7:$AE$63,MATCH($A56,'Marcellas PDA FY 2020'!$B$7:$B$63,0),MATCH(I$2,'Marcellas PDA FY 2020'!$B$7:$AE$7,0))</f>
        <v>7065.0596842141495</v>
      </c>
      <c r="J56" s="87">
        <f>INDEX('Marcellas PDA FY 2020'!$B$7:$AE$63,MATCH($A56,'Marcellas PDA FY 2020'!$B$7:$B$63,0),MATCH(J$2,'Marcellas PDA FY 2020'!$B$7:$AE$7,0))</f>
        <v>3074.6346178134891</v>
      </c>
      <c r="K56" s="87">
        <f>INDEX('Marcellas PDA FY 2020'!$B$7:$AE$63,MATCH($A56,'Marcellas PDA FY 2020'!$B$7:$B$63,0),MATCH(K$2,'Marcellas PDA FY 2020'!$B$7:$AE$7,0))</f>
        <v>10139.694302027638</v>
      </c>
      <c r="L56" s="87">
        <f>INDEX('Marcellas PDA FY 2020'!$B$7:$AE$63,MATCH($A56,'Marcellas PDA FY 2020'!$B$7:$B$63,0),MATCH(L$2,'Marcellas PDA FY 2020'!$B$7:$AE$7,0))</f>
        <v>9881.5090032047283</v>
      </c>
      <c r="M56" s="87">
        <f>INDEX('Marcellas PDA FY 2020'!$B$7:$AE$63,MATCH($A56,'Marcellas PDA FY 2020'!$B$7:$B$63,0),MATCH(M$2,'Marcellas PDA FY 2020'!$B$7:$AE$7,0))</f>
        <v>6698.8991289675478</v>
      </c>
      <c r="N56" s="87">
        <f>INDEX('Marcellas PDA FY 2020'!$B$7:$AE$63,MATCH($A56,'Marcellas PDA FY 2020'!$B$7:$B$63,0),MATCH(N$2,'Marcellas PDA FY 2020'!$B$7:$AE$7,0))</f>
        <v>16580.408132172277</v>
      </c>
      <c r="O56" s="87">
        <f>INDEX('Marcellas PDA FY 2020'!$B$7:$AE$63,MATCH($A56,'Marcellas PDA FY 2020'!$B$7:$B$63,0),MATCH(O$2,'Marcellas PDA FY 2020'!$B$7:$AE$7,0))</f>
        <v>15539.29256289263</v>
      </c>
      <c r="P56" s="87">
        <f>INDEX('Marcellas PDA FY 2020'!$B$7:$AE$63,MATCH($A56,'Marcellas PDA FY 2020'!$B$7:$B$63,0),MATCH(P$2,'Marcellas PDA FY 2020'!$B$7:$AE$7,0))</f>
        <v>7979.5307707101365</v>
      </c>
      <c r="Q56" s="87">
        <f>INDEX('Marcellas PDA FY 2020'!$B$7:$AE$63,MATCH($A56,'Marcellas PDA FY 2020'!$B$7:$B$63,0),MATCH(Q$2,'Marcellas PDA FY 2020'!$B$7:$AE$7,0))</f>
        <v>23518.823333602766</v>
      </c>
      <c r="R56" s="87">
        <f>INDEX('Marcellas PDA FY 2020'!$B$7:$AE$63,MATCH($A56,'Marcellas PDA FY 2020'!$B$7:$B$63,0),MATCH(R$2,'Marcellas PDA FY 2020'!$B$7:$AE$7,0))</f>
        <v>1428.9965100000002</v>
      </c>
      <c r="S56" s="87">
        <f>INDEX('Marcellas PDA FY 2020'!$B$7:$AE$63,MATCH($A56,'Marcellas PDA FY 2020'!$B$7:$B$63,0),MATCH(S$2,'Marcellas PDA FY 2020'!$B$7:$AE$7,0))</f>
        <v>2925.17402392239</v>
      </c>
      <c r="T56" s="87">
        <f>INDEX('Marcellas PDA FY 2020'!$B$7:$AE$63,MATCH($A56,'Marcellas PDA FY 2020'!$B$7:$B$63,0),MATCH(T$2,'Marcellas PDA FY 2020'!$B$7:$AE$7,0))</f>
        <v>7439.54281607761</v>
      </c>
      <c r="U56" s="87">
        <f>INDEX('Marcellas PDA FY 2020'!$B$7:$AE$63,MATCH($A56,'Marcellas PDA FY 2020'!$B$7:$B$63,0),MATCH(U$2,'Marcellas PDA FY 2020'!$B$7:$AE$7,0))</f>
        <v>10364.716840000001</v>
      </c>
      <c r="V56" s="87">
        <f>INDEX('Marcellas PDA FY 2020'!$B$7:$AE$63,MATCH($A56,'Marcellas PDA FY 2020'!$B$7:$B$63,0),MATCH(V$2,'Marcellas PDA FY 2020'!$B$7:$AE$7,0))</f>
        <v>15498.219597053652</v>
      </c>
      <c r="W56" s="87">
        <f>INDEX('Marcellas PDA FY 2020'!$B$7:$AE$63,MATCH($A56,'Marcellas PDA FY 2020'!$B$7:$B$63,0),MATCH(W$2,'Marcellas PDA FY 2020'!$B$7:$AE$7,0))</f>
        <v>11069.278703819149</v>
      </c>
      <c r="X56" s="87">
        <f>INDEX('Marcellas PDA FY 2020'!$B$7:$AE$63,MATCH($A56,'Marcellas PDA FY 2020'!$B$7:$B$63,0),MATCH(X$2,'Marcellas PDA FY 2020'!$B$7:$AE$7,0))</f>
        <v>26567.498300872801</v>
      </c>
      <c r="Y56" s="87">
        <f>INDEX('Marcellas PDA FY 2020'!$B$7:$AE$63,MATCH($A56,'Marcellas PDA FY 2020'!$B$7:$B$63,0),MATCH(Y$2,'Marcellas PDA FY 2020'!$B$7:$AE$7,0))</f>
        <v>99279.614702527862</v>
      </c>
      <c r="Z56" s="87">
        <f>INDEX('Marcellas PDA FY 2020'!$B$7:$AE$63,MATCH($A56,'Marcellas PDA FY 2020'!$B$7:$B$63,0),MATCH(Z$2,'Marcellas PDA FY 2020'!$B$7:$AE$7,0))</f>
        <v>115064.30924061999</v>
      </c>
      <c r="AA56" s="131">
        <f t="shared" si="0"/>
        <v>0.27021132443838736</v>
      </c>
      <c r="AB56" s="80">
        <f t="shared" si="1"/>
        <v>8.4888576633736931E-2</v>
      </c>
      <c r="AC56" s="80">
        <f t="shared" si="2"/>
        <v>0.19689739921356625</v>
      </c>
      <c r="AD56" s="80">
        <f t="shared" si="3"/>
        <v>0.28178597584730314</v>
      </c>
      <c r="AE56" s="80">
        <f t="shared" si="4"/>
        <v>8.6772444370771681E-2</v>
      </c>
      <c r="AF56" s="128">
        <f t="shared" si="7"/>
        <v>0</v>
      </c>
      <c r="AG56" s="110">
        <f t="shared" si="8"/>
        <v>0</v>
      </c>
      <c r="AH56" s="110">
        <f t="shared" si="9"/>
        <v>0</v>
      </c>
      <c r="AI56" s="110">
        <f t="shared" si="10"/>
        <v>0</v>
      </c>
      <c r="AJ56" s="110">
        <f t="shared" si="11"/>
        <v>0</v>
      </c>
      <c r="AK56" s="110">
        <f t="shared" si="12"/>
        <v>0</v>
      </c>
      <c r="AL56" s="110">
        <f t="shared" si="13"/>
        <v>0</v>
      </c>
      <c r="AM56" s="110">
        <f t="shared" si="14"/>
        <v>0</v>
      </c>
      <c r="AN56" s="190"/>
      <c r="AP56" s="112">
        <f t="shared" si="6"/>
        <v>8.6772444370771681E-2</v>
      </c>
      <c r="AQ56" s="382">
        <f>'PDA Schedules FY 2018'!AP56</f>
        <v>9.0915385023931192E-2</v>
      </c>
    </row>
    <row r="57" spans="1:43">
      <c r="A57" s="33">
        <f>'UCC Fund Calc FY2022'!C56</f>
        <v>218992</v>
      </c>
      <c r="B57" s="33" t="str">
        <f>'UCC Fund Calc FY2022'!D56</f>
        <v>UM Shock Trauma Center</v>
      </c>
      <c r="C57" s="87">
        <f>INDEX('Marcellas PDA FY 2020'!$B$7:$AE$63,MATCH($A57,'Marcellas PDA FY 2020'!$B$7:$B$63,0),MATCH(C$2,'Marcellas PDA FY 2020'!$B$7:$AE$7,0))</f>
        <v>193198.45456000004</v>
      </c>
      <c r="D57" s="87">
        <f>INDEX('Marcellas PDA FY 2020'!$B$7:$AE$63,MATCH($A57,'Marcellas PDA FY 2020'!$B$7:$B$63,0),MATCH(D$2,'Marcellas PDA FY 2020'!$B$7:$AE$7,0))</f>
        <v>27576.068010000025</v>
      </c>
      <c r="E57" s="87">
        <f>INDEX('Marcellas PDA FY 2020'!$B$7:$AE$63,MATCH($A57,'Marcellas PDA FY 2020'!$B$7:$B$63,0),MATCH(E$2,'Marcellas PDA FY 2020'!$B$7:$AE$7,0))</f>
        <v>220774.52257000006</v>
      </c>
      <c r="F57" s="87">
        <f>INDEX('Marcellas PDA FY 2020'!$B$7:$AE$63,MATCH($A57,'Marcellas PDA FY 2020'!$B$7:$B$63,0),MATCH(F$2,'Marcellas PDA FY 2020'!$B$7:$AE$7,0))</f>
        <v>58852.612371896917</v>
      </c>
      <c r="G57" s="87">
        <f>INDEX('Marcellas PDA FY 2020'!$B$7:$AE$63,MATCH($A57,'Marcellas PDA FY 2020'!$B$7:$B$63,0),MATCH(G$2,'Marcellas PDA FY 2020'!$B$7:$AE$7,0))</f>
        <v>4316.1933684499681</v>
      </c>
      <c r="H57" s="87">
        <f>INDEX('Marcellas PDA FY 2020'!$B$7:$AE$63,MATCH($A57,'Marcellas PDA FY 2020'!$B$7:$B$63,0),MATCH(H$2,'Marcellas PDA FY 2020'!$B$7:$AE$7,0))</f>
        <v>63168.805740346885</v>
      </c>
      <c r="I57" s="87">
        <f>INDEX('Marcellas PDA FY 2020'!$B$7:$AE$63,MATCH($A57,'Marcellas PDA FY 2020'!$B$7:$B$63,0),MATCH(I$2,'Marcellas PDA FY 2020'!$B$7:$AE$7,0))</f>
        <v>19270.072895415917</v>
      </c>
      <c r="J57" s="87">
        <f>INDEX('Marcellas PDA FY 2020'!$B$7:$AE$63,MATCH($A57,'Marcellas PDA FY 2020'!$B$7:$B$63,0),MATCH(J$2,'Marcellas PDA FY 2020'!$B$7:$AE$7,0))</f>
        <v>1808.5792327316883</v>
      </c>
      <c r="K57" s="87">
        <f>INDEX('Marcellas PDA FY 2020'!$B$7:$AE$63,MATCH($A57,'Marcellas PDA FY 2020'!$B$7:$B$63,0),MATCH(K$2,'Marcellas PDA FY 2020'!$B$7:$AE$7,0))</f>
        <v>21078.652128147605</v>
      </c>
      <c r="L57" s="87">
        <f>INDEX('Marcellas PDA FY 2020'!$B$7:$AE$63,MATCH($A57,'Marcellas PDA FY 2020'!$B$7:$B$63,0),MATCH(L$2,'Marcellas PDA FY 2020'!$B$7:$AE$7,0))</f>
        <v>13834.646585594541</v>
      </c>
      <c r="M57" s="87">
        <f>INDEX('Marcellas PDA FY 2020'!$B$7:$AE$63,MATCH($A57,'Marcellas PDA FY 2020'!$B$7:$B$63,0),MATCH(M$2,'Marcellas PDA FY 2020'!$B$7:$AE$7,0))</f>
        <v>2220.7117838183344</v>
      </c>
      <c r="N57" s="87">
        <f>INDEX('Marcellas PDA FY 2020'!$B$7:$AE$63,MATCH($A57,'Marcellas PDA FY 2020'!$B$7:$B$63,0),MATCH(N$2,'Marcellas PDA FY 2020'!$B$7:$AE$7,0))</f>
        <v>16055.358369412876</v>
      </c>
      <c r="O57" s="87">
        <f>INDEX('Marcellas PDA FY 2020'!$B$7:$AE$63,MATCH($A57,'Marcellas PDA FY 2020'!$B$7:$B$63,0),MATCH(O$2,'Marcellas PDA FY 2020'!$B$7:$AE$7,0))</f>
        <v>50076.18144965182</v>
      </c>
      <c r="P57" s="87">
        <f>INDEX('Marcellas PDA FY 2020'!$B$7:$AE$63,MATCH($A57,'Marcellas PDA FY 2020'!$B$7:$B$63,0),MATCH(P$2,'Marcellas PDA FY 2020'!$B$7:$AE$7,0))</f>
        <v>9389.5419733181716</v>
      </c>
      <c r="Q57" s="87">
        <f>INDEX('Marcellas PDA FY 2020'!$B$7:$AE$63,MATCH($A57,'Marcellas PDA FY 2020'!$B$7:$B$63,0),MATCH(Q$2,'Marcellas PDA FY 2020'!$B$7:$AE$7,0))</f>
        <v>59465.72342296999</v>
      </c>
      <c r="R57" s="87">
        <f>INDEX('Marcellas PDA FY 2020'!$B$7:$AE$63,MATCH($A57,'Marcellas PDA FY 2020'!$B$7:$B$63,0),MATCH(R$2,'Marcellas PDA FY 2020'!$B$7:$AE$7,0))</f>
        <v>359.93377558207777</v>
      </c>
      <c r="S57" s="87">
        <f>INDEX('Marcellas PDA FY 2020'!$B$7:$AE$63,MATCH($A57,'Marcellas PDA FY 2020'!$B$7:$B$63,0),MATCH(S$2,'Marcellas PDA FY 2020'!$B$7:$AE$7,0))</f>
        <v>12137.553434851485</v>
      </c>
      <c r="T57" s="87">
        <f>INDEX('Marcellas PDA FY 2020'!$B$7:$AE$63,MATCH($A57,'Marcellas PDA FY 2020'!$B$7:$B$63,0),MATCH(T$2,'Marcellas PDA FY 2020'!$B$7:$AE$7,0))</f>
        <v>1732.446565148517</v>
      </c>
      <c r="U57" s="87">
        <f>INDEX('Marcellas PDA FY 2020'!$B$7:$AE$63,MATCH($A57,'Marcellas PDA FY 2020'!$B$7:$B$63,0),MATCH(U$2,'Marcellas PDA FY 2020'!$B$7:$AE$7,0))</f>
        <v>13870.000000000002</v>
      </c>
      <c r="V57" s="87">
        <f>INDEX('Marcellas PDA FY 2020'!$B$7:$AE$63,MATCH($A57,'Marcellas PDA FY 2020'!$B$7:$B$63,0),MATCH(V$2,'Marcellas PDA FY 2020'!$B$7:$AE$7,0))</f>
        <v>39027.387822589364</v>
      </c>
      <c r="W57" s="87">
        <f>INDEX('Marcellas PDA FY 2020'!$B$7:$AE$63,MATCH($A57,'Marcellas PDA FY 2020'!$B$7:$B$63,0),MATCH(W$2,'Marcellas PDA FY 2020'!$B$7:$AE$7,0))</f>
        <v>8108.5950865333471</v>
      </c>
      <c r="X57" s="87">
        <f>INDEX('Marcellas PDA FY 2020'!$B$7:$AE$63,MATCH($A57,'Marcellas PDA FY 2020'!$B$7:$B$63,0),MATCH(X$2,'Marcellas PDA FY 2020'!$B$7:$AE$7,0))</f>
        <v>47135.982909122715</v>
      </c>
      <c r="Y57" s="87">
        <f>INDEX('Marcellas PDA FY 2020'!$B$7:$AE$63,MATCH($A57,'Marcellas PDA FY 2020'!$B$7:$B$63,0),MATCH(Y$2,'Marcellas PDA FY 2020'!$B$7:$AE$7,0))</f>
        <v>162161.14637055033</v>
      </c>
      <c r="Z57" s="87">
        <f>INDEX('Marcellas PDA FY 2020'!$B$7:$AE$63,MATCH($A57,'Marcellas PDA FY 2020'!$B$7:$B$63,0),MATCH(Z$2,'Marcellas PDA FY 2020'!$B$7:$AE$7,0))</f>
        <v>184064.55195655211</v>
      </c>
      <c r="AA57" s="131">
        <f t="shared" si="0"/>
        <v>0.28612362062890756</v>
      </c>
      <c r="AB57" s="80">
        <f t="shared" si="1"/>
        <v>9.5475926672944272E-2</v>
      </c>
      <c r="AC57" s="80">
        <f t="shared" si="2"/>
        <v>0.26935047908037235</v>
      </c>
      <c r="AD57" s="80">
        <f t="shared" si="3"/>
        <v>0.3648264057533166</v>
      </c>
      <c r="AE57" s="80">
        <f t="shared" si="4"/>
        <v>6.282427808490583E-2</v>
      </c>
      <c r="AF57" s="128">
        <f t="shared" si="7"/>
        <v>0</v>
      </c>
      <c r="AG57" s="110">
        <f t="shared" si="8"/>
        <v>0</v>
      </c>
      <c r="AH57" s="110">
        <f t="shared" si="9"/>
        <v>0</v>
      </c>
      <c r="AI57" s="110">
        <f t="shared" si="10"/>
        <v>0</v>
      </c>
      <c r="AJ57" s="110">
        <f t="shared" si="11"/>
        <v>0</v>
      </c>
      <c r="AK57" s="110">
        <f t="shared" si="12"/>
        <v>0</v>
      </c>
      <c r="AL57" s="110">
        <f t="shared" si="13"/>
        <v>0</v>
      </c>
      <c r="AM57" s="110">
        <f t="shared" si="14"/>
        <v>0</v>
      </c>
      <c r="AN57" s="190"/>
      <c r="AP57" s="112">
        <f t="shared" si="6"/>
        <v>6.282427808490583E-2</v>
      </c>
      <c r="AQ57" s="382">
        <f>'PDA Schedules FY 2018'!AP57</f>
        <v>6.2018087171280475E-2</v>
      </c>
    </row>
    <row r="58" spans="1:43">
      <c r="A58" s="85"/>
      <c r="B58" s="85"/>
      <c r="C58" s="26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132"/>
      <c r="AB58" s="80"/>
      <c r="AC58" s="80"/>
      <c r="AD58" s="80"/>
      <c r="AE58" s="80"/>
      <c r="AF58" s="109"/>
      <c r="AG58" s="127"/>
      <c r="AH58" s="127"/>
      <c r="AI58" s="127"/>
      <c r="AJ58" s="127"/>
      <c r="AK58" s="127"/>
      <c r="AL58" s="127"/>
      <c r="AM58" s="127"/>
      <c r="AP58" s="112"/>
    </row>
    <row r="59" spans="1:43">
      <c r="A59" s="26" t="s">
        <v>187</v>
      </c>
      <c r="B59" s="26" t="str">
        <f>"Statewide "&amp;RIGHT(A6,4)</f>
        <v>Statewide 2020</v>
      </c>
      <c r="C59" s="87" t="e">
        <f t="shared" ref="C59:Z59" si="15">SUM(C9:C57)</f>
        <v>#REF!</v>
      </c>
      <c r="D59" s="87" t="e">
        <f t="shared" si="15"/>
        <v>#REF!</v>
      </c>
      <c r="E59" s="87" t="e">
        <f t="shared" si="15"/>
        <v>#REF!</v>
      </c>
      <c r="F59" s="87" t="e">
        <f t="shared" si="15"/>
        <v>#REF!</v>
      </c>
      <c r="G59" s="87" t="e">
        <f t="shared" si="15"/>
        <v>#REF!</v>
      </c>
      <c r="H59" s="87" t="e">
        <f t="shared" si="15"/>
        <v>#REF!</v>
      </c>
      <c r="I59" s="87" t="e">
        <f t="shared" si="15"/>
        <v>#REF!</v>
      </c>
      <c r="J59" s="87" t="e">
        <f t="shared" si="15"/>
        <v>#REF!</v>
      </c>
      <c r="K59" s="87" t="e">
        <f t="shared" si="15"/>
        <v>#REF!</v>
      </c>
      <c r="L59" s="87" t="e">
        <f t="shared" si="15"/>
        <v>#REF!</v>
      </c>
      <c r="M59" s="87" t="e">
        <f t="shared" si="15"/>
        <v>#REF!</v>
      </c>
      <c r="N59" s="87" t="e">
        <f t="shared" si="15"/>
        <v>#REF!</v>
      </c>
      <c r="O59" s="87" t="e">
        <f t="shared" si="15"/>
        <v>#REF!</v>
      </c>
      <c r="P59" s="87" t="e">
        <f t="shared" si="15"/>
        <v>#REF!</v>
      </c>
      <c r="Q59" s="87" t="e">
        <f t="shared" si="15"/>
        <v>#REF!</v>
      </c>
      <c r="R59" s="87" t="e">
        <f t="shared" si="15"/>
        <v>#REF!</v>
      </c>
      <c r="S59" s="87" t="e">
        <f t="shared" si="15"/>
        <v>#REF!</v>
      </c>
      <c r="T59" s="87" t="e">
        <f t="shared" si="15"/>
        <v>#REF!</v>
      </c>
      <c r="U59" s="87" t="e">
        <f t="shared" si="15"/>
        <v>#REF!</v>
      </c>
      <c r="V59" s="87" t="e">
        <f t="shared" si="15"/>
        <v>#REF!</v>
      </c>
      <c r="W59" s="87" t="e">
        <f t="shared" si="15"/>
        <v>#REF!</v>
      </c>
      <c r="X59" s="87" t="e">
        <f t="shared" si="15"/>
        <v>#REF!</v>
      </c>
      <c r="Y59" s="87" t="e">
        <f t="shared" si="15"/>
        <v>#REF!</v>
      </c>
      <c r="Z59" s="87" t="e">
        <f t="shared" si="15"/>
        <v>#REF!</v>
      </c>
      <c r="AA59" s="131" t="e">
        <f>H59/E59</f>
        <v>#REF!</v>
      </c>
      <c r="AB59" s="80" t="e">
        <f>K59/E59</f>
        <v>#REF!</v>
      </c>
      <c r="AC59" s="80" t="e">
        <f>Q59/E59</f>
        <v>#REF!</v>
      </c>
      <c r="AD59" s="80" t="e">
        <f>(K59+Q59)/E59</f>
        <v>#REF!</v>
      </c>
      <c r="AE59" s="80" t="e">
        <f>U59/E59</f>
        <v>#REF!</v>
      </c>
      <c r="AF59" s="129" t="e">
        <f t="shared" ref="AF59:AM59" si="16">SUM(AF9:AF57)</f>
        <v>#REF!</v>
      </c>
      <c r="AG59" s="111" t="e">
        <f t="shared" si="16"/>
        <v>#REF!</v>
      </c>
      <c r="AH59" s="111" t="e">
        <f t="shared" si="16"/>
        <v>#REF!</v>
      </c>
      <c r="AI59" s="111" t="e">
        <f t="shared" si="16"/>
        <v>#REF!</v>
      </c>
      <c r="AJ59" s="111" t="e">
        <f t="shared" si="16"/>
        <v>#REF!</v>
      </c>
      <c r="AK59" s="111" t="e">
        <f t="shared" si="16"/>
        <v>#REF!</v>
      </c>
      <c r="AL59" s="111" t="e">
        <f t="shared" si="16"/>
        <v>#REF!</v>
      </c>
      <c r="AM59" s="111" t="e">
        <f t="shared" si="16"/>
        <v>#REF!</v>
      </c>
      <c r="AP59" s="112" t="e">
        <f>+U59/E59</f>
        <v>#REF!</v>
      </c>
    </row>
    <row r="60" spans="1:43">
      <c r="A60" s="26"/>
      <c r="B60" s="26"/>
      <c r="C60" s="80" t="e">
        <f>C59/$E$59</f>
        <v>#REF!</v>
      </c>
      <c r="D60" s="80" t="e">
        <f>D59/$E$59</f>
        <v>#REF!</v>
      </c>
      <c r="E60" s="80" t="e">
        <f>E59/$E$59</f>
        <v>#REF!</v>
      </c>
      <c r="F60" s="90"/>
      <c r="G60" s="26"/>
      <c r="H60" s="80" t="e">
        <f>H59/$E$59</f>
        <v>#REF!</v>
      </c>
      <c r="I60" s="26"/>
      <c r="J60" s="26"/>
      <c r="K60" s="80" t="e">
        <f>K59/$E$59</f>
        <v>#REF!</v>
      </c>
      <c r="L60" s="26"/>
      <c r="M60" s="26"/>
      <c r="N60" s="80" t="e">
        <f>N59/$E$59</f>
        <v>#REF!</v>
      </c>
      <c r="O60" s="26"/>
      <c r="P60" s="26"/>
      <c r="Q60" s="80" t="e">
        <f>Q59/$E$59</f>
        <v>#REF!</v>
      </c>
      <c r="R60" s="26"/>
      <c r="S60" s="26"/>
      <c r="T60" s="80"/>
      <c r="U60" s="176" t="e">
        <f>U59/$E$59</f>
        <v>#REF!</v>
      </c>
      <c r="V60" s="26"/>
      <c r="W60" s="26"/>
      <c r="X60" s="80" t="e">
        <f>X59/$E$59</f>
        <v>#REF!</v>
      </c>
      <c r="Y60" s="80" t="e">
        <f>Y59/$E$59</f>
        <v>#REF!</v>
      </c>
      <c r="Z60" s="80" t="e">
        <f>Z59/$E$59</f>
        <v>#REF!</v>
      </c>
      <c r="AA60" s="26"/>
      <c r="AB60" s="80" t="e">
        <f>AB59/AD59</f>
        <v>#REF!</v>
      </c>
      <c r="AC60" s="80" t="e">
        <f>AC59/AD59</f>
        <v>#REF!</v>
      </c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P60" s="112"/>
    </row>
    <row r="61" spans="1:43">
      <c r="A61" s="26"/>
      <c r="B61" s="2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26"/>
      <c r="Z61" s="89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190"/>
      <c r="AP61" s="112"/>
    </row>
    <row r="62" spans="1:43">
      <c r="A62" s="26" t="s">
        <v>187</v>
      </c>
      <c r="B62" s="26" t="str">
        <f>"Statewide "&amp;RIGHT(A6,4)-1</f>
        <v>Statewide 2019</v>
      </c>
      <c r="C62" s="87">
        <f>'PDA Schedules FY 2019'!C59</f>
        <v>10033352.68399876</v>
      </c>
      <c r="D62" s="87">
        <f>'PDA Schedules FY 2019'!D59</f>
        <v>7433260.4526512418</v>
      </c>
      <c r="E62" s="87">
        <f>'PDA Schedules FY 2019'!E59</f>
        <v>17466613.136650007</v>
      </c>
      <c r="F62" s="87">
        <f>'PDA Schedules FY 2019'!F59</f>
        <v>4191853.6872917782</v>
      </c>
      <c r="G62" s="87">
        <f>'PDA Schedules FY 2019'!G59</f>
        <v>2358203.942285588</v>
      </c>
      <c r="H62" s="87">
        <f>'PDA Schedules FY 2019'!H59</f>
        <v>6550057.529577367</v>
      </c>
      <c r="I62" s="87">
        <f>'PDA Schedules FY 2019'!I59</f>
        <v>591854.12513689732</v>
      </c>
      <c r="J62" s="87">
        <f>'PDA Schedules FY 2019'!J59</f>
        <v>214186.7435870739</v>
      </c>
      <c r="K62" s="87">
        <f>'PDA Schedules FY 2019'!K59</f>
        <v>806040.86872397107</v>
      </c>
      <c r="L62" s="87">
        <f>'PDA Schedules FY 2019'!L59</f>
        <v>1099487.2726657067</v>
      </c>
      <c r="M62" s="87">
        <f>'PDA Schedules FY 2019'!M59</f>
        <v>1193647.1197503787</v>
      </c>
      <c r="N62" s="87">
        <f>'PDA Schedules FY 2019'!N59</f>
        <v>2293134.3924160856</v>
      </c>
      <c r="O62" s="87">
        <f>'PDA Schedules FY 2019'!O59</f>
        <v>2059941.4894676199</v>
      </c>
      <c r="P62" s="87">
        <f>'PDA Schedules FY 2019'!P59</f>
        <v>1516434.520047554</v>
      </c>
      <c r="Q62" s="87">
        <f>'PDA Schedules FY 2019'!Q59</f>
        <v>3576376.0095151742</v>
      </c>
      <c r="R62" s="87">
        <f>'PDA Schedules FY 2019'!R59</f>
        <v>115639.14072574502</v>
      </c>
      <c r="S62" s="87">
        <f>'PDA Schedules FY 2019'!S59</f>
        <v>349415.61245169787</v>
      </c>
      <c r="T62" s="87">
        <f>'PDA Schedules FY 2019'!T59</f>
        <v>420224.59798471106</v>
      </c>
      <c r="U62" s="87">
        <f>'PDA Schedules FY 2019'!U59</f>
        <v>769640.21043640911</v>
      </c>
      <c r="V62" s="87">
        <f>'PDA Schedules FY 2019'!V59</f>
        <v>1740800.5969850621</v>
      </c>
      <c r="W62" s="87">
        <f>'PDA Schedules FY 2019'!W59</f>
        <v>1730563.5289959344</v>
      </c>
      <c r="X62" s="87">
        <f>'PDA Schedules FY 2019'!X59</f>
        <v>3471364.1259809951</v>
      </c>
      <c r="Y62" s="87">
        <f>'PDA Schedules FY 2019'!Y59</f>
        <v>13777365.174475163</v>
      </c>
      <c r="Z62" s="87">
        <f>'PDA Schedules FY 2019'!Z59</f>
        <v>15256299.589943195</v>
      </c>
      <c r="AA62" s="131">
        <f>H62/E62</f>
        <v>0.37500444295256369</v>
      </c>
      <c r="AB62" s="80">
        <f>K62/E62</f>
        <v>4.6147519408480178E-2</v>
      </c>
      <c r="AC62" s="80">
        <f>Q62/E62</f>
        <v>0.204754979201486</v>
      </c>
      <c r="AD62" s="80">
        <f>(K62+Q62)/E62</f>
        <v>0.25090249860996616</v>
      </c>
      <c r="AE62" s="80">
        <f>U62/E62</f>
        <v>4.4063505867744976E-2</v>
      </c>
      <c r="AF62" s="80"/>
      <c r="AG62" s="26"/>
      <c r="AH62" s="26"/>
      <c r="AI62" s="26"/>
      <c r="AJ62" s="26"/>
      <c r="AK62" s="26"/>
      <c r="AL62" s="26"/>
      <c r="AM62" s="26"/>
      <c r="AN62" s="190"/>
      <c r="AP62" s="112"/>
    </row>
    <row r="63" spans="1:43">
      <c r="A63" s="26"/>
      <c r="B63" s="26"/>
      <c r="C63" s="80">
        <f>C62/E62</f>
        <v>0.57443034923272462</v>
      </c>
      <c r="D63" s="80">
        <f>D62/E62</f>
        <v>0.42556965076727504</v>
      </c>
      <c r="E63" s="80">
        <f>C63+D63</f>
        <v>0.99999999999999967</v>
      </c>
      <c r="F63" s="80"/>
      <c r="G63" s="80"/>
      <c r="H63" s="80">
        <f>H62/$E$62</f>
        <v>0.37500444295256369</v>
      </c>
      <c r="I63" s="80"/>
      <c r="J63" s="80"/>
      <c r="K63" s="80">
        <f>K62/$E$62</f>
        <v>4.6147519408480178E-2</v>
      </c>
      <c r="L63" s="80"/>
      <c r="M63" s="80"/>
      <c r="N63" s="80">
        <f>N62/$E$62</f>
        <v>0.13128672253033569</v>
      </c>
      <c r="O63" s="80"/>
      <c r="P63" s="80"/>
      <c r="Q63" s="80">
        <f>Q62/$E$62</f>
        <v>0.204754979201486</v>
      </c>
      <c r="R63" s="80"/>
      <c r="S63" s="80"/>
      <c r="T63" s="80"/>
      <c r="U63" s="176">
        <f>U62/$E$62</f>
        <v>4.4063505867744976E-2</v>
      </c>
      <c r="V63" s="80"/>
      <c r="W63" s="80"/>
      <c r="X63" s="80">
        <f>X62/$E$62</f>
        <v>0.1987428300393892</v>
      </c>
      <c r="Y63" s="80">
        <f t="shared" ref="Y63:Z63" si="17">Y62/$E$62</f>
        <v>0.78878286629972161</v>
      </c>
      <c r="Z63" s="80">
        <f t="shared" si="17"/>
        <v>0.8734549434733323</v>
      </c>
      <c r="AA63" s="26"/>
      <c r="AB63" s="80">
        <f>AB62/AD62</f>
        <v>0.18392610541602292</v>
      </c>
      <c r="AC63" s="80">
        <f>AC62/AD62</f>
        <v>0.81607389458397717</v>
      </c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190"/>
      <c r="AP63" s="112"/>
    </row>
    <row r="64" spans="1:43">
      <c r="A64" s="26"/>
      <c r="B64" s="26"/>
      <c r="C64" s="85"/>
      <c r="D64" s="85"/>
      <c r="E64" s="87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190"/>
      <c r="AP64" s="112"/>
    </row>
    <row r="65" spans="1:40">
      <c r="A65" s="26"/>
      <c r="B65" s="26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190"/>
    </row>
    <row r="66" spans="1:40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191"/>
    </row>
    <row r="67" spans="1:40">
      <c r="A67" s="85"/>
      <c r="B67" s="26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40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</row>
    <row r="69" spans="1:40">
      <c r="A69" s="76"/>
      <c r="B69" s="76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6"/>
      <c r="AB69" s="80"/>
      <c r="AC69" s="80"/>
      <c r="AD69" s="26"/>
      <c r="AE69" s="26"/>
      <c r="AF69" s="26"/>
      <c r="AG69" s="26"/>
      <c r="AH69" s="26"/>
      <c r="AI69" s="26"/>
      <c r="AJ69" s="26"/>
      <c r="AK69" s="26"/>
      <c r="AL69" s="26"/>
      <c r="AM69" s="26"/>
    </row>
    <row r="70" spans="1:40">
      <c r="A70" s="33"/>
      <c r="B70" s="33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8"/>
      <c r="AB70" s="80"/>
      <c r="AC70" s="80"/>
      <c r="AD70" s="80"/>
      <c r="AE70" s="80"/>
      <c r="AF70" s="89"/>
      <c r="AG70" s="89"/>
      <c r="AH70" s="89"/>
      <c r="AI70" s="89"/>
      <c r="AJ70" s="89"/>
      <c r="AK70" s="89"/>
      <c r="AL70" s="89"/>
      <c r="AM70" s="89"/>
    </row>
    <row r="71" spans="1:40">
      <c r="A71" s="26"/>
      <c r="B71" s="26"/>
      <c r="C71" s="26"/>
      <c r="D71" s="26"/>
      <c r="E71" s="26"/>
      <c r="F71" s="26"/>
      <c r="G71" s="26"/>
      <c r="H71" s="26"/>
      <c r="I71" s="26"/>
      <c r="J71" s="80"/>
      <c r="K71" s="80"/>
      <c r="L71" s="80"/>
      <c r="M71" s="26"/>
      <c r="N71" s="26"/>
      <c r="O71" s="26"/>
      <c r="P71" s="26"/>
      <c r="Q71" s="80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80"/>
      <c r="AC71" s="80"/>
      <c r="AD71" s="26"/>
      <c r="AE71" s="26"/>
      <c r="AF71" s="26"/>
      <c r="AG71" s="26"/>
      <c r="AH71" s="26"/>
      <c r="AI71" s="26"/>
      <c r="AJ71" s="26"/>
      <c r="AK71" s="26"/>
      <c r="AL71" s="26"/>
      <c r="AM71" s="26"/>
    </row>
    <row r="72" spans="1:40">
      <c r="A72" s="26"/>
      <c r="B72" s="26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0"/>
      <c r="R72" s="89"/>
      <c r="S72" s="89"/>
      <c r="T72" s="89"/>
      <c r="U72" s="89"/>
      <c r="V72" s="89"/>
      <c r="W72" s="89"/>
      <c r="X72" s="89"/>
      <c r="Y72" s="89"/>
      <c r="Z72" s="89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</row>
    <row r="73" spans="1:40">
      <c r="A73" s="26"/>
      <c r="B73" s="26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</row>
    <row r="74" spans="1:40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80"/>
      <c r="L74" s="26"/>
      <c r="M74" s="26"/>
      <c r="N74" s="26"/>
      <c r="O74" s="26"/>
      <c r="P74" s="26"/>
      <c r="Q74" s="80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</row>
    <row r="75" spans="1:40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80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</row>
    <row r="76" spans="1:40">
      <c r="A76" s="26"/>
      <c r="B76" s="26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</row>
  </sheetData>
  <pageMargins left="0" right="0" top="0" bottom="0" header="0" footer="0"/>
  <pageSetup scale="14" orientation="landscape" r:id="rId1"/>
  <headerFooter alignWithMargins="0">
    <oddFooter>&amp;L&amp;"Arial"&amp;12&amp;D&amp;C&amp;"Arial"&amp;12&amp;T&amp;R&amp;"Arial"&amp;12&amp;F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Q76"/>
  <sheetViews>
    <sheetView zoomScale="87" zoomScaleNormal="87" workbookViewId="0">
      <pane xSplit="2" ySplit="8" topLeftCell="C52" activePane="bottomRight" state="frozen"/>
      <selection activeCell="G9" sqref="G9"/>
      <selection pane="topRight" activeCell="G9" sqref="G9"/>
      <selection pane="bottomLeft" activeCell="G9" sqref="G9"/>
      <selection pane="bottomRight" activeCell="B59" sqref="B59"/>
    </sheetView>
  </sheetViews>
  <sheetFormatPr defaultColWidth="9.84375" defaultRowHeight="15.5"/>
  <cols>
    <col min="1" max="1" width="21.84375" style="75" customWidth="1"/>
    <col min="2" max="2" width="17.84375" style="75" customWidth="1"/>
    <col min="3" max="31" width="9.84375" style="75" customWidth="1"/>
    <col min="32" max="32" width="11.84375" style="75" customWidth="1"/>
    <col min="33" max="38" width="9.84375" style="75" customWidth="1"/>
    <col min="39" max="39" width="11.84375" style="75" customWidth="1"/>
    <col min="40" max="16384" width="9.84375" style="75"/>
  </cols>
  <sheetData>
    <row r="1" spans="1:43">
      <c r="A1" s="26" t="s">
        <v>186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43">
      <c r="A2" s="26"/>
      <c r="B2" s="227"/>
      <c r="C2" s="228" t="s">
        <v>188</v>
      </c>
      <c r="D2" s="228" t="s">
        <v>191</v>
      </c>
      <c r="E2" s="228" t="s">
        <v>193</v>
      </c>
      <c r="F2" s="228" t="s">
        <v>195</v>
      </c>
      <c r="G2" s="228" t="s">
        <v>198</v>
      </c>
      <c r="H2" s="228" t="s">
        <v>200</v>
      </c>
      <c r="I2" s="228" t="s">
        <v>202</v>
      </c>
      <c r="J2" s="228" t="s">
        <v>204</v>
      </c>
      <c r="K2" s="228" t="s">
        <v>206</v>
      </c>
      <c r="L2" s="228" t="s">
        <v>208</v>
      </c>
      <c r="M2" s="228" t="s">
        <v>211</v>
      </c>
      <c r="N2" s="228" t="s">
        <v>213</v>
      </c>
      <c r="O2" s="228" t="s">
        <v>215</v>
      </c>
      <c r="P2" s="228" t="s">
        <v>217</v>
      </c>
      <c r="Q2" s="228" t="s">
        <v>219</v>
      </c>
      <c r="R2" s="228" t="s">
        <v>221</v>
      </c>
      <c r="S2" s="228" t="s">
        <v>225</v>
      </c>
      <c r="T2" s="228" t="s">
        <v>227</v>
      </c>
      <c r="U2" s="228" t="s">
        <v>229</v>
      </c>
      <c r="V2" s="228" t="s">
        <v>231</v>
      </c>
      <c r="W2" s="228" t="s">
        <v>234</v>
      </c>
      <c r="X2" s="228" t="s">
        <v>236</v>
      </c>
      <c r="Y2" s="228" t="s">
        <v>238</v>
      </c>
      <c r="Z2" s="228" t="s">
        <v>242</v>
      </c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</row>
    <row r="3" spans="1:43">
      <c r="A3" s="85"/>
      <c r="B3" s="85"/>
      <c r="C3" s="26" t="s">
        <v>189</v>
      </c>
      <c r="D3" s="26" t="s">
        <v>192</v>
      </c>
      <c r="E3" s="26" t="s">
        <v>194</v>
      </c>
      <c r="F3" s="26" t="s">
        <v>196</v>
      </c>
      <c r="G3" s="26" t="s">
        <v>199</v>
      </c>
      <c r="H3" s="26" t="s">
        <v>201</v>
      </c>
      <c r="I3" s="26" t="s">
        <v>203</v>
      </c>
      <c r="J3" s="26" t="s">
        <v>205</v>
      </c>
      <c r="K3" s="26" t="s">
        <v>207</v>
      </c>
      <c r="L3" s="26" t="s">
        <v>209</v>
      </c>
      <c r="M3" s="26" t="s">
        <v>212</v>
      </c>
      <c r="N3" s="26" t="s">
        <v>214</v>
      </c>
      <c r="O3" s="26" t="s">
        <v>216</v>
      </c>
      <c r="P3" s="26" t="s">
        <v>218</v>
      </c>
      <c r="Q3" s="26" t="s">
        <v>220</v>
      </c>
      <c r="R3" s="26" t="s">
        <v>222</v>
      </c>
      <c r="S3" s="26" t="s">
        <v>226</v>
      </c>
      <c r="T3" s="26" t="s">
        <v>228</v>
      </c>
      <c r="U3" s="26" t="s">
        <v>230</v>
      </c>
      <c r="V3" s="26" t="s">
        <v>232</v>
      </c>
      <c r="W3" s="26" t="s">
        <v>235</v>
      </c>
      <c r="X3" s="26" t="s">
        <v>237</v>
      </c>
      <c r="Y3" s="26" t="s">
        <v>239</v>
      </c>
      <c r="Z3" s="26" t="s">
        <v>243</v>
      </c>
      <c r="AA3" s="26" t="s">
        <v>246</v>
      </c>
      <c r="AB3" s="26"/>
      <c r="AC3" s="100" t="s">
        <v>197</v>
      </c>
      <c r="AD3" s="26"/>
      <c r="AE3" s="26"/>
      <c r="AF3" s="26"/>
      <c r="AG3" s="26"/>
      <c r="AH3" s="26"/>
      <c r="AI3" s="26"/>
      <c r="AJ3" s="26"/>
      <c r="AK3" s="26"/>
      <c r="AL3" s="26"/>
      <c r="AM3" s="26"/>
    </row>
    <row r="4" spans="1:43">
      <c r="A4" s="85"/>
      <c r="B4" s="8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100" t="s">
        <v>259</v>
      </c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43">
      <c r="A5" s="26" t="s">
        <v>186</v>
      </c>
      <c r="B5" s="85"/>
      <c r="C5" s="77" t="s">
        <v>190</v>
      </c>
      <c r="D5" s="77" t="s">
        <v>190</v>
      </c>
      <c r="E5" s="77" t="s">
        <v>190</v>
      </c>
      <c r="F5" s="77" t="s">
        <v>197</v>
      </c>
      <c r="G5" s="77" t="s">
        <v>197</v>
      </c>
      <c r="H5" s="77" t="s">
        <v>197</v>
      </c>
      <c r="I5" s="77" t="s">
        <v>94</v>
      </c>
      <c r="J5" s="77" t="s">
        <v>94</v>
      </c>
      <c r="K5" s="77" t="s">
        <v>94</v>
      </c>
      <c r="L5" s="77" t="s">
        <v>210</v>
      </c>
      <c r="M5" s="77" t="s">
        <v>210</v>
      </c>
      <c r="N5" s="77" t="s">
        <v>210</v>
      </c>
      <c r="O5" s="77" t="s">
        <v>84</v>
      </c>
      <c r="P5" s="77" t="s">
        <v>84</v>
      </c>
      <c r="Q5" s="77" t="s">
        <v>84</v>
      </c>
      <c r="R5" s="77" t="s">
        <v>223</v>
      </c>
      <c r="S5" s="77" t="s">
        <v>100</v>
      </c>
      <c r="T5" s="77" t="s">
        <v>100</v>
      </c>
      <c r="U5" s="77" t="s">
        <v>100</v>
      </c>
      <c r="V5" s="77" t="s">
        <v>233</v>
      </c>
      <c r="W5" s="77" t="s">
        <v>233</v>
      </c>
      <c r="X5" s="77" t="s">
        <v>233</v>
      </c>
      <c r="Y5" s="77"/>
      <c r="Z5" s="77" t="s">
        <v>244</v>
      </c>
      <c r="AA5" s="130" t="s">
        <v>293</v>
      </c>
      <c r="AB5" s="77" t="s">
        <v>148</v>
      </c>
      <c r="AC5" s="77" t="s">
        <v>148</v>
      </c>
      <c r="AD5" s="77" t="s">
        <v>56</v>
      </c>
      <c r="AE5" s="26" t="s">
        <v>249</v>
      </c>
      <c r="AF5" s="26"/>
      <c r="AG5" s="26"/>
      <c r="AH5" s="26"/>
      <c r="AI5" s="26"/>
      <c r="AJ5" s="26"/>
      <c r="AK5" s="26"/>
      <c r="AL5" s="26"/>
      <c r="AM5" s="26"/>
    </row>
    <row r="6" spans="1:43">
      <c r="A6" s="26" t="str">
        <f>"Fiscal Year End " &amp;VALUE(RIGHT(Input!A2,4)-2)</f>
        <v>Fiscal Year End 2020</v>
      </c>
      <c r="B6" s="85"/>
      <c r="C6" s="77" t="s">
        <v>55</v>
      </c>
      <c r="D6" s="77" t="s">
        <v>54</v>
      </c>
      <c r="E6" s="77" t="s">
        <v>56</v>
      </c>
      <c r="F6" s="77" t="s">
        <v>55</v>
      </c>
      <c r="G6" s="77" t="s">
        <v>54</v>
      </c>
      <c r="H6" s="77" t="s">
        <v>56</v>
      </c>
      <c r="I6" s="77" t="s">
        <v>55</v>
      </c>
      <c r="J6" s="77" t="s">
        <v>54</v>
      </c>
      <c r="K6" s="77" t="s">
        <v>56</v>
      </c>
      <c r="L6" s="77" t="s">
        <v>55</v>
      </c>
      <c r="M6" s="77" t="s">
        <v>54</v>
      </c>
      <c r="N6" s="77" t="s">
        <v>56</v>
      </c>
      <c r="O6" s="77" t="s">
        <v>55</v>
      </c>
      <c r="P6" s="77" t="s">
        <v>54</v>
      </c>
      <c r="Q6" s="77" t="s">
        <v>56</v>
      </c>
      <c r="R6" s="77" t="s">
        <v>224</v>
      </c>
      <c r="S6" s="77" t="s">
        <v>55</v>
      </c>
      <c r="T6" s="77" t="s">
        <v>54</v>
      </c>
      <c r="U6" s="77" t="s">
        <v>56</v>
      </c>
      <c r="V6" s="77" t="s">
        <v>55</v>
      </c>
      <c r="W6" s="77" t="s">
        <v>54</v>
      </c>
      <c r="X6" s="77" t="s">
        <v>56</v>
      </c>
      <c r="Y6" s="77" t="s">
        <v>240</v>
      </c>
      <c r="Z6" s="77" t="s">
        <v>190</v>
      </c>
      <c r="AA6" s="130"/>
      <c r="AB6" s="77" t="s">
        <v>247</v>
      </c>
      <c r="AC6" s="77" t="s">
        <v>248</v>
      </c>
      <c r="AD6" s="77" t="s">
        <v>94</v>
      </c>
      <c r="AE6" s="77" t="s">
        <v>149</v>
      </c>
      <c r="AF6" s="26"/>
      <c r="AG6" s="26"/>
      <c r="AH6" s="26"/>
      <c r="AI6" s="26"/>
      <c r="AJ6" s="26"/>
      <c r="AK6" s="26"/>
      <c r="AL6" s="26"/>
      <c r="AM6" s="26"/>
    </row>
    <row r="7" spans="1:43">
      <c r="A7" s="100" t="s">
        <v>260</v>
      </c>
      <c r="B7" s="85"/>
      <c r="C7" s="77" t="s">
        <v>53</v>
      </c>
      <c r="D7" s="77" t="s">
        <v>53</v>
      </c>
      <c r="E7" s="77" t="s">
        <v>53</v>
      </c>
      <c r="F7" s="77" t="s">
        <v>53</v>
      </c>
      <c r="G7" s="77" t="s">
        <v>53</v>
      </c>
      <c r="H7" s="77" t="s">
        <v>53</v>
      </c>
      <c r="I7" s="77" t="s">
        <v>53</v>
      </c>
      <c r="J7" s="77" t="s">
        <v>53</v>
      </c>
      <c r="K7" s="77" t="s">
        <v>53</v>
      </c>
      <c r="L7" s="77" t="s">
        <v>53</v>
      </c>
      <c r="M7" s="77" t="s">
        <v>53</v>
      </c>
      <c r="N7" s="77" t="s">
        <v>53</v>
      </c>
      <c r="O7" s="77" t="s">
        <v>53</v>
      </c>
      <c r="P7" s="77" t="s">
        <v>53</v>
      </c>
      <c r="Q7" s="77" t="s">
        <v>53</v>
      </c>
      <c r="R7" s="77" t="s">
        <v>94</v>
      </c>
      <c r="S7" s="77" t="s">
        <v>53</v>
      </c>
      <c r="T7" s="77" t="s">
        <v>53</v>
      </c>
      <c r="U7" s="77" t="s">
        <v>53</v>
      </c>
      <c r="V7" s="77" t="s">
        <v>53</v>
      </c>
      <c r="W7" s="77" t="s">
        <v>53</v>
      </c>
      <c r="X7" s="77" t="s">
        <v>53</v>
      </c>
      <c r="Y7" s="77" t="s">
        <v>241</v>
      </c>
      <c r="Z7" s="77" t="s">
        <v>53</v>
      </c>
      <c r="AA7" s="130"/>
      <c r="AB7" s="77"/>
      <c r="AC7" s="77"/>
      <c r="AD7" s="77" t="s">
        <v>149</v>
      </c>
      <c r="AE7" s="26"/>
      <c r="AF7" s="108" t="s">
        <v>250</v>
      </c>
      <c r="AG7" s="126"/>
      <c r="AH7" s="126"/>
      <c r="AI7" s="126"/>
      <c r="AJ7" s="126"/>
      <c r="AK7" s="126"/>
      <c r="AL7" s="126"/>
      <c r="AM7" s="126"/>
    </row>
    <row r="8" spans="1:43">
      <c r="A8" s="100" t="s">
        <v>261</v>
      </c>
      <c r="B8" s="85"/>
      <c r="C8" s="26"/>
      <c r="D8" s="26"/>
      <c r="E8" s="26"/>
      <c r="F8" s="77"/>
      <c r="G8" s="77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77"/>
      <c r="Z8" s="77"/>
      <c r="AA8" s="130"/>
      <c r="AB8" s="77"/>
      <c r="AC8" s="77"/>
      <c r="AD8" s="77"/>
      <c r="AE8" s="26"/>
      <c r="AF8" s="109"/>
      <c r="AG8" s="127"/>
      <c r="AH8" s="127"/>
      <c r="AI8" s="127"/>
      <c r="AJ8" s="127"/>
      <c r="AK8" s="127"/>
      <c r="AL8" s="127"/>
      <c r="AM8" s="127"/>
    </row>
    <row r="9" spans="1:43">
      <c r="A9" s="33">
        <f>'UCC Fund Calc FY2022'!C9</f>
        <v>210001</v>
      </c>
      <c r="B9" s="33" t="str">
        <f>'UCC Fund Calc FY2022'!D9</f>
        <v>Meritus Medical Center</v>
      </c>
      <c r="C9" s="87">
        <v>207266.7</v>
      </c>
      <c r="D9" s="87">
        <v>161800.4</v>
      </c>
      <c r="E9" s="87">
        <v>369067.1</v>
      </c>
      <c r="F9" s="87">
        <v>98546.8</v>
      </c>
      <c r="G9" s="87">
        <v>56445.599999999999</v>
      </c>
      <c r="H9" s="87">
        <v>154992.4</v>
      </c>
      <c r="I9" s="87">
        <v>5923.4</v>
      </c>
      <c r="J9" s="87">
        <v>2084.8000000000002</v>
      </c>
      <c r="K9" s="87">
        <v>8008.2</v>
      </c>
      <c r="L9" s="87">
        <v>19978.2</v>
      </c>
      <c r="M9" s="87">
        <v>22999</v>
      </c>
      <c r="N9" s="87">
        <v>42977.2</v>
      </c>
      <c r="O9" s="87">
        <v>51556.4</v>
      </c>
      <c r="P9" s="87">
        <v>38618.400000000001</v>
      </c>
      <c r="Q9" s="87">
        <v>90174.8</v>
      </c>
      <c r="R9" s="87">
        <v>0</v>
      </c>
      <c r="S9" s="87">
        <v>6548.4</v>
      </c>
      <c r="T9" s="87">
        <v>10476</v>
      </c>
      <c r="U9" s="87">
        <v>17024.400000000001</v>
      </c>
      <c r="V9" s="87">
        <v>24713.500000000015</v>
      </c>
      <c r="W9" s="87">
        <v>31176.599999999984</v>
      </c>
      <c r="X9" s="87">
        <v>55890.099999999984</v>
      </c>
      <c r="Y9" s="87">
        <v>299254.55212481209</v>
      </c>
      <c r="Z9" s="87">
        <v>329859.02430589276</v>
      </c>
      <c r="AA9" s="131">
        <v>0.41995723812824282</v>
      </c>
      <c r="AB9" s="80">
        <v>2.1698493309211253E-2</v>
      </c>
      <c r="AC9" s="80">
        <v>0.24433172179259546</v>
      </c>
      <c r="AD9" s="80">
        <v>0.26603021510180669</v>
      </c>
      <c r="AE9" s="80">
        <v>4.6128197284450452E-2</v>
      </c>
      <c r="AF9" s="128">
        <f>C9+D9-E9</f>
        <v>0</v>
      </c>
      <c r="AG9" s="110">
        <f>F9+G9-H9</f>
        <v>0</v>
      </c>
      <c r="AH9" s="110">
        <f>I9+J9-K9</f>
        <v>0</v>
      </c>
      <c r="AI9" s="110">
        <f>L9+M9-N9</f>
        <v>0</v>
      </c>
      <c r="AJ9" s="110">
        <f>O9+P9-Q9</f>
        <v>0</v>
      </c>
      <c r="AK9" s="110">
        <f>S9+T9-U9</f>
        <v>0</v>
      </c>
      <c r="AL9" s="110">
        <f>V9+W9-X9</f>
        <v>0</v>
      </c>
      <c r="AM9" s="110">
        <f t="shared" ref="AM9:AM40" si="0">SUM(AG9:AL9)</f>
        <v>0</v>
      </c>
      <c r="AN9" s="190">
        <f>+Z9/Y9</f>
        <v>1.1022690280357581</v>
      </c>
      <c r="AP9" s="112">
        <f t="shared" ref="AP9:AP40" si="1">+U9/E9</f>
        <v>4.6128197284450452E-2</v>
      </c>
      <c r="AQ9" s="382">
        <f>'PDA Schedules FY 2018'!AP9</f>
        <v>4.3260453974085906E-2</v>
      </c>
    </row>
    <row r="10" spans="1:43">
      <c r="A10" s="33">
        <f>'UCC Fund Calc FY2022'!C10</f>
        <v>210002</v>
      </c>
      <c r="B10" s="33" t="str">
        <f>'UCC Fund Calc FY2022'!D10</f>
        <v>UM Medical Center</v>
      </c>
      <c r="C10" s="87">
        <v>1004634.0806300011</v>
      </c>
      <c r="D10" s="87">
        <v>553024.12133000034</v>
      </c>
      <c r="E10" s="87">
        <v>1557658.2019600016</v>
      </c>
      <c r="F10" s="87">
        <v>337635.58655992203</v>
      </c>
      <c r="G10" s="87">
        <v>164093.81588278804</v>
      </c>
      <c r="H10" s="87">
        <v>501729.40244271007</v>
      </c>
      <c r="I10" s="87">
        <v>60918.719395711174</v>
      </c>
      <c r="J10" s="87">
        <v>11602.464964136516</v>
      </c>
      <c r="K10" s="87">
        <v>72521.184359847684</v>
      </c>
      <c r="L10" s="87">
        <v>98574.487786469093</v>
      </c>
      <c r="M10" s="87">
        <v>70640.27771961574</v>
      </c>
      <c r="N10" s="87">
        <v>169214.76550608483</v>
      </c>
      <c r="O10" s="87">
        <v>267499.27607336175</v>
      </c>
      <c r="P10" s="87">
        <v>144554.79276117589</v>
      </c>
      <c r="Q10" s="87">
        <v>412054.06883453758</v>
      </c>
      <c r="R10" s="87">
        <v>6309.4683199999763</v>
      </c>
      <c r="S10" s="87">
        <v>42176.827867826731</v>
      </c>
      <c r="T10" s="87">
        <v>23217.206082173267</v>
      </c>
      <c r="U10" s="87">
        <v>65394.033949999997</v>
      </c>
      <c r="V10" s="87">
        <v>197829.18294671041</v>
      </c>
      <c r="W10" s="87">
        <v>138915.56392011087</v>
      </c>
      <c r="X10" s="87">
        <v>336744.74686682125</v>
      </c>
      <c r="Y10" s="87">
        <v>1345915.714193779</v>
      </c>
      <c r="Z10" s="87">
        <v>1491276.5296828789</v>
      </c>
      <c r="AA10" s="131">
        <v>0.32210494048783223</v>
      </c>
      <c r="AB10" s="80">
        <v>4.6557829097933205E-2</v>
      </c>
      <c r="AC10" s="80">
        <v>0.26453433000644805</v>
      </c>
      <c r="AD10" s="80">
        <v>0.31109215910438126</v>
      </c>
      <c r="AE10" s="80">
        <v>4.1982274331887878E-2</v>
      </c>
      <c r="AF10" s="128">
        <f t="shared" ref="AF10:AF57" si="2">C10+D10-E10</f>
        <v>0</v>
      </c>
      <c r="AG10" s="110">
        <f t="shared" ref="AG10:AG57" si="3">F10+G10-H10</f>
        <v>0</v>
      </c>
      <c r="AH10" s="110">
        <f t="shared" ref="AH10:AH57" si="4">I10+J10-K10</f>
        <v>0</v>
      </c>
      <c r="AI10" s="110">
        <f t="shared" ref="AI10:AI57" si="5">L10+M10-N10</f>
        <v>0</v>
      </c>
      <c r="AJ10" s="110">
        <f t="shared" ref="AJ10:AJ57" si="6">O10+P10-Q10</f>
        <v>0</v>
      </c>
      <c r="AK10" s="110">
        <f t="shared" ref="AK10:AK57" si="7">S10+T10-U10</f>
        <v>0</v>
      </c>
      <c r="AL10" s="110">
        <f t="shared" ref="AL10:AL57" si="8">V10+W10-X10</f>
        <v>0</v>
      </c>
      <c r="AM10" s="110">
        <f t="shared" si="0"/>
        <v>0</v>
      </c>
      <c r="AN10" s="190"/>
      <c r="AP10" s="112">
        <f t="shared" si="1"/>
        <v>4.1982274331887878E-2</v>
      </c>
      <c r="AQ10" s="382">
        <f>'PDA Schedules FY 2018'!AP10</f>
        <v>4.0956171681385177E-2</v>
      </c>
    </row>
    <row r="11" spans="1:43">
      <c r="A11" s="33">
        <f>'UCC Fund Calc FY2022'!C11</f>
        <v>210003</v>
      </c>
      <c r="B11" s="33" t="str">
        <f>'UCC Fund Calc FY2022'!D11</f>
        <v>Prince Georges Hospital Center</v>
      </c>
      <c r="C11" s="87">
        <v>250311.99305999975</v>
      </c>
      <c r="D11" s="87">
        <v>77217.554649999991</v>
      </c>
      <c r="E11" s="87">
        <v>327529.54770999972</v>
      </c>
      <c r="F11" s="87">
        <v>88098.358552363818</v>
      </c>
      <c r="G11" s="87">
        <v>12226.543262266559</v>
      </c>
      <c r="H11" s="87">
        <v>100324.90181463036</v>
      </c>
      <c r="I11" s="87">
        <v>29716.137844562712</v>
      </c>
      <c r="J11" s="87">
        <v>3986.7963594623639</v>
      </c>
      <c r="K11" s="87">
        <v>33702.934204025078</v>
      </c>
      <c r="L11" s="87">
        <v>14744.854377724669</v>
      </c>
      <c r="M11" s="87">
        <v>7153.2571812442557</v>
      </c>
      <c r="N11" s="87">
        <v>21898.111558968925</v>
      </c>
      <c r="O11" s="87">
        <v>62804.979083447302</v>
      </c>
      <c r="P11" s="87">
        <v>26320.710296263635</v>
      </c>
      <c r="Q11" s="87">
        <v>89125.689379710937</v>
      </c>
      <c r="R11" s="87">
        <v>1705.8849699999953</v>
      </c>
      <c r="S11" s="87">
        <v>22135.439304578595</v>
      </c>
      <c r="T11" s="87">
        <v>6828.4562529664727</v>
      </c>
      <c r="U11" s="87">
        <v>28963.895557545067</v>
      </c>
      <c r="V11" s="87">
        <v>32812.223897322663</v>
      </c>
      <c r="W11" s="87">
        <v>20701.791297796703</v>
      </c>
      <c r="X11" s="87">
        <v>53514.015195119369</v>
      </c>
      <c r="Y11" s="87">
        <v>260850.60915837323</v>
      </c>
      <c r="Z11" s="87">
        <v>305343.74645329674</v>
      </c>
      <c r="AA11" s="131">
        <v>0.30630794234009001</v>
      </c>
      <c r="AB11" s="80">
        <v>0.10290043887541479</v>
      </c>
      <c r="AC11" s="80">
        <v>0.27211495879640257</v>
      </c>
      <c r="AD11" s="80">
        <v>0.37501539767181735</v>
      </c>
      <c r="AE11" s="80">
        <v>8.8431397289352953E-2</v>
      </c>
      <c r="AF11" s="128">
        <f t="shared" si="2"/>
        <v>0</v>
      </c>
      <c r="AG11" s="110">
        <f t="shared" si="3"/>
        <v>0</v>
      </c>
      <c r="AH11" s="110">
        <f t="shared" si="4"/>
        <v>0</v>
      </c>
      <c r="AI11" s="110">
        <f t="shared" si="5"/>
        <v>0</v>
      </c>
      <c r="AJ11" s="110">
        <f t="shared" si="6"/>
        <v>0</v>
      </c>
      <c r="AK11" s="110">
        <f t="shared" si="7"/>
        <v>0</v>
      </c>
      <c r="AL11" s="110">
        <f t="shared" si="8"/>
        <v>0</v>
      </c>
      <c r="AM11" s="110">
        <f t="shared" si="0"/>
        <v>0</v>
      </c>
      <c r="AN11" s="190"/>
      <c r="AP11" s="112">
        <f t="shared" si="1"/>
        <v>8.8431397289352953E-2</v>
      </c>
      <c r="AQ11" s="382">
        <f>'PDA Schedules FY 2018'!AP11</f>
        <v>9.1424403406464239E-2</v>
      </c>
    </row>
    <row r="12" spans="1:43">
      <c r="A12" s="33">
        <f>'UCC Fund Calc FY2022'!C12</f>
        <v>210004</v>
      </c>
      <c r="B12" s="33" t="str">
        <f>'UCC Fund Calc FY2022'!D12</f>
        <v>Holy Cross Hospital</v>
      </c>
      <c r="C12" s="87">
        <v>363808.1</v>
      </c>
      <c r="D12" s="87">
        <v>154266.29999999999</v>
      </c>
      <c r="E12" s="87">
        <v>518074.4</v>
      </c>
      <c r="F12" s="87">
        <v>109286.65958657955</v>
      </c>
      <c r="G12" s="87">
        <v>32051.581500017855</v>
      </c>
      <c r="H12" s="87">
        <v>141338.24108659744</v>
      </c>
      <c r="I12" s="87">
        <v>27096.739549013993</v>
      </c>
      <c r="J12" s="87">
        <v>4416.8947520580668</v>
      </c>
      <c r="K12" s="87">
        <v>31513.634301072059</v>
      </c>
      <c r="L12" s="87">
        <v>37326.866295683431</v>
      </c>
      <c r="M12" s="87">
        <v>20507.558688728859</v>
      </c>
      <c r="N12" s="87">
        <v>57834.424984412297</v>
      </c>
      <c r="O12" s="87">
        <v>87504.407225862669</v>
      </c>
      <c r="P12" s="87">
        <v>26744.71722842833</v>
      </c>
      <c r="Q12" s="87">
        <v>114249.124454291</v>
      </c>
      <c r="R12" s="87">
        <v>5555.4136600000111</v>
      </c>
      <c r="S12" s="87">
        <v>16351.29184107736</v>
      </c>
      <c r="T12" s="87">
        <v>26938.956788922649</v>
      </c>
      <c r="U12" s="87">
        <v>43290.248630000002</v>
      </c>
      <c r="V12" s="87">
        <v>86242.135501782963</v>
      </c>
      <c r="W12" s="87">
        <v>43606.591041844222</v>
      </c>
      <c r="X12" s="87">
        <v>129848.7265436272</v>
      </c>
      <c r="Y12" s="87">
        <v>368529.91143910168</v>
      </c>
      <c r="Z12" s="87">
        <v>420912.50336423673</v>
      </c>
      <c r="AA12" s="131">
        <v>0.27281456309479379</v>
      </c>
      <c r="AB12" s="80">
        <v>6.0828395112887373E-2</v>
      </c>
      <c r="AC12" s="80">
        <v>0.22052648124341021</v>
      </c>
      <c r="AD12" s="80">
        <v>0.28135487635629758</v>
      </c>
      <c r="AE12" s="80">
        <v>8.3559906897542127E-2</v>
      </c>
      <c r="AF12" s="128">
        <f t="shared" si="2"/>
        <v>0</v>
      </c>
      <c r="AG12" s="110">
        <f t="shared" si="3"/>
        <v>0</v>
      </c>
      <c r="AH12" s="110">
        <f t="shared" si="4"/>
        <v>0</v>
      </c>
      <c r="AI12" s="110">
        <f t="shared" si="5"/>
        <v>0</v>
      </c>
      <c r="AJ12" s="110">
        <f t="shared" si="6"/>
        <v>0</v>
      </c>
      <c r="AK12" s="110">
        <f t="shared" si="7"/>
        <v>0</v>
      </c>
      <c r="AL12" s="110">
        <f t="shared" si="8"/>
        <v>0</v>
      </c>
      <c r="AM12" s="110">
        <f t="shared" si="0"/>
        <v>0</v>
      </c>
      <c r="AN12" s="190"/>
      <c r="AP12" s="112">
        <f t="shared" si="1"/>
        <v>8.3559906897542127E-2</v>
      </c>
      <c r="AQ12" s="382">
        <f>'PDA Schedules FY 2018'!AP12</f>
        <v>7.303669765697296E-2</v>
      </c>
    </row>
    <row r="13" spans="1:43">
      <c r="A13" s="33">
        <f>'UCC Fund Calc FY2022'!C13</f>
        <v>210005</v>
      </c>
      <c r="B13" s="33" t="str">
        <f>'UCC Fund Calc FY2022'!D13</f>
        <v>Frederick Memorial Hospital</v>
      </c>
      <c r="C13" s="87">
        <v>230702.4</v>
      </c>
      <c r="D13" s="87">
        <v>123695.3</v>
      </c>
      <c r="E13" s="87">
        <v>354397.7</v>
      </c>
      <c r="F13" s="87">
        <v>104721.08413226483</v>
      </c>
      <c r="G13" s="87">
        <v>37171.404926911091</v>
      </c>
      <c r="H13" s="87">
        <v>141892.48905917595</v>
      </c>
      <c r="I13" s="87">
        <v>6033.9808043243029</v>
      </c>
      <c r="J13" s="87">
        <v>1749.8911413839046</v>
      </c>
      <c r="K13" s="87">
        <v>7783.8719457082079</v>
      </c>
      <c r="L13" s="87">
        <v>36685.18625888283</v>
      </c>
      <c r="M13" s="87">
        <v>25143.848804774578</v>
      </c>
      <c r="N13" s="87">
        <v>61829.0350636574</v>
      </c>
      <c r="O13" s="87">
        <v>36705.403297437901</v>
      </c>
      <c r="P13" s="87">
        <v>22308.066677380302</v>
      </c>
      <c r="Q13" s="87">
        <v>59013.469974818203</v>
      </c>
      <c r="R13" s="87">
        <v>2096.9520000000002</v>
      </c>
      <c r="S13" s="87">
        <v>7015.1747099999993</v>
      </c>
      <c r="T13" s="87">
        <v>9458.3072900000006</v>
      </c>
      <c r="U13" s="87">
        <v>16473.482</v>
      </c>
      <c r="V13" s="87">
        <v>39541.570797090098</v>
      </c>
      <c r="W13" s="87">
        <v>27863.78115955013</v>
      </c>
      <c r="X13" s="87">
        <v>67405.351956640239</v>
      </c>
      <c r="Y13" s="87">
        <v>266448.01139014011</v>
      </c>
      <c r="Z13" s="87">
        <v>292634.34036098036</v>
      </c>
      <c r="AA13" s="131">
        <v>0.40037643884025192</v>
      </c>
      <c r="AB13" s="80">
        <v>2.1963663832209428E-2</v>
      </c>
      <c r="AC13" s="80">
        <v>0.16651764380755915</v>
      </c>
      <c r="AD13" s="80">
        <v>0.18848130763976856</v>
      </c>
      <c r="AE13" s="80">
        <v>4.6483038687892157E-2</v>
      </c>
      <c r="AF13" s="128">
        <f t="shared" si="2"/>
        <v>0</v>
      </c>
      <c r="AG13" s="110">
        <f t="shared" si="3"/>
        <v>0</v>
      </c>
      <c r="AH13" s="110">
        <f t="shared" si="4"/>
        <v>0</v>
      </c>
      <c r="AI13" s="110">
        <f t="shared" si="5"/>
        <v>0</v>
      </c>
      <c r="AJ13" s="110">
        <f t="shared" si="6"/>
        <v>0</v>
      </c>
      <c r="AK13" s="110">
        <f t="shared" si="7"/>
        <v>0</v>
      </c>
      <c r="AL13" s="110">
        <f t="shared" si="8"/>
        <v>0</v>
      </c>
      <c r="AM13" s="110">
        <f t="shared" si="0"/>
        <v>0</v>
      </c>
      <c r="AN13" s="190"/>
      <c r="AP13" s="112">
        <f t="shared" si="1"/>
        <v>4.6483038687892157E-2</v>
      </c>
      <c r="AQ13" s="382">
        <f>'PDA Schedules FY 2018'!AP13</f>
        <v>4.342057197905156E-2</v>
      </c>
    </row>
    <row r="14" spans="1:43">
      <c r="A14" s="33">
        <f>'UCC Fund Calc FY2022'!C14</f>
        <v>210006</v>
      </c>
      <c r="B14" s="33" t="str">
        <f>'UCC Fund Calc FY2022'!D14</f>
        <v>UM Harford Memorial Hospital</v>
      </c>
      <c r="C14" s="121">
        <v>54526.560750000011</v>
      </c>
      <c r="D14" s="121">
        <v>53583.50595999998</v>
      </c>
      <c r="E14" s="121">
        <v>108110.06671</v>
      </c>
      <c r="F14" s="121">
        <v>28040.312212582376</v>
      </c>
      <c r="G14" s="121">
        <v>16825.26331737838</v>
      </c>
      <c r="H14" s="121">
        <v>44865.575529960755</v>
      </c>
      <c r="I14" s="121">
        <v>1038.103796046355</v>
      </c>
      <c r="J14" s="121">
        <v>2170.0553707562772</v>
      </c>
      <c r="K14" s="121">
        <v>3208.1591668026322</v>
      </c>
      <c r="L14" s="121">
        <v>2821.0741251422319</v>
      </c>
      <c r="M14" s="121">
        <v>5517.9117343269809</v>
      </c>
      <c r="N14" s="121">
        <v>8338.9858594692123</v>
      </c>
      <c r="O14" s="121">
        <v>10157.742673822422</v>
      </c>
      <c r="P14" s="121">
        <v>10548.625302386419</v>
      </c>
      <c r="Q14" s="121">
        <v>20706.367976208843</v>
      </c>
      <c r="R14" s="121">
        <v>890.71047999999996</v>
      </c>
      <c r="S14" s="121">
        <v>3515.904360764685</v>
      </c>
      <c r="T14" s="121">
        <v>3455.095639235315</v>
      </c>
      <c r="U14" s="121">
        <v>6971</v>
      </c>
      <c r="V14" s="121">
        <v>8953.4235816419405</v>
      </c>
      <c r="W14" s="121">
        <v>15066.554595916616</v>
      </c>
      <c r="X14" s="121">
        <v>24019.978177558562</v>
      </c>
      <c r="Y14" s="121">
        <v>84316.041638215043</v>
      </c>
      <c r="Z14" s="121">
        <v>95779.359504889508</v>
      </c>
      <c r="AA14" s="131">
        <v>0.41499905508624357</v>
      </c>
      <c r="AB14" s="80">
        <v>2.9674934670129872E-2</v>
      </c>
      <c r="AC14" s="80">
        <v>0.19153043381013415</v>
      </c>
      <c r="AD14" s="80">
        <v>0.22120536848026401</v>
      </c>
      <c r="AE14" s="80">
        <v>6.4480581800947068E-2</v>
      </c>
      <c r="AF14" s="128">
        <f t="shared" si="2"/>
        <v>0</v>
      </c>
      <c r="AG14" s="110">
        <f t="shared" si="3"/>
        <v>0</v>
      </c>
      <c r="AH14" s="110">
        <f t="shared" si="4"/>
        <v>0</v>
      </c>
      <c r="AI14" s="110">
        <f t="shared" si="5"/>
        <v>0</v>
      </c>
      <c r="AJ14" s="110">
        <f t="shared" si="6"/>
        <v>0</v>
      </c>
      <c r="AK14" s="110">
        <f t="shared" si="7"/>
        <v>0</v>
      </c>
      <c r="AL14" s="110">
        <f t="shared" si="8"/>
        <v>0</v>
      </c>
      <c r="AM14" s="110">
        <f t="shared" si="0"/>
        <v>0</v>
      </c>
      <c r="AN14" s="190"/>
      <c r="AP14" s="112">
        <f t="shared" si="1"/>
        <v>6.4480581800947068E-2</v>
      </c>
      <c r="AQ14" s="382">
        <f>'PDA Schedules FY 2018'!AP14</f>
        <v>6.8574257521752988E-2</v>
      </c>
    </row>
    <row r="15" spans="1:43">
      <c r="A15" s="33">
        <f>'UCC Fund Calc FY2022'!C15</f>
        <v>210008</v>
      </c>
      <c r="B15" s="33" t="str">
        <f>'UCC Fund Calc FY2022'!D15</f>
        <v>Mercy Medical Center</v>
      </c>
      <c r="C15" s="87">
        <v>242704.4</v>
      </c>
      <c r="D15" s="87">
        <v>310975.09999999998</v>
      </c>
      <c r="E15" s="87">
        <v>553679.5</v>
      </c>
      <c r="F15" s="87">
        <v>97344.2</v>
      </c>
      <c r="G15" s="87">
        <v>103539</v>
      </c>
      <c r="H15" s="87">
        <v>200883.1</v>
      </c>
      <c r="I15" s="87">
        <v>7230.1</v>
      </c>
      <c r="J15" s="87">
        <v>3783.1</v>
      </c>
      <c r="K15" s="87">
        <v>11013.2</v>
      </c>
      <c r="L15" s="87">
        <v>47466.7</v>
      </c>
      <c r="M15" s="87">
        <v>90086.9</v>
      </c>
      <c r="N15" s="87">
        <v>137553.60000000001</v>
      </c>
      <c r="O15" s="87">
        <v>53367.3</v>
      </c>
      <c r="P15" s="87">
        <v>48819.5</v>
      </c>
      <c r="Q15" s="87">
        <v>102186.8</v>
      </c>
      <c r="R15" s="87">
        <v>10289.4</v>
      </c>
      <c r="S15" s="87">
        <v>9351.6</v>
      </c>
      <c r="T15" s="87">
        <v>18665.2</v>
      </c>
      <c r="U15" s="87">
        <v>28016.799999999999</v>
      </c>
      <c r="V15" s="87">
        <v>27944.6</v>
      </c>
      <c r="W15" s="87">
        <v>46081.4</v>
      </c>
      <c r="X15" s="87">
        <v>74026</v>
      </c>
      <c r="Y15" s="87">
        <v>456900</v>
      </c>
      <c r="Z15" s="87">
        <v>503674.1</v>
      </c>
      <c r="AA15" s="131">
        <v>0.36281476919409156</v>
      </c>
      <c r="AB15" s="80">
        <v>1.9890929680437871E-2</v>
      </c>
      <c r="AC15" s="80">
        <v>0.18455947890431199</v>
      </c>
      <c r="AD15" s="80">
        <v>0.20445040858474983</v>
      </c>
      <c r="AE15" s="80">
        <v>5.0601114904922431E-2</v>
      </c>
      <c r="AF15" s="128">
        <f t="shared" si="2"/>
        <v>0</v>
      </c>
      <c r="AG15" s="110">
        <f t="shared" si="3"/>
        <v>0.10000000000582077</v>
      </c>
      <c r="AH15" s="110">
        <f t="shared" si="4"/>
        <v>0</v>
      </c>
      <c r="AI15" s="110">
        <f t="shared" si="5"/>
        <v>0</v>
      </c>
      <c r="AJ15" s="110">
        <f t="shared" si="6"/>
        <v>0</v>
      </c>
      <c r="AK15" s="110">
        <f t="shared" si="7"/>
        <v>0</v>
      </c>
      <c r="AL15" s="110">
        <f t="shared" si="8"/>
        <v>0</v>
      </c>
      <c r="AM15" s="110">
        <f t="shared" si="0"/>
        <v>0.10000000000582077</v>
      </c>
      <c r="AN15" s="190"/>
      <c r="AP15" s="112">
        <f t="shared" si="1"/>
        <v>5.0601114904922431E-2</v>
      </c>
      <c r="AQ15" s="382">
        <f>'PDA Schedules FY 2018'!AP15</f>
        <v>4.4144901929282519E-2</v>
      </c>
    </row>
    <row r="16" spans="1:43">
      <c r="A16" s="33">
        <f>'UCC Fund Calc FY2022'!C16</f>
        <v>210009</v>
      </c>
      <c r="B16" s="33" t="str">
        <f>'UCC Fund Calc FY2022'!D16</f>
        <v>Johns Hopkins Hospital</v>
      </c>
      <c r="C16" s="87">
        <v>1491624</v>
      </c>
      <c r="D16" s="87">
        <v>983024.83</v>
      </c>
      <c r="E16" s="87">
        <v>2474648.83</v>
      </c>
      <c r="F16" s="87">
        <v>457453.6</v>
      </c>
      <c r="G16" s="87">
        <v>259611</v>
      </c>
      <c r="H16" s="87">
        <v>717064.6</v>
      </c>
      <c r="I16" s="87">
        <v>101206.7</v>
      </c>
      <c r="J16" s="87">
        <v>32552</v>
      </c>
      <c r="K16" s="87">
        <v>133758.70000000001</v>
      </c>
      <c r="L16" s="87">
        <v>279557.2</v>
      </c>
      <c r="M16" s="87">
        <v>240067.4</v>
      </c>
      <c r="N16" s="87">
        <v>519624.6</v>
      </c>
      <c r="O16" s="87">
        <v>283724.59999999998</v>
      </c>
      <c r="P16" s="87">
        <v>163431.5</v>
      </c>
      <c r="Q16" s="87">
        <v>447156.1</v>
      </c>
      <c r="R16" s="87">
        <v>12122.8</v>
      </c>
      <c r="S16" s="87">
        <v>16239</v>
      </c>
      <c r="T16" s="87">
        <v>47748</v>
      </c>
      <c r="U16" s="87">
        <v>63987</v>
      </c>
      <c r="V16" s="87">
        <v>353442.9</v>
      </c>
      <c r="W16" s="87">
        <v>239614.93000000005</v>
      </c>
      <c r="X16" s="87">
        <v>593057.83000000007</v>
      </c>
      <c r="Y16" s="87">
        <v>2093812.8124878455</v>
      </c>
      <c r="Z16" s="87">
        <v>2265093.178773385</v>
      </c>
      <c r="AA16" s="131">
        <v>0.28976418443985846</v>
      </c>
      <c r="AB16" s="80">
        <v>5.4051588402545182E-2</v>
      </c>
      <c r="AC16" s="80">
        <v>0.18069476952816774</v>
      </c>
      <c r="AD16" s="80">
        <v>0.23474635793071294</v>
      </c>
      <c r="AE16" s="80">
        <v>2.585700210239527E-2</v>
      </c>
      <c r="AF16" s="128">
        <f t="shared" si="2"/>
        <v>0</v>
      </c>
      <c r="AG16" s="110">
        <f t="shared" si="3"/>
        <v>0</v>
      </c>
      <c r="AH16" s="110">
        <f t="shared" si="4"/>
        <v>0</v>
      </c>
      <c r="AI16" s="110">
        <f t="shared" si="5"/>
        <v>0</v>
      </c>
      <c r="AJ16" s="110">
        <f t="shared" si="6"/>
        <v>0</v>
      </c>
      <c r="AK16" s="110">
        <f t="shared" si="7"/>
        <v>0</v>
      </c>
      <c r="AL16" s="110">
        <f t="shared" si="8"/>
        <v>0</v>
      </c>
      <c r="AM16" s="110">
        <f t="shared" si="0"/>
        <v>0</v>
      </c>
      <c r="AN16" s="190"/>
      <c r="AP16" s="112">
        <f t="shared" si="1"/>
        <v>2.585700210239527E-2</v>
      </c>
      <c r="AQ16" s="382">
        <f>'PDA Schedules FY 2018'!AP16</f>
        <v>2.4723568013642162E-2</v>
      </c>
    </row>
    <row r="17" spans="1:43">
      <c r="A17" s="33">
        <f>'UCC Fund Calc FY2022'!C17</f>
        <v>210010</v>
      </c>
      <c r="B17" s="33" t="str">
        <f>'UCC Fund Calc FY2022'!D17</f>
        <v>UM Shore Medical Center at Dorchester</v>
      </c>
      <c r="C17" s="87">
        <v>20077.579630000015</v>
      </c>
      <c r="D17" s="87">
        <v>25118.931750000011</v>
      </c>
      <c r="E17" s="87">
        <v>45196.511380000025</v>
      </c>
      <c r="F17" s="87">
        <v>10887.507836282592</v>
      </c>
      <c r="G17" s="87">
        <v>7978.4201224967437</v>
      </c>
      <c r="H17" s="87">
        <v>18865.927958779335</v>
      </c>
      <c r="I17" s="87">
        <v>476.04398386343007</v>
      </c>
      <c r="J17" s="87">
        <v>1457.409100504442</v>
      </c>
      <c r="K17" s="87">
        <v>1933.453084367872</v>
      </c>
      <c r="L17" s="87">
        <v>617.49830920214663</v>
      </c>
      <c r="M17" s="87">
        <v>2228.1079963985198</v>
      </c>
      <c r="N17" s="87">
        <v>2845.6063056006665</v>
      </c>
      <c r="O17" s="87">
        <v>5772.7928192169111</v>
      </c>
      <c r="P17" s="87">
        <v>8689.2817810942088</v>
      </c>
      <c r="Q17" s="87">
        <v>14462.07460031112</v>
      </c>
      <c r="R17" s="87">
        <v>502.72212000000013</v>
      </c>
      <c r="S17" s="87">
        <v>1105.3599812783723</v>
      </c>
      <c r="T17" s="87">
        <v>1382.9088187216278</v>
      </c>
      <c r="U17" s="87">
        <v>2488.2688000000003</v>
      </c>
      <c r="V17" s="87">
        <v>1218.3767001565609</v>
      </c>
      <c r="W17" s="87">
        <v>3382.8039307844683</v>
      </c>
      <c r="X17" s="87">
        <v>4601.1806309410294</v>
      </c>
      <c r="Y17" s="87">
        <v>31432.858181872602</v>
      </c>
      <c r="Z17" s="87">
        <v>35665.670034627408</v>
      </c>
      <c r="AA17" s="131">
        <v>0.41742000395029882</v>
      </c>
      <c r="AB17" s="80">
        <v>4.2778812464349787E-2</v>
      </c>
      <c r="AC17" s="80">
        <v>0.31998209947484474</v>
      </c>
      <c r="AD17" s="80">
        <v>0.36276091193919452</v>
      </c>
      <c r="AE17" s="80">
        <v>5.505444389455881E-2</v>
      </c>
      <c r="AF17" s="128">
        <f t="shared" si="2"/>
        <v>0</v>
      </c>
      <c r="AG17" s="110">
        <f t="shared" si="3"/>
        <v>0</v>
      </c>
      <c r="AH17" s="110">
        <f t="shared" si="4"/>
        <v>0</v>
      </c>
      <c r="AI17" s="110">
        <f t="shared" si="5"/>
        <v>0</v>
      </c>
      <c r="AJ17" s="110">
        <f t="shared" si="6"/>
        <v>0</v>
      </c>
      <c r="AK17" s="110">
        <f t="shared" si="7"/>
        <v>0</v>
      </c>
      <c r="AL17" s="110">
        <f t="shared" si="8"/>
        <v>0</v>
      </c>
      <c r="AM17" s="110">
        <f t="shared" si="0"/>
        <v>0</v>
      </c>
      <c r="AN17" s="190"/>
      <c r="AP17" s="112">
        <f t="shared" si="1"/>
        <v>5.505444389455881E-2</v>
      </c>
      <c r="AQ17" s="382">
        <f>'PDA Schedules FY 2018'!AP17</f>
        <v>5.5996647125895999E-2</v>
      </c>
    </row>
    <row r="18" spans="1:43">
      <c r="A18" s="33">
        <f>'UCC Fund Calc FY2022'!C18</f>
        <v>210011</v>
      </c>
      <c r="B18" s="33" t="str">
        <f>'UCC Fund Calc FY2022'!D18</f>
        <v>Saint Agnes Hospital</v>
      </c>
      <c r="C18" s="87">
        <v>247134.8</v>
      </c>
      <c r="D18" s="87">
        <v>182975.7</v>
      </c>
      <c r="E18" s="87">
        <v>430110.5</v>
      </c>
      <c r="F18" s="87">
        <v>106398.90969153962</v>
      </c>
      <c r="G18" s="87">
        <v>59005.552116828112</v>
      </c>
      <c r="H18" s="87">
        <v>165404.46180836775</v>
      </c>
      <c r="I18" s="87">
        <v>17453.849093891346</v>
      </c>
      <c r="J18" s="87">
        <v>4282.0872928087101</v>
      </c>
      <c r="K18" s="87">
        <v>21735.936386700057</v>
      </c>
      <c r="L18" s="87">
        <v>26725.496406293536</v>
      </c>
      <c r="M18" s="87">
        <v>29979.782953274087</v>
      </c>
      <c r="N18" s="87">
        <v>56705.279359567619</v>
      </c>
      <c r="O18" s="87">
        <v>59229.490430000013</v>
      </c>
      <c r="P18" s="87">
        <v>47450.275319999921</v>
      </c>
      <c r="Q18" s="87">
        <v>106679.76574999992</v>
      </c>
      <c r="R18" s="87">
        <v>9153.9494100000047</v>
      </c>
      <c r="S18" s="87">
        <v>7118.6978182228759</v>
      </c>
      <c r="T18" s="87">
        <v>13992.866331777124</v>
      </c>
      <c r="U18" s="87">
        <v>21111.564149999998</v>
      </c>
      <c r="V18" s="87">
        <v>30208.356560052602</v>
      </c>
      <c r="W18" s="87">
        <v>28265.135985312063</v>
      </c>
      <c r="X18" s="87">
        <v>58473.492545364657</v>
      </c>
      <c r="Y18" s="87">
        <v>300729.37538330146</v>
      </c>
      <c r="Z18" s="87">
        <v>332668.34758241143</v>
      </c>
      <c r="AA18" s="131">
        <v>0.38456271541468473</v>
      </c>
      <c r="AB18" s="80">
        <v>5.0535702771032226E-2</v>
      </c>
      <c r="AC18" s="80">
        <v>0.24802874087007853</v>
      </c>
      <c r="AD18" s="80">
        <v>0.29856444364111079</v>
      </c>
      <c r="AE18" s="80">
        <v>4.908404735527265E-2</v>
      </c>
      <c r="AF18" s="128">
        <f t="shared" si="2"/>
        <v>0</v>
      </c>
      <c r="AG18" s="110">
        <f t="shared" si="3"/>
        <v>0</v>
      </c>
      <c r="AH18" s="110">
        <f t="shared" si="4"/>
        <v>0</v>
      </c>
      <c r="AI18" s="110">
        <f t="shared" si="5"/>
        <v>0</v>
      </c>
      <c r="AJ18" s="110">
        <f t="shared" si="6"/>
        <v>0</v>
      </c>
      <c r="AK18" s="110">
        <f t="shared" si="7"/>
        <v>0</v>
      </c>
      <c r="AL18" s="110">
        <f t="shared" si="8"/>
        <v>0</v>
      </c>
      <c r="AM18" s="110">
        <f t="shared" si="0"/>
        <v>0</v>
      </c>
      <c r="AN18" s="190"/>
      <c r="AP18" s="112">
        <f t="shared" si="1"/>
        <v>4.908404735527265E-2</v>
      </c>
      <c r="AQ18" s="382">
        <f>'PDA Schedules FY 2018'!AP18</f>
        <v>5.028191510337799E-2</v>
      </c>
    </row>
    <row r="19" spans="1:43">
      <c r="A19" s="33">
        <f>'UCC Fund Calc FY2022'!C19</f>
        <v>210012</v>
      </c>
      <c r="B19" s="33" t="str">
        <f>'UCC Fund Calc FY2022'!D19</f>
        <v>Sinai Hospital of Baltimore</v>
      </c>
      <c r="C19" s="87">
        <v>414003.24400000001</v>
      </c>
      <c r="D19" s="87">
        <v>376815.8000000001</v>
      </c>
      <c r="E19" s="87">
        <v>790819.04399999999</v>
      </c>
      <c r="F19" s="87">
        <v>190517.04399999999</v>
      </c>
      <c r="G19" s="87">
        <v>125619.6</v>
      </c>
      <c r="H19" s="87">
        <v>316136.64400000003</v>
      </c>
      <c r="I19" s="87">
        <v>20658</v>
      </c>
      <c r="J19" s="87">
        <v>9325.2000000000007</v>
      </c>
      <c r="K19" s="87">
        <v>29983.200000000001</v>
      </c>
      <c r="L19" s="87">
        <v>39571.599999999999</v>
      </c>
      <c r="M19" s="87">
        <v>52558.3</v>
      </c>
      <c r="N19" s="87">
        <v>92129.9</v>
      </c>
      <c r="O19" s="87">
        <v>96936.5</v>
      </c>
      <c r="P19" s="87">
        <v>98665.2</v>
      </c>
      <c r="Q19" s="87">
        <v>195601.7</v>
      </c>
      <c r="R19" s="87">
        <v>0</v>
      </c>
      <c r="S19" s="87">
        <v>7366.1</v>
      </c>
      <c r="T19" s="87">
        <v>16016.8</v>
      </c>
      <c r="U19" s="87">
        <v>23382.9</v>
      </c>
      <c r="V19" s="87">
        <v>58953.999999999978</v>
      </c>
      <c r="W19" s="87">
        <v>74630.700000000012</v>
      </c>
      <c r="X19" s="87">
        <v>133584.69999999998</v>
      </c>
      <c r="Y19" s="87">
        <v>606835.21719614009</v>
      </c>
      <c r="Z19" s="87">
        <v>665497.08645436715</v>
      </c>
      <c r="AA19" s="131">
        <v>0.39975851163240328</v>
      </c>
      <c r="AB19" s="80">
        <v>3.7914109716356302E-2</v>
      </c>
      <c r="AC19" s="80">
        <v>0.24734065458342708</v>
      </c>
      <c r="AD19" s="80">
        <v>0.28525476429978336</v>
      </c>
      <c r="AE19" s="80">
        <v>2.9567952589669808E-2</v>
      </c>
      <c r="AF19" s="128">
        <f t="shared" si="2"/>
        <v>0</v>
      </c>
      <c r="AG19" s="110">
        <f t="shared" si="3"/>
        <v>0</v>
      </c>
      <c r="AH19" s="110">
        <f t="shared" si="4"/>
        <v>0</v>
      </c>
      <c r="AI19" s="110">
        <f t="shared" si="5"/>
        <v>0</v>
      </c>
      <c r="AJ19" s="110">
        <f t="shared" si="6"/>
        <v>0</v>
      </c>
      <c r="AK19" s="110">
        <f t="shared" si="7"/>
        <v>0</v>
      </c>
      <c r="AL19" s="110">
        <f t="shared" si="8"/>
        <v>0</v>
      </c>
      <c r="AM19" s="110">
        <f t="shared" si="0"/>
        <v>0</v>
      </c>
      <c r="AN19" s="190"/>
      <c r="AP19" s="112">
        <f t="shared" si="1"/>
        <v>2.9567952589669808E-2</v>
      </c>
      <c r="AQ19" s="382">
        <f>'PDA Schedules FY 2018'!AP19</f>
        <v>3.5196197737556854E-2</v>
      </c>
    </row>
    <row r="20" spans="1:43">
      <c r="A20" s="33">
        <f>'UCC Fund Calc FY2022'!C20</f>
        <v>210013</v>
      </c>
      <c r="B20" s="33" t="str">
        <f>'UCC Fund Calc FY2022'!D20</f>
        <v>Bon Secours Hospital</v>
      </c>
      <c r="C20" s="87">
        <v>63948.728100000008</v>
      </c>
      <c r="D20" s="87">
        <v>47896.311510000014</v>
      </c>
      <c r="E20" s="87">
        <v>111845.03961000002</v>
      </c>
      <c r="F20" s="87">
        <v>21748.551604936103</v>
      </c>
      <c r="G20" s="87">
        <v>11323.806849808305</v>
      </c>
      <c r="H20" s="87">
        <v>33072.358454744404</v>
      </c>
      <c r="I20" s="87">
        <v>14535.399731689402</v>
      </c>
      <c r="J20" s="87">
        <v>4070.894367073347</v>
      </c>
      <c r="K20" s="87">
        <v>18606.294098762748</v>
      </c>
      <c r="L20" s="87">
        <v>764.73223279161141</v>
      </c>
      <c r="M20" s="87">
        <v>1267.2095696614135</v>
      </c>
      <c r="N20" s="87">
        <v>2031.9418024530248</v>
      </c>
      <c r="O20" s="87">
        <v>22409.852622689159</v>
      </c>
      <c r="P20" s="87">
        <v>16784.52901254045</v>
      </c>
      <c r="Q20" s="87">
        <v>39194.381635229613</v>
      </c>
      <c r="R20" s="87">
        <v>1515.1583299999872</v>
      </c>
      <c r="S20" s="87">
        <v>1382.1625801773173</v>
      </c>
      <c r="T20" s="87">
        <v>1257.4468798226828</v>
      </c>
      <c r="U20" s="87">
        <v>2639.6094600000001</v>
      </c>
      <c r="V20" s="87">
        <v>3108.0293277164142</v>
      </c>
      <c r="W20" s="87">
        <v>13192.424831093822</v>
      </c>
      <c r="X20" s="87">
        <v>16300.454158810237</v>
      </c>
      <c r="Y20" s="87">
        <v>74449.839697070784</v>
      </c>
      <c r="Z20" s="87">
        <v>80566.115974813831</v>
      </c>
      <c r="AA20" s="131">
        <v>0.29569803515709442</v>
      </c>
      <c r="AB20" s="80">
        <v>0.16635779435227779</v>
      </c>
      <c r="AC20" s="80">
        <v>0.35043468867192623</v>
      </c>
      <c r="AD20" s="80">
        <v>0.516792483024204</v>
      </c>
      <c r="AE20" s="80">
        <v>2.3600594797983279E-2</v>
      </c>
      <c r="AF20" s="128">
        <f t="shared" si="2"/>
        <v>0</v>
      </c>
      <c r="AG20" s="110">
        <f t="shared" si="3"/>
        <v>0</v>
      </c>
      <c r="AH20" s="110">
        <f t="shared" si="4"/>
        <v>0</v>
      </c>
      <c r="AI20" s="110">
        <f t="shared" si="5"/>
        <v>0</v>
      </c>
      <c r="AJ20" s="110">
        <f t="shared" si="6"/>
        <v>0</v>
      </c>
      <c r="AK20" s="110">
        <f t="shared" si="7"/>
        <v>0</v>
      </c>
      <c r="AL20" s="110">
        <f t="shared" si="8"/>
        <v>0</v>
      </c>
      <c r="AM20" s="110">
        <f t="shared" si="0"/>
        <v>0</v>
      </c>
      <c r="AN20" s="190"/>
      <c r="AP20" s="112">
        <f t="shared" si="1"/>
        <v>2.3600594797983279E-2</v>
      </c>
      <c r="AQ20" s="382">
        <f>'PDA Schedules FY 2018'!AP20</f>
        <v>2.1270969340599081E-2</v>
      </c>
    </row>
    <row r="21" spans="1:43">
      <c r="A21" s="33">
        <f>'UCC Fund Calc FY2022'!C21</f>
        <v>210015</v>
      </c>
      <c r="B21" s="33" t="str">
        <f>'UCC Fund Calc FY2022'!D21</f>
        <v>Medstar Franklin Square Medical Center</v>
      </c>
      <c r="C21" s="87">
        <v>301121.64185000001</v>
      </c>
      <c r="D21" s="87">
        <v>253846.92100000015</v>
      </c>
      <c r="E21" s="87">
        <v>554968.56285000022</v>
      </c>
      <c r="F21" s="87">
        <v>124194.06785896901</v>
      </c>
      <c r="G21" s="87">
        <v>85071.174987676044</v>
      </c>
      <c r="H21" s="87">
        <v>209265.24284664504</v>
      </c>
      <c r="I21" s="87">
        <v>12002.194923462795</v>
      </c>
      <c r="J21" s="87">
        <v>5566.0696371215599</v>
      </c>
      <c r="K21" s="87">
        <v>17568.264560584357</v>
      </c>
      <c r="L21" s="87">
        <v>21973.197857130916</v>
      </c>
      <c r="M21" s="87">
        <v>29726.931818205929</v>
      </c>
      <c r="N21" s="87">
        <v>51700.129675336852</v>
      </c>
      <c r="O21" s="87">
        <v>89281.888971819964</v>
      </c>
      <c r="P21" s="87">
        <v>70880.157649203116</v>
      </c>
      <c r="Q21" s="87">
        <v>160162.04662102307</v>
      </c>
      <c r="R21" s="87">
        <v>4760.6263800000688</v>
      </c>
      <c r="S21" s="87">
        <v>8588.2611559652541</v>
      </c>
      <c r="T21" s="87">
        <v>10836.300104034741</v>
      </c>
      <c r="U21" s="87">
        <v>19424.561259999995</v>
      </c>
      <c r="V21" s="87">
        <v>45082.031082652109</v>
      </c>
      <c r="W21" s="87">
        <v>51766.286803758761</v>
      </c>
      <c r="X21" s="87">
        <v>96848.317886410878</v>
      </c>
      <c r="Y21" s="87">
        <v>421465.24968894094</v>
      </c>
      <c r="Z21" s="87">
        <v>465357.51800919161</v>
      </c>
      <c r="AA21" s="131">
        <v>0.37707585051661086</v>
      </c>
      <c r="AB21" s="80">
        <v>3.1656323865200266E-2</v>
      </c>
      <c r="AC21" s="80">
        <v>0.28859661130807601</v>
      </c>
      <c r="AD21" s="80">
        <v>0.3202529351732763</v>
      </c>
      <c r="AE21" s="80">
        <v>3.5001192067973343E-2</v>
      </c>
      <c r="AF21" s="128">
        <f t="shared" si="2"/>
        <v>0</v>
      </c>
      <c r="AG21" s="110">
        <f t="shared" si="3"/>
        <v>0</v>
      </c>
      <c r="AH21" s="110">
        <f t="shared" si="4"/>
        <v>0</v>
      </c>
      <c r="AI21" s="110">
        <f t="shared" si="5"/>
        <v>0</v>
      </c>
      <c r="AJ21" s="110">
        <f t="shared" si="6"/>
        <v>0</v>
      </c>
      <c r="AK21" s="110">
        <f t="shared" si="7"/>
        <v>0</v>
      </c>
      <c r="AL21" s="110">
        <f t="shared" si="8"/>
        <v>0</v>
      </c>
      <c r="AM21" s="110">
        <f t="shared" si="0"/>
        <v>0</v>
      </c>
      <c r="AN21" s="190"/>
      <c r="AP21" s="112">
        <f t="shared" si="1"/>
        <v>3.5001192067973343E-2</v>
      </c>
      <c r="AQ21" s="382">
        <f>'PDA Schedules FY 2018'!AP21</f>
        <v>3.9544537572320577E-2</v>
      </c>
    </row>
    <row r="22" spans="1:43">
      <c r="A22" s="33">
        <f>'UCC Fund Calc FY2022'!C22</f>
        <v>210016</v>
      </c>
      <c r="B22" s="33" t="str">
        <f>'UCC Fund Calc FY2022'!D22</f>
        <v>Adventist - Washington Adventist Hospital</v>
      </c>
      <c r="C22" s="87">
        <v>186880.16201412107</v>
      </c>
      <c r="D22" s="87">
        <v>116108.23798587894</v>
      </c>
      <c r="E22" s="87">
        <v>302988.40000000002</v>
      </c>
      <c r="F22" s="87">
        <v>84289.37</v>
      </c>
      <c r="G22" s="87">
        <v>39164.35</v>
      </c>
      <c r="H22" s="87">
        <v>123453.72</v>
      </c>
      <c r="I22" s="87">
        <v>41249.529000000002</v>
      </c>
      <c r="J22" s="87">
        <v>6567.4049999999997</v>
      </c>
      <c r="K22" s="87">
        <v>47816.934000000001</v>
      </c>
      <c r="L22" s="87">
        <v>16393.723000000002</v>
      </c>
      <c r="M22" s="87">
        <v>17949.257000000001</v>
      </c>
      <c r="N22" s="87">
        <v>34342.980000000003</v>
      </c>
      <c r="O22" s="87">
        <v>23325.532999999999</v>
      </c>
      <c r="P22" s="87">
        <v>20096.044999999998</v>
      </c>
      <c r="Q22" s="87">
        <v>43421.577999999994</v>
      </c>
      <c r="R22" s="87">
        <v>6163.4920000000002</v>
      </c>
      <c r="S22" s="87">
        <v>15312.059380746376</v>
      </c>
      <c r="T22" s="87">
        <v>9514.9496192536244</v>
      </c>
      <c r="U22" s="87">
        <v>24827.008999999998</v>
      </c>
      <c r="V22" s="87">
        <v>6309.9476333746934</v>
      </c>
      <c r="W22" s="87">
        <v>22816.231366625325</v>
      </c>
      <c r="X22" s="87">
        <v>29126.179000000015</v>
      </c>
      <c r="Y22" s="87">
        <v>229672.07194615385</v>
      </c>
      <c r="Z22" s="87">
        <v>266687.39459643827</v>
      </c>
      <c r="AA22" s="131">
        <v>0.40745361868639191</v>
      </c>
      <c r="AB22" s="80">
        <v>0.1578177052322795</v>
      </c>
      <c r="AC22" s="80">
        <v>0.14331102444846069</v>
      </c>
      <c r="AD22" s="80">
        <v>0.30112872968074017</v>
      </c>
      <c r="AE22" s="80">
        <v>8.1940460426867812E-2</v>
      </c>
      <c r="AF22" s="128">
        <f t="shared" si="2"/>
        <v>0</v>
      </c>
      <c r="AG22" s="110">
        <f t="shared" si="3"/>
        <v>0</v>
      </c>
      <c r="AH22" s="110">
        <f t="shared" si="4"/>
        <v>0</v>
      </c>
      <c r="AI22" s="110">
        <f t="shared" si="5"/>
        <v>0</v>
      </c>
      <c r="AJ22" s="110">
        <f t="shared" si="6"/>
        <v>0</v>
      </c>
      <c r="AK22" s="110">
        <f t="shared" si="7"/>
        <v>0</v>
      </c>
      <c r="AL22" s="110">
        <f t="shared" si="8"/>
        <v>0</v>
      </c>
      <c r="AM22" s="110">
        <f t="shared" si="0"/>
        <v>0</v>
      </c>
      <c r="AN22" s="190"/>
      <c r="AP22" s="112">
        <f t="shared" si="1"/>
        <v>8.1940460426867812E-2</v>
      </c>
      <c r="AQ22" s="382">
        <f>'PDA Schedules FY 2018'!AP22</f>
        <v>7.0225563990504156E-2</v>
      </c>
    </row>
    <row r="23" spans="1:43">
      <c r="A23" s="33">
        <f>'UCC Fund Calc FY2022'!C23</f>
        <v>210017</v>
      </c>
      <c r="B23" s="33" t="str">
        <f>'UCC Fund Calc FY2022'!D23</f>
        <v>Garrett County Memorial Hospital</v>
      </c>
      <c r="C23" s="87">
        <v>23218.639999999999</v>
      </c>
      <c r="D23" s="87">
        <v>40251.414999999994</v>
      </c>
      <c r="E23" s="87">
        <v>63470.054999999993</v>
      </c>
      <c r="F23" s="87">
        <v>11626.094512460328</v>
      </c>
      <c r="G23" s="87">
        <v>17389.097019573936</v>
      </c>
      <c r="H23" s="87">
        <v>29015.191532034263</v>
      </c>
      <c r="I23" s="87">
        <v>1271.0165451489959</v>
      </c>
      <c r="J23" s="87">
        <v>1754.319672622755</v>
      </c>
      <c r="K23" s="87">
        <v>3025.3362177717509</v>
      </c>
      <c r="L23" s="87">
        <v>1589.5968910573572</v>
      </c>
      <c r="M23" s="87">
        <v>4379.9112792132119</v>
      </c>
      <c r="N23" s="87">
        <v>5969.5081702705693</v>
      </c>
      <c r="O23" s="87">
        <v>5253.4400245072857</v>
      </c>
      <c r="P23" s="87">
        <v>7681.3406207405988</v>
      </c>
      <c r="Q23" s="87">
        <v>12934.780645247884</v>
      </c>
      <c r="R23" s="87">
        <v>499.07610999999997</v>
      </c>
      <c r="S23" s="87">
        <v>1455.2245599999999</v>
      </c>
      <c r="T23" s="87">
        <v>2966.5744399999999</v>
      </c>
      <c r="U23" s="87">
        <v>4421.799</v>
      </c>
      <c r="V23" s="87">
        <v>2023.2674668260331</v>
      </c>
      <c r="W23" s="87">
        <v>6080.1719678494937</v>
      </c>
      <c r="X23" s="87">
        <v>8103.4394346755271</v>
      </c>
      <c r="Y23" s="87">
        <v>45029.005809036345</v>
      </c>
      <c r="Z23" s="87">
        <v>51691.205840878611</v>
      </c>
      <c r="AA23" s="131">
        <v>0.45714772946130683</v>
      </c>
      <c r="AB23" s="80">
        <v>4.7665567924460618E-2</v>
      </c>
      <c r="AC23" s="80">
        <v>0.20379343684589346</v>
      </c>
      <c r="AD23" s="80">
        <v>0.25145900477035404</v>
      </c>
      <c r="AE23" s="80">
        <v>6.9667483351007031E-2</v>
      </c>
      <c r="AF23" s="128">
        <f t="shared" si="2"/>
        <v>0</v>
      </c>
      <c r="AG23" s="110">
        <f t="shared" si="3"/>
        <v>0</v>
      </c>
      <c r="AH23" s="110">
        <f t="shared" si="4"/>
        <v>0</v>
      </c>
      <c r="AI23" s="110">
        <f t="shared" si="5"/>
        <v>0</v>
      </c>
      <c r="AJ23" s="110">
        <f t="shared" si="6"/>
        <v>0</v>
      </c>
      <c r="AK23" s="110">
        <f t="shared" si="7"/>
        <v>0</v>
      </c>
      <c r="AL23" s="110">
        <f t="shared" si="8"/>
        <v>0</v>
      </c>
      <c r="AM23" s="110">
        <f t="shared" si="0"/>
        <v>0</v>
      </c>
      <c r="AN23" s="190"/>
      <c r="AP23" s="112">
        <f t="shared" si="1"/>
        <v>6.9667483351007031E-2</v>
      </c>
      <c r="AQ23" s="382">
        <f>'PDA Schedules FY 2018'!AP23</f>
        <v>6.5709065943794887E-2</v>
      </c>
    </row>
    <row r="24" spans="1:43">
      <c r="A24" s="33">
        <f>'UCC Fund Calc FY2022'!C24</f>
        <v>210018</v>
      </c>
      <c r="B24" s="33" t="str">
        <f>'UCC Fund Calc FY2022'!D24</f>
        <v>Medstar Montgomery Medical Center</v>
      </c>
      <c r="C24" s="87">
        <v>84351.491009999954</v>
      </c>
      <c r="D24" s="87">
        <v>95703.932570000063</v>
      </c>
      <c r="E24" s="87">
        <v>180055.42358</v>
      </c>
      <c r="F24" s="87">
        <v>45714.350633423412</v>
      </c>
      <c r="G24" s="87">
        <v>33267.310647936276</v>
      </c>
      <c r="H24" s="87">
        <v>78981.661281359673</v>
      </c>
      <c r="I24" s="87">
        <v>2225.4078593832023</v>
      </c>
      <c r="J24" s="87">
        <v>1606.1283530166161</v>
      </c>
      <c r="K24" s="87">
        <v>3831.5362123998184</v>
      </c>
      <c r="L24" s="87">
        <v>6202.4060549733904</v>
      </c>
      <c r="M24" s="87">
        <v>13125.194183655503</v>
      </c>
      <c r="N24" s="87">
        <v>19327.600238628896</v>
      </c>
      <c r="O24" s="87">
        <v>13243.771305776079</v>
      </c>
      <c r="P24" s="87">
        <v>16355.241966377496</v>
      </c>
      <c r="Q24" s="87">
        <v>29599.013272153577</v>
      </c>
      <c r="R24" s="87">
        <v>1270.8966699999935</v>
      </c>
      <c r="S24" s="87">
        <v>1773.028324891297</v>
      </c>
      <c r="T24" s="87">
        <v>4410.7079551087036</v>
      </c>
      <c r="U24" s="87">
        <v>6183.7362800000019</v>
      </c>
      <c r="V24" s="87">
        <v>15192.526831552579</v>
      </c>
      <c r="W24" s="87">
        <v>26939.349463905462</v>
      </c>
      <c r="X24" s="87">
        <v>42131.876295458045</v>
      </c>
      <c r="Y24" s="87">
        <v>134066.43981262154</v>
      </c>
      <c r="Z24" s="87">
        <v>147240.03092647486</v>
      </c>
      <c r="AA24" s="131">
        <v>0.43865194233523058</v>
      </c>
      <c r="AB24" s="80">
        <v>2.1279760066196717E-2</v>
      </c>
      <c r="AC24" s="80">
        <v>0.16438834600837507</v>
      </c>
      <c r="AD24" s="80">
        <v>0.18566810607457179</v>
      </c>
      <c r="AE24" s="80">
        <v>3.4343515774477744E-2</v>
      </c>
      <c r="AF24" s="128">
        <f t="shared" si="2"/>
        <v>0</v>
      </c>
      <c r="AG24" s="110">
        <f t="shared" si="3"/>
        <v>0</v>
      </c>
      <c r="AH24" s="110">
        <f t="shared" si="4"/>
        <v>0</v>
      </c>
      <c r="AI24" s="110">
        <f t="shared" si="5"/>
        <v>0</v>
      </c>
      <c r="AJ24" s="110">
        <f t="shared" si="6"/>
        <v>0</v>
      </c>
      <c r="AK24" s="110">
        <f t="shared" si="7"/>
        <v>0</v>
      </c>
      <c r="AL24" s="110">
        <f t="shared" si="8"/>
        <v>0</v>
      </c>
      <c r="AM24" s="110">
        <f t="shared" si="0"/>
        <v>0</v>
      </c>
      <c r="AN24" s="190"/>
      <c r="AP24" s="112">
        <f t="shared" si="1"/>
        <v>3.4343515774477744E-2</v>
      </c>
      <c r="AQ24" s="382">
        <f>'PDA Schedules FY 2018'!AP24</f>
        <v>3.1625345028000129E-2</v>
      </c>
    </row>
    <row r="25" spans="1:43">
      <c r="A25" s="33">
        <f>'UCC Fund Calc FY2022'!C25</f>
        <v>210019</v>
      </c>
      <c r="B25" s="33" t="str">
        <f>'UCC Fund Calc FY2022'!D25</f>
        <v>Peninsula Regional Medical Center</v>
      </c>
      <c r="C25" s="87">
        <v>248824.3</v>
      </c>
      <c r="D25" s="87">
        <v>206383.5</v>
      </c>
      <c r="E25" s="87">
        <v>455207.8</v>
      </c>
      <c r="F25" s="87">
        <v>135101.29999999999</v>
      </c>
      <c r="G25" s="87">
        <v>92627.3</v>
      </c>
      <c r="H25" s="87">
        <v>227728.6</v>
      </c>
      <c r="I25" s="87">
        <v>8949.4</v>
      </c>
      <c r="J25" s="87">
        <v>3935</v>
      </c>
      <c r="K25" s="87">
        <v>12884.4</v>
      </c>
      <c r="L25" s="87">
        <v>12623</v>
      </c>
      <c r="M25" s="87">
        <v>18131</v>
      </c>
      <c r="N25" s="87">
        <v>30754</v>
      </c>
      <c r="O25" s="87">
        <v>50017.8</v>
      </c>
      <c r="P25" s="87">
        <v>41375.699999999997</v>
      </c>
      <c r="Q25" s="87">
        <v>91393.5</v>
      </c>
      <c r="R25" s="87">
        <v>0</v>
      </c>
      <c r="S25" s="87">
        <v>8385.4</v>
      </c>
      <c r="T25" s="87">
        <v>8858.5</v>
      </c>
      <c r="U25" s="87">
        <v>17243.900000000001</v>
      </c>
      <c r="V25" s="87">
        <v>33747.4</v>
      </c>
      <c r="W25" s="87">
        <v>41456</v>
      </c>
      <c r="X25" s="87">
        <v>75203.399999999994</v>
      </c>
      <c r="Y25" s="87">
        <v>335617.30527051282</v>
      </c>
      <c r="Z25" s="87">
        <v>372397.56617998774</v>
      </c>
      <c r="AA25" s="131">
        <v>0.50027394082438836</v>
      </c>
      <c r="AB25" s="80">
        <v>2.8304435908172047E-2</v>
      </c>
      <c r="AC25" s="80">
        <v>0.20077314140926408</v>
      </c>
      <c r="AD25" s="80">
        <v>0.22907757731743611</v>
      </c>
      <c r="AE25" s="80">
        <v>3.7881380767201267E-2</v>
      </c>
      <c r="AF25" s="128">
        <f t="shared" si="2"/>
        <v>0</v>
      </c>
      <c r="AG25" s="110">
        <f t="shared" si="3"/>
        <v>0</v>
      </c>
      <c r="AH25" s="110">
        <f t="shared" si="4"/>
        <v>0</v>
      </c>
      <c r="AI25" s="110">
        <f t="shared" si="5"/>
        <v>0</v>
      </c>
      <c r="AJ25" s="110">
        <f t="shared" si="6"/>
        <v>0</v>
      </c>
      <c r="AK25" s="110">
        <f t="shared" si="7"/>
        <v>0</v>
      </c>
      <c r="AL25" s="110">
        <f t="shared" si="8"/>
        <v>0</v>
      </c>
      <c r="AM25" s="110">
        <f t="shared" si="0"/>
        <v>0</v>
      </c>
      <c r="AN25" s="190"/>
      <c r="AP25" s="112">
        <f t="shared" si="1"/>
        <v>3.7881380767201267E-2</v>
      </c>
      <c r="AQ25" s="382">
        <f>'PDA Schedules FY 2018'!AP25</f>
        <v>3.4937208065524333E-2</v>
      </c>
    </row>
    <row r="26" spans="1:43">
      <c r="A26" s="33">
        <f>'UCC Fund Calc FY2022'!C26</f>
        <v>210022</v>
      </c>
      <c r="B26" s="33" t="str">
        <f>'UCC Fund Calc FY2022'!D26</f>
        <v>Suburban Hospital</v>
      </c>
      <c r="C26" s="87">
        <v>213453.12299999999</v>
      </c>
      <c r="D26" s="87">
        <v>123182.00100000002</v>
      </c>
      <c r="E26" s="87">
        <v>336635.12400000001</v>
      </c>
      <c r="F26" s="87">
        <v>112180.289</v>
      </c>
      <c r="G26" s="87">
        <v>45961.936000000002</v>
      </c>
      <c r="H26" s="87">
        <v>158142.22500000001</v>
      </c>
      <c r="I26" s="87">
        <v>5331.8810000000003</v>
      </c>
      <c r="J26" s="87">
        <v>527.77800000000002</v>
      </c>
      <c r="K26" s="87">
        <v>5859.6590000000006</v>
      </c>
      <c r="L26" s="87">
        <v>27262.942999999999</v>
      </c>
      <c r="M26" s="87">
        <v>27150.87</v>
      </c>
      <c r="N26" s="87">
        <v>54413.812999999995</v>
      </c>
      <c r="O26" s="87">
        <v>14742.394</v>
      </c>
      <c r="P26" s="87">
        <v>9680.6819999999989</v>
      </c>
      <c r="Q26" s="87">
        <v>24423.076000000001</v>
      </c>
      <c r="R26" s="87">
        <v>1496.08052</v>
      </c>
      <c r="S26" s="87">
        <v>7529.7290000000003</v>
      </c>
      <c r="T26" s="87">
        <v>4574.3760000000002</v>
      </c>
      <c r="U26" s="87">
        <v>12104.105</v>
      </c>
      <c r="V26" s="87">
        <v>46405.886999999995</v>
      </c>
      <c r="W26" s="87">
        <v>35286.359000000011</v>
      </c>
      <c r="X26" s="87">
        <v>81692.246000000014</v>
      </c>
      <c r="Y26" s="87">
        <v>263236.2034771592</v>
      </c>
      <c r="Z26" s="87">
        <v>288456.85912882601</v>
      </c>
      <c r="AA26" s="131">
        <v>0.46977339476910912</v>
      </c>
      <c r="AB26" s="80">
        <v>1.7406558562201611E-2</v>
      </c>
      <c r="AC26" s="80">
        <v>7.2550587442562889E-2</v>
      </c>
      <c r="AD26" s="80">
        <v>8.9957146004764496E-2</v>
      </c>
      <c r="AE26" s="80">
        <v>3.5956155900119323E-2</v>
      </c>
      <c r="AF26" s="128">
        <f t="shared" si="2"/>
        <v>0</v>
      </c>
      <c r="AG26" s="110">
        <f t="shared" si="3"/>
        <v>0</v>
      </c>
      <c r="AH26" s="110">
        <f t="shared" si="4"/>
        <v>0</v>
      </c>
      <c r="AI26" s="110">
        <f t="shared" si="5"/>
        <v>0</v>
      </c>
      <c r="AJ26" s="110">
        <f t="shared" si="6"/>
        <v>0</v>
      </c>
      <c r="AK26" s="110">
        <f t="shared" si="7"/>
        <v>0</v>
      </c>
      <c r="AL26" s="110">
        <f t="shared" si="8"/>
        <v>0</v>
      </c>
      <c r="AM26" s="110">
        <f t="shared" si="0"/>
        <v>0</v>
      </c>
      <c r="AN26" s="190"/>
      <c r="AP26" s="112">
        <f t="shared" si="1"/>
        <v>3.5956155900119323E-2</v>
      </c>
      <c r="AQ26" s="382">
        <f>'PDA Schedules FY 2018'!AP26</f>
        <v>3.4002229238079919E-2</v>
      </c>
    </row>
    <row r="27" spans="1:43">
      <c r="A27" s="33">
        <f>'UCC Fund Calc FY2022'!C27</f>
        <v>210023</v>
      </c>
      <c r="B27" s="33" t="str">
        <f>'UCC Fund Calc FY2022'!D27</f>
        <v>Anne Arundel Medical Center</v>
      </c>
      <c r="C27" s="87">
        <v>311577.09999999998</v>
      </c>
      <c r="D27" s="87">
        <v>328079.40000000002</v>
      </c>
      <c r="E27" s="87">
        <v>639656.5</v>
      </c>
      <c r="F27" s="87">
        <v>135529.79999999999</v>
      </c>
      <c r="G27" s="87">
        <v>108158.1</v>
      </c>
      <c r="H27" s="87">
        <v>243687.9</v>
      </c>
      <c r="I27" s="87">
        <v>9018</v>
      </c>
      <c r="J27" s="87">
        <v>2729.6</v>
      </c>
      <c r="K27" s="87">
        <v>11747.6</v>
      </c>
      <c r="L27" s="87">
        <v>44606.3</v>
      </c>
      <c r="M27" s="87">
        <v>61764.3</v>
      </c>
      <c r="N27" s="87">
        <v>106370.6</v>
      </c>
      <c r="O27" s="87">
        <v>38131.199999999997</v>
      </c>
      <c r="P27" s="87">
        <v>34385.9</v>
      </c>
      <c r="Q27" s="87">
        <v>72517.100000000006</v>
      </c>
      <c r="R27" s="87">
        <v>4005</v>
      </c>
      <c r="S27" s="87">
        <v>5714</v>
      </c>
      <c r="T27" s="87">
        <v>11601.7</v>
      </c>
      <c r="U27" s="87">
        <v>17315.7</v>
      </c>
      <c r="V27" s="87">
        <v>78577.799999999988</v>
      </c>
      <c r="W27" s="87">
        <v>109439.80000000005</v>
      </c>
      <c r="X27" s="87">
        <v>188017.6</v>
      </c>
      <c r="Y27" s="87">
        <v>510564.73969285213</v>
      </c>
      <c r="Z27" s="87">
        <v>547426.53131475195</v>
      </c>
      <c r="AA27" s="131">
        <v>0.38096681578315861</v>
      </c>
      <c r="AB27" s="80">
        <v>1.8365482098595107E-2</v>
      </c>
      <c r="AC27" s="80">
        <v>0.11336881591916913</v>
      </c>
      <c r="AD27" s="80">
        <v>0.13173429801776423</v>
      </c>
      <c r="AE27" s="80">
        <v>2.7070310393156327E-2</v>
      </c>
      <c r="AF27" s="128">
        <f t="shared" si="2"/>
        <v>0</v>
      </c>
      <c r="AG27" s="110">
        <f t="shared" si="3"/>
        <v>0</v>
      </c>
      <c r="AH27" s="110">
        <f t="shared" si="4"/>
        <v>0</v>
      </c>
      <c r="AI27" s="110">
        <f t="shared" si="5"/>
        <v>0</v>
      </c>
      <c r="AJ27" s="110">
        <f t="shared" si="6"/>
        <v>0</v>
      </c>
      <c r="AK27" s="110">
        <f t="shared" si="7"/>
        <v>0</v>
      </c>
      <c r="AL27" s="110">
        <f t="shared" si="8"/>
        <v>0</v>
      </c>
      <c r="AM27" s="110">
        <f t="shared" si="0"/>
        <v>0</v>
      </c>
      <c r="AN27" s="190"/>
      <c r="AP27" s="112">
        <f t="shared" si="1"/>
        <v>2.7070310393156327E-2</v>
      </c>
      <c r="AQ27" s="382">
        <f>'PDA Schedules FY 2018'!AP27</f>
        <v>2.7966246690855918E-2</v>
      </c>
    </row>
    <row r="28" spans="1:43">
      <c r="A28" s="33">
        <f>'UCC Fund Calc FY2022'!C28</f>
        <v>210024</v>
      </c>
      <c r="B28" s="33" t="str">
        <f>'UCC Fund Calc FY2022'!D28</f>
        <v>Medstar Union Memorial Hospital</v>
      </c>
      <c r="C28" s="87">
        <v>254096.37078</v>
      </c>
      <c r="D28" s="87">
        <v>166396.58031000011</v>
      </c>
      <c r="E28" s="87">
        <v>420492.9510900001</v>
      </c>
      <c r="F28" s="87">
        <v>131200.630170469</v>
      </c>
      <c r="G28" s="87">
        <v>53844.209582488162</v>
      </c>
      <c r="H28" s="87">
        <v>185044.83975295717</v>
      </c>
      <c r="I28" s="87">
        <v>10362.584869437873</v>
      </c>
      <c r="J28" s="87">
        <v>3012.9186707751419</v>
      </c>
      <c r="K28" s="87">
        <v>13375.503540213014</v>
      </c>
      <c r="L28" s="87">
        <v>19483.689588918041</v>
      </c>
      <c r="M28" s="87">
        <v>21572.764955238137</v>
      </c>
      <c r="N28" s="87">
        <v>41056.454544156171</v>
      </c>
      <c r="O28" s="87">
        <v>55690.357096105101</v>
      </c>
      <c r="P28" s="87">
        <v>40406.932815976157</v>
      </c>
      <c r="Q28" s="87">
        <v>96097.289912081265</v>
      </c>
      <c r="R28" s="87">
        <v>3202.5014500000525</v>
      </c>
      <c r="S28" s="87">
        <v>4052.6455742813105</v>
      </c>
      <c r="T28" s="87">
        <v>8465.7504857186887</v>
      </c>
      <c r="U28" s="87">
        <v>12518.396059999999</v>
      </c>
      <c r="V28" s="87">
        <v>33306.463480788676</v>
      </c>
      <c r="W28" s="87">
        <v>39094.003799803824</v>
      </c>
      <c r="X28" s="87">
        <v>72400.467280592507</v>
      </c>
      <c r="Y28" s="87">
        <v>341416.63849931402</v>
      </c>
      <c r="Z28" s="87">
        <v>374922.28043907881</v>
      </c>
      <c r="AA28" s="131">
        <v>0.44006644885077073</v>
      </c>
      <c r="AB28" s="80">
        <v>3.1809102876852249E-2</v>
      </c>
      <c r="AC28" s="80">
        <v>0.2285348414592403</v>
      </c>
      <c r="AD28" s="80">
        <v>0.26034394433609259</v>
      </c>
      <c r="AE28" s="80">
        <v>2.9770763166302464E-2</v>
      </c>
      <c r="AF28" s="128">
        <f t="shared" si="2"/>
        <v>0</v>
      </c>
      <c r="AG28" s="110">
        <f t="shared" si="3"/>
        <v>0</v>
      </c>
      <c r="AH28" s="110">
        <f t="shared" si="4"/>
        <v>0</v>
      </c>
      <c r="AI28" s="110">
        <f t="shared" si="5"/>
        <v>0</v>
      </c>
      <c r="AJ28" s="110">
        <f t="shared" si="6"/>
        <v>0</v>
      </c>
      <c r="AK28" s="110">
        <f t="shared" si="7"/>
        <v>0</v>
      </c>
      <c r="AL28" s="110">
        <f t="shared" si="8"/>
        <v>0</v>
      </c>
      <c r="AM28" s="110">
        <f t="shared" si="0"/>
        <v>0</v>
      </c>
      <c r="AN28" s="190"/>
      <c r="AP28" s="112">
        <f t="shared" si="1"/>
        <v>2.9770763166302464E-2</v>
      </c>
      <c r="AQ28" s="382">
        <f>'PDA Schedules FY 2018'!AP28</f>
        <v>3.5899380538046553E-2</v>
      </c>
    </row>
    <row r="29" spans="1:43">
      <c r="A29" s="33">
        <f>'UCC Fund Calc FY2022'!C29</f>
        <v>210027</v>
      </c>
      <c r="B29" s="33" t="str">
        <f>'UCC Fund Calc FY2022'!D29</f>
        <v>Western Maryland Regional Medical Center</v>
      </c>
      <c r="C29" s="101">
        <v>174785.3</v>
      </c>
      <c r="D29" s="87">
        <v>161338.20000000001</v>
      </c>
      <c r="E29" s="87">
        <v>336123.5</v>
      </c>
      <c r="F29" s="87">
        <v>100077.3</v>
      </c>
      <c r="G29" s="87">
        <v>69863.600000000006</v>
      </c>
      <c r="H29" s="87">
        <v>169940.90000000002</v>
      </c>
      <c r="I29" s="87">
        <v>4236.3999999999996</v>
      </c>
      <c r="J29" s="87">
        <v>2011.5</v>
      </c>
      <c r="K29" s="87">
        <v>6247.9</v>
      </c>
      <c r="L29" s="87">
        <v>11717.5</v>
      </c>
      <c r="M29" s="87">
        <v>19320.8</v>
      </c>
      <c r="N29" s="87">
        <v>31038.3</v>
      </c>
      <c r="O29" s="87">
        <v>38442.600000000006</v>
      </c>
      <c r="P29" s="87">
        <v>34709.299999999996</v>
      </c>
      <c r="Q29" s="87">
        <v>73151.899999999994</v>
      </c>
      <c r="R29" s="87">
        <v>2480.15362</v>
      </c>
      <c r="S29" s="87">
        <v>7611.2</v>
      </c>
      <c r="T29" s="87">
        <v>10420</v>
      </c>
      <c r="U29" s="87">
        <v>18031.2</v>
      </c>
      <c r="V29" s="87">
        <v>12700.299999999985</v>
      </c>
      <c r="W29" s="87">
        <v>25013.000000000007</v>
      </c>
      <c r="X29" s="87">
        <v>37713.299999999981</v>
      </c>
      <c r="Y29" s="87">
        <v>245591.99580153849</v>
      </c>
      <c r="Z29" s="87">
        <v>277533.21891784266</v>
      </c>
      <c r="AA29" s="131">
        <v>0.50559065343541887</v>
      </c>
      <c r="AB29" s="80">
        <v>1.858810823997727E-2</v>
      </c>
      <c r="AC29" s="80">
        <v>0.21763399464780056</v>
      </c>
      <c r="AD29" s="80">
        <v>0.23622210288777781</v>
      </c>
      <c r="AE29" s="80">
        <v>5.3644568142364339E-2</v>
      </c>
      <c r="AF29" s="128">
        <f t="shared" si="2"/>
        <v>0</v>
      </c>
      <c r="AG29" s="110">
        <f t="shared" si="3"/>
        <v>0</v>
      </c>
      <c r="AH29" s="110">
        <f t="shared" si="4"/>
        <v>0</v>
      </c>
      <c r="AI29" s="110">
        <f t="shared" si="5"/>
        <v>0</v>
      </c>
      <c r="AJ29" s="110">
        <f t="shared" si="6"/>
        <v>0</v>
      </c>
      <c r="AK29" s="110">
        <f t="shared" si="7"/>
        <v>0</v>
      </c>
      <c r="AL29" s="110">
        <f t="shared" si="8"/>
        <v>0</v>
      </c>
      <c r="AM29" s="110">
        <f t="shared" si="0"/>
        <v>0</v>
      </c>
      <c r="AN29" s="190"/>
      <c r="AP29" s="112">
        <f t="shared" si="1"/>
        <v>5.3644568142364339E-2</v>
      </c>
      <c r="AQ29" s="382">
        <f>'PDA Schedules FY 2018'!AP29</f>
        <v>4.9895935385129361E-2</v>
      </c>
    </row>
    <row r="30" spans="1:43">
      <c r="A30" s="33">
        <f>'UCC Fund Calc FY2022'!C30</f>
        <v>210028</v>
      </c>
      <c r="B30" s="33" t="str">
        <f>'UCC Fund Calc FY2022'!D30</f>
        <v>Medstar Saint Mary's Hospital</v>
      </c>
      <c r="C30" s="87">
        <v>78658.329120000039</v>
      </c>
      <c r="D30" s="87">
        <v>112013.85192000004</v>
      </c>
      <c r="E30" s="87">
        <v>190672.18104000005</v>
      </c>
      <c r="F30" s="87">
        <v>39482.343107828259</v>
      </c>
      <c r="G30" s="87">
        <v>38954.797131298626</v>
      </c>
      <c r="H30" s="87">
        <v>78437.140239126893</v>
      </c>
      <c r="I30" s="87">
        <v>1589.8109172210509</v>
      </c>
      <c r="J30" s="87">
        <v>2320.563856189081</v>
      </c>
      <c r="K30" s="87">
        <v>3910.3747734101312</v>
      </c>
      <c r="L30" s="87">
        <v>6847.2197170873824</v>
      </c>
      <c r="M30" s="87">
        <v>15680.223267244715</v>
      </c>
      <c r="N30" s="87">
        <v>22527.442984332098</v>
      </c>
      <c r="O30" s="87">
        <v>13534.140193659434</v>
      </c>
      <c r="P30" s="87">
        <v>18255.760317301618</v>
      </c>
      <c r="Q30" s="87">
        <v>31789.900510961052</v>
      </c>
      <c r="R30" s="87">
        <v>1633.7830999999881</v>
      </c>
      <c r="S30" s="87">
        <v>1881.0001344488687</v>
      </c>
      <c r="T30" s="87">
        <v>6645.9057255511325</v>
      </c>
      <c r="U30" s="87">
        <v>8526.9058600000008</v>
      </c>
      <c r="V30" s="87">
        <v>15323.815049755023</v>
      </c>
      <c r="W30" s="87">
        <v>30156.601622414863</v>
      </c>
      <c r="X30" s="87">
        <v>45480.416672169893</v>
      </c>
      <c r="Y30" s="87">
        <v>138546.58580096046</v>
      </c>
      <c r="Z30" s="87">
        <v>153634.66144430407</v>
      </c>
      <c r="AA30" s="131">
        <v>0.4113717051501708</v>
      </c>
      <c r="AB30" s="80">
        <v>2.0508365468320706E-2</v>
      </c>
      <c r="AC30" s="80">
        <v>0.16672542547930486</v>
      </c>
      <c r="AD30" s="80">
        <v>0.18723379094762557</v>
      </c>
      <c r="AE30" s="80">
        <v>4.4720240852603392E-2</v>
      </c>
      <c r="AF30" s="128">
        <f t="shared" si="2"/>
        <v>0</v>
      </c>
      <c r="AG30" s="110">
        <f t="shared" si="3"/>
        <v>0</v>
      </c>
      <c r="AH30" s="110">
        <f t="shared" si="4"/>
        <v>0</v>
      </c>
      <c r="AI30" s="110">
        <f t="shared" si="5"/>
        <v>0</v>
      </c>
      <c r="AJ30" s="110">
        <f t="shared" si="6"/>
        <v>0</v>
      </c>
      <c r="AK30" s="110">
        <f t="shared" si="7"/>
        <v>0</v>
      </c>
      <c r="AL30" s="110">
        <f t="shared" si="8"/>
        <v>0</v>
      </c>
      <c r="AM30" s="110">
        <f t="shared" si="0"/>
        <v>0</v>
      </c>
      <c r="AN30" s="190"/>
      <c r="AP30" s="112">
        <f t="shared" si="1"/>
        <v>4.4720240852603392E-2</v>
      </c>
      <c r="AQ30" s="382">
        <f>'PDA Schedules FY 2018'!AP30</f>
        <v>4.1696433462627226E-2</v>
      </c>
    </row>
    <row r="31" spans="1:43">
      <c r="A31" s="33">
        <f>'UCC Fund Calc FY2022'!C31</f>
        <v>210029</v>
      </c>
      <c r="B31" s="33" t="str">
        <f>'UCC Fund Calc FY2022'!D31</f>
        <v>Johns Hopkins Bayview Medical Center</v>
      </c>
      <c r="C31" s="87">
        <v>380466.2</v>
      </c>
      <c r="D31" s="87">
        <v>311102.10000000003</v>
      </c>
      <c r="E31" s="87">
        <v>691568.3</v>
      </c>
      <c r="F31" s="87">
        <v>153914.5</v>
      </c>
      <c r="G31" s="87">
        <v>90980.3</v>
      </c>
      <c r="H31" s="87">
        <v>244894.8</v>
      </c>
      <c r="I31" s="87">
        <v>40493.800000000003</v>
      </c>
      <c r="J31" s="87">
        <v>34304.5</v>
      </c>
      <c r="K31" s="87">
        <v>74798.3</v>
      </c>
      <c r="L31" s="87">
        <v>35962.400000000001</v>
      </c>
      <c r="M31" s="87">
        <v>55152.9</v>
      </c>
      <c r="N31" s="87">
        <v>91115.3</v>
      </c>
      <c r="O31" s="87">
        <v>85224.6</v>
      </c>
      <c r="P31" s="87">
        <v>67496.100000000006</v>
      </c>
      <c r="Q31" s="87">
        <v>152720.70000000001</v>
      </c>
      <c r="R31" s="87">
        <v>5122.3999999999996</v>
      </c>
      <c r="S31" s="87">
        <v>10583</v>
      </c>
      <c r="T31" s="87">
        <v>25394</v>
      </c>
      <c r="U31" s="87">
        <v>35977</v>
      </c>
      <c r="V31" s="87">
        <v>54287.900000000023</v>
      </c>
      <c r="W31" s="87">
        <v>37774.300000000047</v>
      </c>
      <c r="X31" s="87">
        <v>92062.200000000084</v>
      </c>
      <c r="Y31" s="87">
        <v>582356.41089223872</v>
      </c>
      <c r="Z31" s="87">
        <v>654477.92910531838</v>
      </c>
      <c r="AA31" s="131">
        <v>0.35411513222916663</v>
      </c>
      <c r="AB31" s="80">
        <v>0.10815750230309862</v>
      </c>
      <c r="AC31" s="80">
        <v>0.22083241814293686</v>
      </c>
      <c r="AD31" s="80">
        <v>0.32898992044603548</v>
      </c>
      <c r="AE31" s="80">
        <v>5.2022338213015253E-2</v>
      </c>
      <c r="AF31" s="128">
        <f t="shared" si="2"/>
        <v>0</v>
      </c>
      <c r="AG31" s="110">
        <f t="shared" si="3"/>
        <v>0</v>
      </c>
      <c r="AH31" s="110">
        <f t="shared" si="4"/>
        <v>0</v>
      </c>
      <c r="AI31" s="110">
        <f t="shared" si="5"/>
        <v>0</v>
      </c>
      <c r="AJ31" s="110">
        <f t="shared" si="6"/>
        <v>0</v>
      </c>
      <c r="AK31" s="110">
        <f t="shared" si="7"/>
        <v>0</v>
      </c>
      <c r="AL31" s="110">
        <f t="shared" si="8"/>
        <v>0</v>
      </c>
      <c r="AM31" s="110">
        <f t="shared" si="0"/>
        <v>0</v>
      </c>
      <c r="AN31" s="190"/>
      <c r="AP31" s="112">
        <f t="shared" si="1"/>
        <v>5.2022338213015253E-2</v>
      </c>
      <c r="AQ31" s="382">
        <f>'PDA Schedules FY 2018'!AP31</f>
        <v>5.1358933324102594E-2</v>
      </c>
    </row>
    <row r="32" spans="1:43">
      <c r="A32" s="33">
        <f>'UCC Fund Calc FY2022'!C32</f>
        <v>210030</v>
      </c>
      <c r="B32" s="33" t="str">
        <f>'UCC Fund Calc FY2022'!D32</f>
        <v>UM Shore Medical Center at Chestertown</v>
      </c>
      <c r="C32" s="87">
        <v>12041.331990000001</v>
      </c>
      <c r="D32" s="87">
        <v>38166.801780000009</v>
      </c>
      <c r="E32" s="87">
        <v>50208.133770000008</v>
      </c>
      <c r="F32" s="87">
        <v>8298.8662148778858</v>
      </c>
      <c r="G32" s="87">
        <v>17632.176542363173</v>
      </c>
      <c r="H32" s="87">
        <v>25931.042757241059</v>
      </c>
      <c r="I32" s="87">
        <v>471.40859859346369</v>
      </c>
      <c r="J32" s="87">
        <v>967.20962074279339</v>
      </c>
      <c r="K32" s="87">
        <v>1438.618219336257</v>
      </c>
      <c r="L32" s="87">
        <v>623.04519086728067</v>
      </c>
      <c r="M32" s="87">
        <v>4402.2087712355806</v>
      </c>
      <c r="N32" s="87">
        <v>5025.2539621028609</v>
      </c>
      <c r="O32" s="87">
        <v>1523.8942537496839</v>
      </c>
      <c r="P32" s="87">
        <v>8103.7474899274812</v>
      </c>
      <c r="Q32" s="87">
        <v>9627.6417436771644</v>
      </c>
      <c r="R32" s="87">
        <v>403.02981000000091</v>
      </c>
      <c r="S32" s="87">
        <v>648.8805300353788</v>
      </c>
      <c r="T32" s="87">
        <v>2056.7238399646212</v>
      </c>
      <c r="U32" s="87">
        <v>2705.60437</v>
      </c>
      <c r="V32" s="87">
        <v>475.23720187630784</v>
      </c>
      <c r="W32" s="87">
        <v>5004.7355157663596</v>
      </c>
      <c r="X32" s="87">
        <v>5479.9727176426677</v>
      </c>
      <c r="Y32" s="87">
        <v>36894.776020034631</v>
      </c>
      <c r="Z32" s="87">
        <v>41689.185121333147</v>
      </c>
      <c r="AA32" s="131">
        <v>0.51647095420892108</v>
      </c>
      <c r="AB32" s="80">
        <v>2.8653090870225682E-2</v>
      </c>
      <c r="AC32" s="80">
        <v>0.19175462262311374</v>
      </c>
      <c r="AD32" s="80">
        <v>0.2204077134933394</v>
      </c>
      <c r="AE32" s="80">
        <v>5.3887770105022957E-2</v>
      </c>
      <c r="AF32" s="128">
        <f t="shared" si="2"/>
        <v>0</v>
      </c>
      <c r="AG32" s="110">
        <f t="shared" si="3"/>
        <v>0</v>
      </c>
      <c r="AH32" s="110">
        <f t="shared" si="4"/>
        <v>0</v>
      </c>
      <c r="AI32" s="110">
        <f t="shared" si="5"/>
        <v>0</v>
      </c>
      <c r="AJ32" s="110">
        <f t="shared" si="6"/>
        <v>0</v>
      </c>
      <c r="AK32" s="110">
        <f t="shared" si="7"/>
        <v>0</v>
      </c>
      <c r="AL32" s="110">
        <f t="shared" si="8"/>
        <v>0</v>
      </c>
      <c r="AM32" s="110">
        <f t="shared" si="0"/>
        <v>0</v>
      </c>
      <c r="AN32" s="190"/>
      <c r="AP32" s="112">
        <f t="shared" si="1"/>
        <v>5.3887770105022957E-2</v>
      </c>
      <c r="AQ32" s="382">
        <f>'PDA Schedules FY 2018'!AP32</f>
        <v>5.251222279963165E-2</v>
      </c>
    </row>
    <row r="33" spans="1:43">
      <c r="A33" s="33">
        <f>'UCC Fund Calc FY2022'!C33</f>
        <v>210032</v>
      </c>
      <c r="B33" s="33" t="str">
        <f>'UCC Fund Calc FY2022'!D33</f>
        <v>Union Hospital of Cecil County</v>
      </c>
      <c r="C33" s="87">
        <v>66414.5</v>
      </c>
      <c r="D33" s="87">
        <v>97843.199999999997</v>
      </c>
      <c r="E33" s="87">
        <v>164257.70000000001</v>
      </c>
      <c r="F33" s="87">
        <v>32453.7</v>
      </c>
      <c r="G33" s="87">
        <v>33355.699999999997</v>
      </c>
      <c r="H33" s="87">
        <v>65809.399999999994</v>
      </c>
      <c r="I33" s="87">
        <v>1970.7</v>
      </c>
      <c r="J33" s="87">
        <v>1608.9</v>
      </c>
      <c r="K33" s="87">
        <v>3579.6000000000004</v>
      </c>
      <c r="L33" s="87">
        <v>7067.6</v>
      </c>
      <c r="M33" s="87">
        <v>19709.400000000001</v>
      </c>
      <c r="N33" s="87">
        <v>26777</v>
      </c>
      <c r="O33" s="87">
        <v>17486.599999999999</v>
      </c>
      <c r="P33" s="87">
        <v>25694.6</v>
      </c>
      <c r="Q33" s="87">
        <v>43181.2</v>
      </c>
      <c r="R33" s="87">
        <v>0</v>
      </c>
      <c r="S33" s="87">
        <v>2132.3000000000002</v>
      </c>
      <c r="T33" s="87">
        <v>6603.8198100000018</v>
      </c>
      <c r="U33" s="87">
        <v>8736.119810000002</v>
      </c>
      <c r="V33" s="87">
        <v>5303.5999999999985</v>
      </c>
      <c r="W33" s="87">
        <v>10870.780189999998</v>
      </c>
      <c r="X33" s="87">
        <v>16174.380189999996</v>
      </c>
      <c r="Y33" s="87">
        <v>122411.9</v>
      </c>
      <c r="Z33" s="87">
        <v>135959.19831164143</v>
      </c>
      <c r="AA33" s="131">
        <v>0.4006472755919509</v>
      </c>
      <c r="AB33" s="80">
        <v>2.1792585674826812E-2</v>
      </c>
      <c r="AC33" s="80">
        <v>0.26288691489044347</v>
      </c>
      <c r="AD33" s="80">
        <v>0.28467950056527025</v>
      </c>
      <c r="AE33" s="80">
        <v>5.3185450727728449E-2</v>
      </c>
      <c r="AF33" s="128">
        <f t="shared" si="2"/>
        <v>0</v>
      </c>
      <c r="AG33" s="110">
        <f t="shared" si="3"/>
        <v>0</v>
      </c>
      <c r="AH33" s="110">
        <f t="shared" si="4"/>
        <v>0</v>
      </c>
      <c r="AI33" s="110">
        <f t="shared" si="5"/>
        <v>0</v>
      </c>
      <c r="AJ33" s="110">
        <f t="shared" si="6"/>
        <v>0</v>
      </c>
      <c r="AK33" s="110">
        <f t="shared" si="7"/>
        <v>0</v>
      </c>
      <c r="AL33" s="110">
        <f t="shared" si="8"/>
        <v>0</v>
      </c>
      <c r="AM33" s="110">
        <f t="shared" si="0"/>
        <v>0</v>
      </c>
      <c r="AN33" s="190"/>
      <c r="AP33" s="112">
        <f t="shared" si="1"/>
        <v>5.3185450727728449E-2</v>
      </c>
      <c r="AQ33" s="382">
        <f>'PDA Schedules FY 2018'!AP33</f>
        <v>5.8888301469557605E-2</v>
      </c>
    </row>
    <row r="34" spans="1:43">
      <c r="A34" s="33">
        <f>'UCC Fund Calc FY2022'!C34</f>
        <v>210033</v>
      </c>
      <c r="B34" s="33" t="str">
        <f>'UCC Fund Calc FY2022'!D34</f>
        <v>Carroll Hospital Center</v>
      </c>
      <c r="C34" s="87">
        <v>144906.34</v>
      </c>
      <c r="D34" s="87">
        <v>88997.64</v>
      </c>
      <c r="E34" s="87">
        <v>233903.98</v>
      </c>
      <c r="F34" s="87">
        <v>79954.5</v>
      </c>
      <c r="G34" s="87">
        <v>29859</v>
      </c>
      <c r="H34" s="87">
        <v>109813.5</v>
      </c>
      <c r="I34" s="87">
        <v>2984.7</v>
      </c>
      <c r="J34" s="87">
        <v>933.5</v>
      </c>
      <c r="K34" s="87">
        <v>3918.2</v>
      </c>
      <c r="L34" s="87">
        <v>10720.4</v>
      </c>
      <c r="M34" s="87">
        <v>10653.26</v>
      </c>
      <c r="N34" s="87">
        <v>21373.66</v>
      </c>
      <c r="O34" s="87">
        <v>22359.9</v>
      </c>
      <c r="P34" s="87">
        <v>15750.5</v>
      </c>
      <c r="Q34" s="87">
        <v>38110.400000000001</v>
      </c>
      <c r="R34" s="87">
        <v>0</v>
      </c>
      <c r="S34" s="87">
        <v>2273.54</v>
      </c>
      <c r="T34" s="87">
        <v>3176.4700000000003</v>
      </c>
      <c r="U34" s="87">
        <v>5450.01</v>
      </c>
      <c r="V34" s="87">
        <v>26613.299999999996</v>
      </c>
      <c r="W34" s="87">
        <v>28624.909999999996</v>
      </c>
      <c r="X34" s="87">
        <v>55238.209999999992</v>
      </c>
      <c r="Y34" s="87">
        <v>186487.97687340609</v>
      </c>
      <c r="Z34" s="87">
        <v>202693.55813202771</v>
      </c>
      <c r="AA34" s="131">
        <v>0.46948110929963655</v>
      </c>
      <c r="AB34" s="80">
        <v>1.6751318211857703E-2</v>
      </c>
      <c r="AC34" s="80">
        <v>0.16293181501229692</v>
      </c>
      <c r="AD34" s="80">
        <v>0.17968313322415461</v>
      </c>
      <c r="AE34" s="80">
        <v>2.330020207437257E-2</v>
      </c>
      <c r="AF34" s="128">
        <f t="shared" si="2"/>
        <v>0</v>
      </c>
      <c r="AG34" s="110">
        <f t="shared" si="3"/>
        <v>0</v>
      </c>
      <c r="AH34" s="110">
        <f t="shared" si="4"/>
        <v>0</v>
      </c>
      <c r="AI34" s="110">
        <f t="shared" si="5"/>
        <v>0</v>
      </c>
      <c r="AJ34" s="110">
        <f t="shared" si="6"/>
        <v>0</v>
      </c>
      <c r="AK34" s="110">
        <f t="shared" si="7"/>
        <v>0</v>
      </c>
      <c r="AL34" s="110">
        <f t="shared" si="8"/>
        <v>0</v>
      </c>
      <c r="AM34" s="110">
        <f t="shared" si="0"/>
        <v>0</v>
      </c>
      <c r="AN34" s="190"/>
      <c r="AP34" s="112">
        <f t="shared" si="1"/>
        <v>2.330020207437257E-2</v>
      </c>
      <c r="AQ34" s="382">
        <f>'PDA Schedules FY 2018'!AP34</f>
        <v>1.6488400574236561E-2</v>
      </c>
    </row>
    <row r="35" spans="1:43">
      <c r="A35" s="33">
        <f>'UCC Fund Calc FY2022'!C35</f>
        <v>210034</v>
      </c>
      <c r="B35" s="33" t="str">
        <f>'UCC Fund Calc FY2022'!D35</f>
        <v>Medstar Harbor Hospital</v>
      </c>
      <c r="C35" s="87">
        <v>119081.48949000001</v>
      </c>
      <c r="D35" s="87">
        <v>68674.296790000008</v>
      </c>
      <c r="E35" s="87">
        <v>187755.78628</v>
      </c>
      <c r="F35" s="87">
        <v>45857.520370822291</v>
      </c>
      <c r="G35" s="87">
        <v>14099.334088793305</v>
      </c>
      <c r="H35" s="87">
        <v>59956.854459615599</v>
      </c>
      <c r="I35" s="87">
        <v>5329.1693299984408</v>
      </c>
      <c r="J35" s="87">
        <v>1873.1161775966675</v>
      </c>
      <c r="K35" s="87">
        <v>7202.2855075951084</v>
      </c>
      <c r="L35" s="87">
        <v>6275.6795563985652</v>
      </c>
      <c r="M35" s="87">
        <v>7779.6463933379937</v>
      </c>
      <c r="N35" s="87">
        <v>14055.325949736558</v>
      </c>
      <c r="O35" s="87">
        <v>44770.284193970394</v>
      </c>
      <c r="P35" s="87">
        <v>26933.350502016117</v>
      </c>
      <c r="Q35" s="87">
        <v>71703.634695986519</v>
      </c>
      <c r="R35" s="87">
        <v>1540.5694699999883</v>
      </c>
      <c r="S35" s="87">
        <v>3847.2377776156559</v>
      </c>
      <c r="T35" s="87">
        <v>4826.9756223843433</v>
      </c>
      <c r="U35" s="87">
        <v>8674.2134000000005</v>
      </c>
      <c r="V35" s="87">
        <v>13001.59826119466</v>
      </c>
      <c r="W35" s="87">
        <v>13161.874005871585</v>
      </c>
      <c r="X35" s="87">
        <v>26163.472267066245</v>
      </c>
      <c r="Y35" s="87">
        <v>145933.26144319089</v>
      </c>
      <c r="Z35" s="87">
        <v>163543.6216697674</v>
      </c>
      <c r="AA35" s="131">
        <v>0.31933425673604543</v>
      </c>
      <c r="AB35" s="80">
        <v>3.8359859103646199E-2</v>
      </c>
      <c r="AC35" s="80">
        <v>0.38189840173050627</v>
      </c>
      <c r="AD35" s="80">
        <v>0.42025826083415246</v>
      </c>
      <c r="AE35" s="80">
        <v>4.6199446482379808E-2</v>
      </c>
      <c r="AF35" s="128">
        <f t="shared" si="2"/>
        <v>0</v>
      </c>
      <c r="AG35" s="110">
        <f t="shared" si="3"/>
        <v>0</v>
      </c>
      <c r="AH35" s="110">
        <f t="shared" si="4"/>
        <v>0</v>
      </c>
      <c r="AI35" s="110">
        <f t="shared" si="5"/>
        <v>0</v>
      </c>
      <c r="AJ35" s="110">
        <f t="shared" si="6"/>
        <v>0</v>
      </c>
      <c r="AK35" s="110">
        <f t="shared" si="7"/>
        <v>0</v>
      </c>
      <c r="AL35" s="110">
        <f t="shared" si="8"/>
        <v>0</v>
      </c>
      <c r="AM35" s="110">
        <f t="shared" si="0"/>
        <v>0</v>
      </c>
      <c r="AN35" s="190"/>
      <c r="AP35" s="112">
        <f t="shared" si="1"/>
        <v>4.6199446482379808E-2</v>
      </c>
      <c r="AQ35" s="382">
        <f>'PDA Schedules FY 2018'!AP35</f>
        <v>4.2617174359825372E-2</v>
      </c>
    </row>
    <row r="36" spans="1:43">
      <c r="A36" s="33">
        <f>'UCC Fund Calc FY2022'!C36</f>
        <v>210035</v>
      </c>
      <c r="B36" s="33" t="str">
        <f>'UCC Fund Calc FY2022'!D36</f>
        <v>UM Charles Regional Medical Center</v>
      </c>
      <c r="C36" s="87">
        <v>80544.001979999986</v>
      </c>
      <c r="D36" s="87">
        <v>75231.063430000038</v>
      </c>
      <c r="E36" s="87">
        <v>155775.06541000001</v>
      </c>
      <c r="F36" s="87">
        <v>45577.125970483314</v>
      </c>
      <c r="G36" s="87">
        <v>21757.27462165794</v>
      </c>
      <c r="H36" s="87">
        <v>67334.400592141261</v>
      </c>
      <c r="I36" s="87">
        <v>3075.2243600836268</v>
      </c>
      <c r="J36" s="87">
        <v>2189.148478720886</v>
      </c>
      <c r="K36" s="87">
        <v>5264.3728388045129</v>
      </c>
      <c r="L36" s="87">
        <v>6943.4567214336939</v>
      </c>
      <c r="M36" s="87">
        <v>11534.155131443864</v>
      </c>
      <c r="N36" s="87">
        <v>18477.611852877559</v>
      </c>
      <c r="O36" s="87">
        <v>10205.358183220693</v>
      </c>
      <c r="P36" s="87">
        <v>13221.53772977619</v>
      </c>
      <c r="Q36" s="87">
        <v>23426.895912996883</v>
      </c>
      <c r="R36" s="87">
        <v>1448.8861700000009</v>
      </c>
      <c r="S36" s="87">
        <v>4233.749656638136</v>
      </c>
      <c r="T36" s="87">
        <v>3954.478063361863</v>
      </c>
      <c r="U36" s="87">
        <v>8188.2277199999999</v>
      </c>
      <c r="V36" s="87">
        <v>10509.087088140524</v>
      </c>
      <c r="W36" s="87">
        <v>22574.469405039286</v>
      </c>
      <c r="X36" s="87">
        <v>33083.556493179814</v>
      </c>
      <c r="Y36" s="87">
        <v>115407.89795734372</v>
      </c>
      <c r="Z36" s="87">
        <v>129228.57996093226</v>
      </c>
      <c r="AA36" s="131">
        <v>0.43225403510450855</v>
      </c>
      <c r="AB36" s="80">
        <v>3.3794707933189963E-2</v>
      </c>
      <c r="AC36" s="80">
        <v>0.15038925421945604</v>
      </c>
      <c r="AD36" s="80">
        <v>0.18418396215264599</v>
      </c>
      <c r="AE36" s="80">
        <v>5.2564431274341517E-2</v>
      </c>
      <c r="AF36" s="128">
        <f t="shared" si="2"/>
        <v>0</v>
      </c>
      <c r="AG36" s="110">
        <f t="shared" si="3"/>
        <v>0</v>
      </c>
      <c r="AH36" s="110">
        <f t="shared" si="4"/>
        <v>0</v>
      </c>
      <c r="AI36" s="110">
        <f t="shared" si="5"/>
        <v>0</v>
      </c>
      <c r="AJ36" s="110">
        <f t="shared" si="6"/>
        <v>0</v>
      </c>
      <c r="AK36" s="110">
        <f t="shared" si="7"/>
        <v>0</v>
      </c>
      <c r="AL36" s="110">
        <f t="shared" si="8"/>
        <v>0</v>
      </c>
      <c r="AM36" s="110">
        <f t="shared" si="0"/>
        <v>0</v>
      </c>
      <c r="AN36" s="190"/>
      <c r="AP36" s="112">
        <f t="shared" si="1"/>
        <v>5.2564431274341517E-2</v>
      </c>
      <c r="AQ36" s="382">
        <f>'PDA Schedules FY 2018'!AP36</f>
        <v>5.3476104041614202E-2</v>
      </c>
    </row>
    <row r="37" spans="1:43">
      <c r="A37" s="33">
        <f>'UCC Fund Calc FY2022'!C37</f>
        <v>210037</v>
      </c>
      <c r="B37" s="33" t="str">
        <f>'UCC Fund Calc FY2022'!D37</f>
        <v>UM Shore Medical Center at Easton</v>
      </c>
      <c r="C37" s="87">
        <v>111599.98398999999</v>
      </c>
      <c r="D37" s="87">
        <v>120128.15115000001</v>
      </c>
      <c r="E37" s="87">
        <v>231728.13514000003</v>
      </c>
      <c r="F37" s="87">
        <v>64443.010322397982</v>
      </c>
      <c r="G37" s="87">
        <v>57170.716020928317</v>
      </c>
      <c r="H37" s="87">
        <v>121613.7263433263</v>
      </c>
      <c r="I37" s="87">
        <v>3777.2235829889169</v>
      </c>
      <c r="J37" s="87">
        <v>1955.4454563535908</v>
      </c>
      <c r="K37" s="87">
        <v>5732.6690393425069</v>
      </c>
      <c r="L37" s="87">
        <v>8089.8521315672515</v>
      </c>
      <c r="M37" s="87">
        <v>12282.871874284114</v>
      </c>
      <c r="N37" s="87">
        <v>20372.724005851363</v>
      </c>
      <c r="O37" s="87">
        <v>21338.859227401743</v>
      </c>
      <c r="P37" s="87">
        <v>24952.940986667694</v>
      </c>
      <c r="Q37" s="87">
        <v>46291.800214069437</v>
      </c>
      <c r="R37" s="87">
        <v>1722.2344600000029</v>
      </c>
      <c r="S37" s="87">
        <v>3786.6469540263552</v>
      </c>
      <c r="T37" s="87">
        <v>4076.012212382801</v>
      </c>
      <c r="U37" s="87">
        <v>7862.6591664091547</v>
      </c>
      <c r="V37" s="87">
        <v>10164.391771617762</v>
      </c>
      <c r="W37" s="87">
        <v>19690.16459938349</v>
      </c>
      <c r="X37" s="87">
        <v>29854.55637100125</v>
      </c>
      <c r="Y37" s="87">
        <v>152293.08227438814</v>
      </c>
      <c r="Z37" s="87">
        <v>168502.89220692703</v>
      </c>
      <c r="AA37" s="131">
        <v>0.52481208753461284</v>
      </c>
      <c r="AB37" s="80">
        <v>2.4738770006840466E-2</v>
      </c>
      <c r="AC37" s="80">
        <v>0.1997677156729456</v>
      </c>
      <c r="AD37" s="80">
        <v>0.22450648567978607</v>
      </c>
      <c r="AE37" s="80">
        <v>3.3930533129517826E-2</v>
      </c>
      <c r="AF37" s="128">
        <f t="shared" si="2"/>
        <v>0</v>
      </c>
      <c r="AG37" s="110">
        <f t="shared" si="3"/>
        <v>0</v>
      </c>
      <c r="AH37" s="110">
        <f t="shared" si="4"/>
        <v>0</v>
      </c>
      <c r="AI37" s="110">
        <f t="shared" si="5"/>
        <v>0</v>
      </c>
      <c r="AJ37" s="110">
        <f t="shared" si="6"/>
        <v>0</v>
      </c>
      <c r="AK37" s="110">
        <f t="shared" si="7"/>
        <v>0</v>
      </c>
      <c r="AL37" s="110">
        <f t="shared" si="8"/>
        <v>0</v>
      </c>
      <c r="AM37" s="110">
        <f t="shared" si="0"/>
        <v>0</v>
      </c>
      <c r="AN37" s="190"/>
      <c r="AP37" s="112">
        <f t="shared" si="1"/>
        <v>3.3930533129517826E-2</v>
      </c>
      <c r="AQ37" s="382">
        <f>'PDA Schedules FY 2018'!AP37</f>
        <v>3.5883089248598343E-2</v>
      </c>
    </row>
    <row r="38" spans="1:43">
      <c r="A38" s="33">
        <f>'UCC Fund Calc FY2022'!C38</f>
        <v>210038</v>
      </c>
      <c r="B38" s="33" t="str">
        <f>'UCC Fund Calc FY2022'!D38</f>
        <v>UM Medical Center Midtown Campus</v>
      </c>
      <c r="C38" s="87">
        <v>110478.74032999999</v>
      </c>
      <c r="D38" s="87">
        <v>119728.96231000002</v>
      </c>
      <c r="E38" s="87">
        <v>230207.70264</v>
      </c>
      <c r="F38" s="87">
        <v>41941.272745259863</v>
      </c>
      <c r="G38" s="87">
        <v>29769.082978909839</v>
      </c>
      <c r="H38" s="87">
        <v>71710.355724169698</v>
      </c>
      <c r="I38" s="87">
        <v>8846.2587962465477</v>
      </c>
      <c r="J38" s="87">
        <v>5260.6284052837518</v>
      </c>
      <c r="K38" s="87">
        <v>14106.887201530299</v>
      </c>
      <c r="L38" s="87">
        <v>3662.6013922706798</v>
      </c>
      <c r="M38" s="87">
        <v>9162.4552293175111</v>
      </c>
      <c r="N38" s="87">
        <v>12825.056621588192</v>
      </c>
      <c r="O38" s="87">
        <v>44377.55578135894</v>
      </c>
      <c r="P38" s="87">
        <v>49685.385403097098</v>
      </c>
      <c r="Q38" s="87">
        <v>94062.941184456038</v>
      </c>
      <c r="R38" s="87">
        <v>3240.5496999999668</v>
      </c>
      <c r="S38" s="87">
        <v>5747.8696748980765</v>
      </c>
      <c r="T38" s="87">
        <v>6229.1303251019226</v>
      </c>
      <c r="U38" s="87">
        <v>11977</v>
      </c>
      <c r="V38" s="87">
        <v>5903.1819399658816</v>
      </c>
      <c r="W38" s="87">
        <v>19622.279968289895</v>
      </c>
      <c r="X38" s="87">
        <v>25525.461908255777</v>
      </c>
      <c r="Y38" s="87">
        <v>179276.24387829305</v>
      </c>
      <c r="Z38" s="87">
        <v>202765.96749867851</v>
      </c>
      <c r="AA38" s="131">
        <v>0.31150285112879444</v>
      </c>
      <c r="AB38" s="80">
        <v>6.127895391750085E-2</v>
      </c>
      <c r="AC38" s="80">
        <v>0.40860032095256238</v>
      </c>
      <c r="AD38" s="80">
        <v>0.4698792748700632</v>
      </c>
      <c r="AE38" s="80">
        <v>5.2026929866589626E-2</v>
      </c>
      <c r="AF38" s="128">
        <f t="shared" si="2"/>
        <v>0</v>
      </c>
      <c r="AG38" s="110">
        <f t="shared" si="3"/>
        <v>0</v>
      </c>
      <c r="AH38" s="110">
        <f t="shared" si="4"/>
        <v>0</v>
      </c>
      <c r="AI38" s="110">
        <f t="shared" si="5"/>
        <v>0</v>
      </c>
      <c r="AJ38" s="110">
        <f t="shared" si="6"/>
        <v>0</v>
      </c>
      <c r="AK38" s="110">
        <f t="shared" si="7"/>
        <v>0</v>
      </c>
      <c r="AL38" s="110">
        <f t="shared" si="8"/>
        <v>0</v>
      </c>
      <c r="AM38" s="110">
        <f t="shared" si="0"/>
        <v>0</v>
      </c>
      <c r="AN38" s="190"/>
      <c r="AP38" s="112">
        <f t="shared" si="1"/>
        <v>5.2026929866589626E-2</v>
      </c>
      <c r="AQ38" s="382">
        <f>'PDA Schedules FY 2018'!AP38</f>
        <v>5.5524844709743497E-2</v>
      </c>
    </row>
    <row r="39" spans="1:43">
      <c r="A39" s="33">
        <f>'UCC Fund Calc FY2022'!C39</f>
        <v>210039</v>
      </c>
      <c r="B39" s="33" t="str">
        <f>'UCC Fund Calc FY2022'!D39</f>
        <v>Calvert Memorial Hospital</v>
      </c>
      <c r="C39" s="87">
        <v>71252.5</v>
      </c>
      <c r="D39" s="87">
        <v>82062.600000000006</v>
      </c>
      <c r="E39" s="87">
        <v>153315.1</v>
      </c>
      <c r="F39" s="87">
        <v>41498.498883681685</v>
      </c>
      <c r="G39" s="87">
        <v>31766.235879798995</v>
      </c>
      <c r="H39" s="87">
        <v>73264.734763480679</v>
      </c>
      <c r="I39" s="87">
        <v>1735.4127832361069</v>
      </c>
      <c r="J39" s="87">
        <v>917.59335400700172</v>
      </c>
      <c r="K39" s="87">
        <v>2653.0061372431087</v>
      </c>
      <c r="L39" s="87">
        <v>3043.7043651058302</v>
      </c>
      <c r="M39" s="87">
        <v>7234.6869631337668</v>
      </c>
      <c r="N39" s="87">
        <v>10278.391328239595</v>
      </c>
      <c r="O39" s="87">
        <v>12079.6686795554</v>
      </c>
      <c r="P39" s="87">
        <v>15088.512804411892</v>
      </c>
      <c r="Q39" s="87">
        <v>27168.181483967295</v>
      </c>
      <c r="R39" s="87">
        <v>818.01207000000011</v>
      </c>
      <c r="S39" s="87">
        <v>2111.9806099999996</v>
      </c>
      <c r="T39" s="87">
        <v>4430.2194299999992</v>
      </c>
      <c r="U39" s="87">
        <v>6542.2000399999988</v>
      </c>
      <c r="V39" s="87">
        <v>10783.234678420977</v>
      </c>
      <c r="W39" s="87">
        <v>22625.351568648352</v>
      </c>
      <c r="X39" s="87">
        <v>33408.586247069332</v>
      </c>
      <c r="Y39" s="87">
        <v>122564.78448373746</v>
      </c>
      <c r="Z39" s="87">
        <v>134519.48890881721</v>
      </c>
      <c r="AA39" s="131">
        <v>0.47787031260117679</v>
      </c>
      <c r="AB39" s="80">
        <v>1.7304271642148154E-2</v>
      </c>
      <c r="AC39" s="80">
        <v>0.17720486425647111</v>
      </c>
      <c r="AD39" s="80">
        <v>0.19450913589861926</v>
      </c>
      <c r="AE39" s="80">
        <v>4.2671596209375322E-2</v>
      </c>
      <c r="AF39" s="128">
        <f t="shared" si="2"/>
        <v>0</v>
      </c>
      <c r="AG39" s="110">
        <f t="shared" si="3"/>
        <v>0</v>
      </c>
      <c r="AH39" s="110">
        <f t="shared" si="4"/>
        <v>0</v>
      </c>
      <c r="AI39" s="110">
        <f t="shared" si="5"/>
        <v>0</v>
      </c>
      <c r="AJ39" s="110">
        <f t="shared" si="6"/>
        <v>0</v>
      </c>
      <c r="AK39" s="110">
        <f t="shared" si="7"/>
        <v>0</v>
      </c>
      <c r="AL39" s="110">
        <f t="shared" si="8"/>
        <v>0</v>
      </c>
      <c r="AM39" s="110">
        <f t="shared" si="0"/>
        <v>0</v>
      </c>
      <c r="AN39" s="190"/>
      <c r="AP39" s="112">
        <f t="shared" si="1"/>
        <v>4.2671596209375322E-2</v>
      </c>
      <c r="AQ39" s="382">
        <f>'PDA Schedules FY 2018'!AP39</f>
        <v>3.8155776669835814E-2</v>
      </c>
    </row>
    <row r="40" spans="1:43">
      <c r="A40" s="33">
        <f>'UCC Fund Calc FY2022'!C40</f>
        <v>210040</v>
      </c>
      <c r="B40" s="33" t="str">
        <f>'UCC Fund Calc FY2022'!D40</f>
        <v>Northwest Hospital Center</v>
      </c>
      <c r="C40" s="87">
        <v>139571.33856739436</v>
      </c>
      <c r="D40" s="87">
        <v>131937.56360260575</v>
      </c>
      <c r="E40" s="87">
        <v>271508.90217000013</v>
      </c>
      <c r="F40" s="87">
        <v>73767.497444266439</v>
      </c>
      <c r="G40" s="87">
        <v>44503.782571201686</v>
      </c>
      <c r="H40" s="87">
        <v>118271.28001546812</v>
      </c>
      <c r="I40" s="87">
        <v>6236.3534948394399</v>
      </c>
      <c r="J40" s="87">
        <v>2234.880048458851</v>
      </c>
      <c r="K40" s="87">
        <v>8471.2335432982909</v>
      </c>
      <c r="L40" s="87">
        <v>11310.040511836363</v>
      </c>
      <c r="M40" s="87">
        <v>18692.625538897424</v>
      </c>
      <c r="N40" s="87">
        <v>30002.666050733787</v>
      </c>
      <c r="O40" s="87">
        <v>29612.893863965379</v>
      </c>
      <c r="P40" s="87">
        <v>30073.025016601347</v>
      </c>
      <c r="Q40" s="87">
        <v>59685.918880566722</v>
      </c>
      <c r="R40" s="87">
        <v>0</v>
      </c>
      <c r="S40" s="87">
        <v>4691.8180000000002</v>
      </c>
      <c r="T40" s="87">
        <v>9033.6039999999994</v>
      </c>
      <c r="U40" s="87">
        <v>13725.422</v>
      </c>
      <c r="V40" s="87">
        <v>13952.735252486738</v>
      </c>
      <c r="W40" s="87">
        <v>27399.646427446445</v>
      </c>
      <c r="X40" s="87">
        <v>41352.381679933183</v>
      </c>
      <c r="Y40" s="87">
        <v>190731.37667799275</v>
      </c>
      <c r="Z40" s="87">
        <v>214012.48122351631</v>
      </c>
      <c r="AA40" s="131">
        <v>0.43560737445512859</v>
      </c>
      <c r="AB40" s="80">
        <v>3.1200573813945112E-2</v>
      </c>
      <c r="AC40" s="80">
        <v>0.21983043061768751</v>
      </c>
      <c r="AD40" s="80">
        <v>0.25103100443163262</v>
      </c>
      <c r="AE40" s="80">
        <v>5.0552382961668377E-2</v>
      </c>
      <c r="AF40" s="128">
        <f t="shared" si="2"/>
        <v>0</v>
      </c>
      <c r="AG40" s="110">
        <f t="shared" si="3"/>
        <v>0</v>
      </c>
      <c r="AH40" s="110">
        <f t="shared" si="4"/>
        <v>0</v>
      </c>
      <c r="AI40" s="110">
        <f t="shared" si="5"/>
        <v>0</v>
      </c>
      <c r="AJ40" s="110">
        <f t="shared" si="6"/>
        <v>0</v>
      </c>
      <c r="AK40" s="110">
        <f t="shared" si="7"/>
        <v>0</v>
      </c>
      <c r="AL40" s="110">
        <f t="shared" si="8"/>
        <v>0</v>
      </c>
      <c r="AM40" s="110">
        <f t="shared" si="0"/>
        <v>0</v>
      </c>
      <c r="AN40" s="190"/>
      <c r="AP40" s="112">
        <f t="shared" si="1"/>
        <v>5.0552382961668377E-2</v>
      </c>
      <c r="AQ40" s="382">
        <f>'PDA Schedules FY 2018'!AP40</f>
        <v>4.3255759810276052E-2</v>
      </c>
    </row>
    <row r="41" spans="1:43">
      <c r="A41" s="33">
        <f>'UCC Fund Calc FY2022'!C41</f>
        <v>210043</v>
      </c>
      <c r="B41" s="33" t="str">
        <f>'UCC Fund Calc FY2022'!D41</f>
        <v>UM Baltimore Washington Medical Center</v>
      </c>
      <c r="C41" s="87">
        <v>263245.24327999994</v>
      </c>
      <c r="D41" s="87">
        <v>185347.63783000008</v>
      </c>
      <c r="E41" s="87">
        <v>448592.88111000002</v>
      </c>
      <c r="F41" s="87">
        <v>116383.0646491121</v>
      </c>
      <c r="G41" s="87">
        <v>61653.557483935438</v>
      </c>
      <c r="H41" s="87">
        <v>178036.62213304755</v>
      </c>
      <c r="I41" s="87">
        <v>11955.772469482115</v>
      </c>
      <c r="J41" s="87">
        <v>4221.9035960593656</v>
      </c>
      <c r="K41" s="87">
        <v>16177.67606554148</v>
      </c>
      <c r="L41" s="87">
        <v>17274.396127422195</v>
      </c>
      <c r="M41" s="87">
        <v>20292.917856199903</v>
      </c>
      <c r="N41" s="87">
        <v>37567.313983622094</v>
      </c>
      <c r="O41" s="87">
        <v>57544.601338301429</v>
      </c>
      <c r="P41" s="87">
        <v>38545.787015480506</v>
      </c>
      <c r="Q41" s="87">
        <v>96090.388353781935</v>
      </c>
      <c r="R41" s="87">
        <v>2246.9382699999824</v>
      </c>
      <c r="S41" s="87">
        <v>15543.217586298711</v>
      </c>
      <c r="T41" s="87">
        <v>10943.782413701294</v>
      </c>
      <c r="U41" s="87">
        <v>26487.000000000007</v>
      </c>
      <c r="V41" s="87">
        <v>44544.191109383362</v>
      </c>
      <c r="W41" s="87">
        <v>49689.689464623581</v>
      </c>
      <c r="X41" s="87">
        <v>94233.880574006937</v>
      </c>
      <c r="Y41" s="87">
        <v>352909.50717933569</v>
      </c>
      <c r="Z41" s="87">
        <v>398744.1296289998</v>
      </c>
      <c r="AA41" s="131">
        <v>0.39687794797927473</v>
      </c>
      <c r="AB41" s="80">
        <v>3.6063158259469867E-2</v>
      </c>
      <c r="AC41" s="80">
        <v>0.2142039974330745</v>
      </c>
      <c r="AD41" s="80">
        <v>0.25026715569254437</v>
      </c>
      <c r="AE41" s="80">
        <v>5.904462847127772E-2</v>
      </c>
      <c r="AF41" s="128">
        <f t="shared" si="2"/>
        <v>0</v>
      </c>
      <c r="AG41" s="110">
        <f t="shared" si="3"/>
        <v>0</v>
      </c>
      <c r="AH41" s="110">
        <f t="shared" si="4"/>
        <v>0</v>
      </c>
      <c r="AI41" s="110">
        <f t="shared" si="5"/>
        <v>0</v>
      </c>
      <c r="AJ41" s="110">
        <f t="shared" si="6"/>
        <v>0</v>
      </c>
      <c r="AK41" s="110">
        <f t="shared" si="7"/>
        <v>0</v>
      </c>
      <c r="AL41" s="110">
        <f t="shared" si="8"/>
        <v>0</v>
      </c>
      <c r="AM41" s="110">
        <f t="shared" ref="AM41:AM57" si="9">SUM(AG41:AL41)</f>
        <v>0</v>
      </c>
      <c r="AN41" s="190"/>
      <c r="AP41" s="112">
        <f t="shared" ref="AP41:AP57" si="10">+U41/E41</f>
        <v>5.904462847127772E-2</v>
      </c>
      <c r="AQ41" s="382">
        <f>'PDA Schedules FY 2018'!AP41</f>
        <v>6.0461346983036957E-2</v>
      </c>
    </row>
    <row r="42" spans="1:43">
      <c r="A42" s="33">
        <f>'UCC Fund Calc FY2022'!C42</f>
        <v>210044</v>
      </c>
      <c r="B42" s="33" t="str">
        <f>'UCC Fund Calc FY2022'!D42</f>
        <v>Greater Baltimore Medical Center</v>
      </c>
      <c r="C42" s="87">
        <v>243579.60777000041</v>
      </c>
      <c r="D42" s="87">
        <v>233903.94139999972</v>
      </c>
      <c r="E42" s="87">
        <v>477483.54917000019</v>
      </c>
      <c r="F42" s="87">
        <v>95966.46620881799</v>
      </c>
      <c r="G42" s="87">
        <v>78424.687820103616</v>
      </c>
      <c r="H42" s="87">
        <v>174391.15402892159</v>
      </c>
      <c r="I42" s="87">
        <v>4014.8388871012226</v>
      </c>
      <c r="J42" s="87">
        <v>1086.9061049293862</v>
      </c>
      <c r="K42" s="87">
        <v>5101.7449920306099</v>
      </c>
      <c r="L42" s="87">
        <v>24028.686811815427</v>
      </c>
      <c r="M42" s="87">
        <v>31871.226592117884</v>
      </c>
      <c r="N42" s="87">
        <v>55899.913403933315</v>
      </c>
      <c r="O42" s="87">
        <v>44438.89381854661</v>
      </c>
      <c r="P42" s="87">
        <v>31685.359493467524</v>
      </c>
      <c r="Q42" s="87">
        <v>76124.253312014131</v>
      </c>
      <c r="R42" s="87">
        <v>244.04913999999999</v>
      </c>
      <c r="S42" s="87">
        <v>5497.4040000000005</v>
      </c>
      <c r="T42" s="87">
        <v>6837.7550000000001</v>
      </c>
      <c r="U42" s="87">
        <v>12335.159</v>
      </c>
      <c r="V42" s="87">
        <v>69633.318043719148</v>
      </c>
      <c r="W42" s="87">
        <v>83998.006389381306</v>
      </c>
      <c r="X42" s="87">
        <v>153631.32443310047</v>
      </c>
      <c r="Y42" s="87">
        <v>383350.26688011672</v>
      </c>
      <c r="Z42" s="87">
        <v>414866.67317341105</v>
      </c>
      <c r="AA42" s="131">
        <v>0.36522965939258462</v>
      </c>
      <c r="AB42" s="80">
        <v>1.0684650813413086E-2</v>
      </c>
      <c r="AC42" s="80">
        <v>0.15942801263905187</v>
      </c>
      <c r="AD42" s="80">
        <v>0.17011266345246495</v>
      </c>
      <c r="AE42" s="80">
        <v>2.5833683739349664E-2</v>
      </c>
      <c r="AF42" s="128">
        <f t="shared" si="2"/>
        <v>0</v>
      </c>
      <c r="AG42" s="110">
        <f t="shared" si="3"/>
        <v>0</v>
      </c>
      <c r="AH42" s="110">
        <f t="shared" si="4"/>
        <v>0</v>
      </c>
      <c r="AI42" s="110">
        <f t="shared" si="5"/>
        <v>0</v>
      </c>
      <c r="AJ42" s="110">
        <f t="shared" si="6"/>
        <v>0</v>
      </c>
      <c r="AK42" s="110">
        <f t="shared" si="7"/>
        <v>0</v>
      </c>
      <c r="AL42" s="110">
        <f t="shared" si="8"/>
        <v>0</v>
      </c>
      <c r="AM42" s="110">
        <f t="shared" si="9"/>
        <v>0</v>
      </c>
      <c r="AN42" s="190"/>
      <c r="AP42" s="112">
        <f t="shared" si="10"/>
        <v>2.5833683739349664E-2</v>
      </c>
      <c r="AQ42" s="382">
        <f>'PDA Schedules FY 2018'!AP42</f>
        <v>2.249905476023038E-2</v>
      </c>
    </row>
    <row r="43" spans="1:43">
      <c r="A43" s="33">
        <f>'UCC Fund Calc FY2022'!C43</f>
        <v>210045</v>
      </c>
      <c r="B43" s="33" t="str">
        <f>'UCC Fund Calc FY2022'!D43</f>
        <v>McCready Memorial Hospital</v>
      </c>
      <c r="C43" s="87">
        <v>2143.1999999999998</v>
      </c>
      <c r="D43" s="87">
        <v>13917</v>
      </c>
      <c r="E43" s="87">
        <v>16060.2</v>
      </c>
      <c r="F43" s="87">
        <v>1656.1</v>
      </c>
      <c r="G43" s="87">
        <v>5422.6</v>
      </c>
      <c r="H43" s="87">
        <v>7078.7000000000007</v>
      </c>
      <c r="I43" s="87">
        <v>17.2</v>
      </c>
      <c r="J43" s="87">
        <v>153.30000000000001</v>
      </c>
      <c r="K43" s="87">
        <v>170.5</v>
      </c>
      <c r="L43" s="87">
        <v>30</v>
      </c>
      <c r="M43" s="87">
        <v>1348</v>
      </c>
      <c r="N43" s="87">
        <v>1378</v>
      </c>
      <c r="O43" s="87">
        <v>295.7</v>
      </c>
      <c r="P43" s="87">
        <v>4360.2</v>
      </c>
      <c r="Q43" s="87">
        <v>4655.8999999999996</v>
      </c>
      <c r="R43" s="87">
        <v>433.68594000000002</v>
      </c>
      <c r="S43" s="87">
        <v>102.8</v>
      </c>
      <c r="T43" s="87">
        <v>761.3</v>
      </c>
      <c r="U43" s="87">
        <v>864.0999999999998</v>
      </c>
      <c r="V43" s="87">
        <v>41.399999999999935</v>
      </c>
      <c r="W43" s="87">
        <v>1871.6000000000008</v>
      </c>
      <c r="X43" s="87">
        <v>1913.0000000000005</v>
      </c>
      <c r="Y43" s="87">
        <v>11592.479212709775</v>
      </c>
      <c r="Z43" s="87">
        <v>12922.511518918553</v>
      </c>
      <c r="AA43" s="131">
        <v>0.44076038903625114</v>
      </c>
      <c r="AB43" s="80">
        <v>1.0616306148117706E-2</v>
      </c>
      <c r="AC43" s="80">
        <v>0.28990299000012448</v>
      </c>
      <c r="AD43" s="80">
        <v>0.30051929614824219</v>
      </c>
      <c r="AE43" s="80">
        <v>5.3803813153011776E-2</v>
      </c>
      <c r="AF43" s="128">
        <f t="shared" si="2"/>
        <v>0</v>
      </c>
      <c r="AG43" s="110">
        <f t="shared" si="3"/>
        <v>0</v>
      </c>
      <c r="AH43" s="110">
        <f t="shared" si="4"/>
        <v>0</v>
      </c>
      <c r="AI43" s="110">
        <f t="shared" si="5"/>
        <v>0</v>
      </c>
      <c r="AJ43" s="110">
        <f t="shared" si="6"/>
        <v>0</v>
      </c>
      <c r="AK43" s="110">
        <f t="shared" si="7"/>
        <v>0</v>
      </c>
      <c r="AL43" s="110">
        <f t="shared" si="8"/>
        <v>0</v>
      </c>
      <c r="AM43" s="110">
        <f t="shared" si="9"/>
        <v>0</v>
      </c>
      <c r="AN43" s="190"/>
      <c r="AP43" s="112">
        <f t="shared" si="10"/>
        <v>5.3803813153011776E-2</v>
      </c>
      <c r="AQ43" s="382">
        <f>'PDA Schedules FY 2018'!AP43</f>
        <v>5.7775859756346484E-2</v>
      </c>
    </row>
    <row r="44" spans="1:43">
      <c r="A44" s="33">
        <f>'UCC Fund Calc FY2022'!C44</f>
        <v>210048</v>
      </c>
      <c r="B44" s="33" t="str">
        <f>'UCC Fund Calc FY2022'!D44</f>
        <v>Howard County General Hospital</v>
      </c>
      <c r="C44" s="87">
        <v>185479.416</v>
      </c>
      <c r="D44" s="87">
        <v>122512.303</v>
      </c>
      <c r="E44" s="87">
        <v>307991.71899999998</v>
      </c>
      <c r="F44" s="87">
        <v>76341.771999999997</v>
      </c>
      <c r="G44" s="87">
        <v>29157.635999999999</v>
      </c>
      <c r="H44" s="87">
        <v>105499.408</v>
      </c>
      <c r="I44" s="87">
        <v>10163.505999999999</v>
      </c>
      <c r="J44" s="87">
        <v>4941.0919999999996</v>
      </c>
      <c r="K44" s="87">
        <v>15104.597999999998</v>
      </c>
      <c r="L44" s="87">
        <v>19448.602999999999</v>
      </c>
      <c r="M44" s="87">
        <v>17656.800999999999</v>
      </c>
      <c r="N44" s="87">
        <v>37105.403999999995</v>
      </c>
      <c r="O44" s="87">
        <v>21464.507000000001</v>
      </c>
      <c r="P44" s="87">
        <v>17407.762999999999</v>
      </c>
      <c r="Q44" s="87">
        <v>38872.269999999997</v>
      </c>
      <c r="R44" s="87">
        <v>1870.0396599999999</v>
      </c>
      <c r="S44" s="87">
        <v>5550</v>
      </c>
      <c r="T44" s="87">
        <v>7031</v>
      </c>
      <c r="U44" s="87">
        <v>12581</v>
      </c>
      <c r="V44" s="87">
        <v>52511.028000000006</v>
      </c>
      <c r="W44" s="87">
        <v>46318.010999999977</v>
      </c>
      <c r="X44" s="87">
        <v>98829.039000000004</v>
      </c>
      <c r="Y44" s="87">
        <v>252592.02178410252</v>
      </c>
      <c r="Z44" s="87">
        <v>277520.30899809615</v>
      </c>
      <c r="AA44" s="131">
        <v>0.34253975510296109</v>
      </c>
      <c r="AB44" s="80">
        <v>4.9042221164394356E-2</v>
      </c>
      <c r="AC44" s="80">
        <v>0.12621206221456882</v>
      </c>
      <c r="AD44" s="80">
        <v>0.17525428337896318</v>
      </c>
      <c r="AE44" s="80">
        <v>4.084850086505086E-2</v>
      </c>
      <c r="AF44" s="128">
        <f t="shared" si="2"/>
        <v>0</v>
      </c>
      <c r="AG44" s="110">
        <f t="shared" si="3"/>
        <v>0</v>
      </c>
      <c r="AH44" s="110">
        <f t="shared" si="4"/>
        <v>0</v>
      </c>
      <c r="AI44" s="110">
        <f t="shared" si="5"/>
        <v>0</v>
      </c>
      <c r="AJ44" s="110">
        <f t="shared" si="6"/>
        <v>0</v>
      </c>
      <c r="AK44" s="110">
        <f t="shared" si="7"/>
        <v>0</v>
      </c>
      <c r="AL44" s="110">
        <f t="shared" si="8"/>
        <v>0</v>
      </c>
      <c r="AM44" s="110">
        <f t="shared" si="9"/>
        <v>0</v>
      </c>
      <c r="AN44" s="190"/>
      <c r="AP44" s="112">
        <f t="shared" si="10"/>
        <v>4.084850086505086E-2</v>
      </c>
      <c r="AQ44" s="382">
        <f>'PDA Schedules FY 2018'!AP44</f>
        <v>3.6312513864792541E-2</v>
      </c>
    </row>
    <row r="45" spans="1:43">
      <c r="A45" s="33">
        <f>'UCC Fund Calc FY2022'!C45</f>
        <v>210049</v>
      </c>
      <c r="B45" s="33" t="str">
        <f>'UCC Fund Calc FY2022'!D45</f>
        <v>UM Upper Chesapeake Medical Center</v>
      </c>
      <c r="C45" s="87">
        <v>157954.73457999999</v>
      </c>
      <c r="D45" s="87">
        <v>165961.76715</v>
      </c>
      <c r="E45" s="87">
        <v>323916.50173000002</v>
      </c>
      <c r="F45" s="87">
        <v>79407.610395618525</v>
      </c>
      <c r="G45" s="87">
        <v>64009.222722483653</v>
      </c>
      <c r="H45" s="87">
        <v>143416.83311810216</v>
      </c>
      <c r="I45" s="87">
        <v>3161.6278447455811</v>
      </c>
      <c r="J45" s="87">
        <v>2142.1086296280182</v>
      </c>
      <c r="K45" s="87">
        <v>5303.7364743735998</v>
      </c>
      <c r="L45" s="87">
        <v>10729.011760358886</v>
      </c>
      <c r="M45" s="87">
        <v>17882.943816394582</v>
      </c>
      <c r="N45" s="87">
        <v>28611.955576753469</v>
      </c>
      <c r="O45" s="87">
        <v>20365.748319106195</v>
      </c>
      <c r="P45" s="87">
        <v>21225.879688241963</v>
      </c>
      <c r="Q45" s="87">
        <v>41591.628007348161</v>
      </c>
      <c r="R45" s="87">
        <v>1310.6165000000001</v>
      </c>
      <c r="S45" s="87">
        <v>6523.2376997046467</v>
      </c>
      <c r="T45" s="87">
        <v>6853.9133002953531</v>
      </c>
      <c r="U45" s="87">
        <v>13377.151</v>
      </c>
      <c r="V45" s="87">
        <v>37767.498560466163</v>
      </c>
      <c r="W45" s="87">
        <v>53847.698992956437</v>
      </c>
      <c r="X45" s="87">
        <v>91615.197553422593</v>
      </c>
      <c r="Y45" s="87">
        <v>235853.79725435592</v>
      </c>
      <c r="Z45" s="87">
        <v>260360.31424481503</v>
      </c>
      <c r="AA45" s="131">
        <v>0.44275865030688372</v>
      </c>
      <c r="AB45" s="80">
        <v>1.6373776717292777E-2</v>
      </c>
      <c r="AC45" s="80">
        <v>0.12840231289610798</v>
      </c>
      <c r="AD45" s="80">
        <v>0.14477608961340074</v>
      </c>
      <c r="AE45" s="80">
        <v>4.1298146060957705E-2</v>
      </c>
      <c r="AF45" s="128">
        <f t="shared" si="2"/>
        <v>0</v>
      </c>
      <c r="AG45" s="110">
        <f t="shared" si="3"/>
        <v>0</v>
      </c>
      <c r="AH45" s="110">
        <f t="shared" si="4"/>
        <v>0</v>
      </c>
      <c r="AI45" s="110">
        <f t="shared" si="5"/>
        <v>0</v>
      </c>
      <c r="AJ45" s="110">
        <f t="shared" si="6"/>
        <v>0</v>
      </c>
      <c r="AK45" s="110">
        <f t="shared" si="7"/>
        <v>0</v>
      </c>
      <c r="AL45" s="110">
        <f t="shared" si="8"/>
        <v>0</v>
      </c>
      <c r="AM45" s="110">
        <f t="shared" si="9"/>
        <v>0</v>
      </c>
      <c r="AN45" s="190"/>
      <c r="AP45" s="112">
        <f t="shared" si="10"/>
        <v>4.1298146060957705E-2</v>
      </c>
      <c r="AQ45" s="382">
        <f>'PDA Schedules FY 2018'!AP45</f>
        <v>2.9233814349214807E-2</v>
      </c>
    </row>
    <row r="46" spans="1:43">
      <c r="A46" s="33">
        <f>'UCC Fund Calc FY2022'!C46</f>
        <v>210051</v>
      </c>
      <c r="B46" s="33" t="str">
        <f>'UCC Fund Calc FY2022'!D46</f>
        <v>Doctors' Community Hospital</v>
      </c>
      <c r="C46" s="87">
        <v>146125.64765</v>
      </c>
      <c r="D46" s="87">
        <v>110319.58021</v>
      </c>
      <c r="E46" s="87">
        <v>256445.22786000001</v>
      </c>
      <c r="F46" s="87">
        <v>68704.125640196216</v>
      </c>
      <c r="G46" s="87">
        <v>34127.578859082721</v>
      </c>
      <c r="H46" s="87">
        <v>102831.70449927896</v>
      </c>
      <c r="I46" s="87">
        <v>8201.4369698553655</v>
      </c>
      <c r="J46" s="87">
        <v>4169.8428299728794</v>
      </c>
      <c r="K46" s="87">
        <v>12371.279799828244</v>
      </c>
      <c r="L46" s="87">
        <v>18494.965238479195</v>
      </c>
      <c r="M46" s="87">
        <v>20934.812128168804</v>
      </c>
      <c r="N46" s="87">
        <v>39429.777366647999</v>
      </c>
      <c r="O46" s="87">
        <v>20998.098707053618</v>
      </c>
      <c r="P46" s="87">
        <v>23054.606473516455</v>
      </c>
      <c r="Q46" s="87">
        <v>44052.705180570061</v>
      </c>
      <c r="R46" s="87">
        <v>747.26302999999996</v>
      </c>
      <c r="S46" s="87">
        <v>10620.122889374414</v>
      </c>
      <c r="T46" s="87">
        <v>8011.4060606255844</v>
      </c>
      <c r="U46" s="87">
        <v>18631.52895</v>
      </c>
      <c r="V46" s="87">
        <v>19106.898205041191</v>
      </c>
      <c r="W46" s="87">
        <v>20021.333858633541</v>
      </c>
      <c r="X46" s="87">
        <v>39128.232063674739</v>
      </c>
      <c r="Y46" s="87">
        <v>189604.44042883665</v>
      </c>
      <c r="Z46" s="87">
        <v>217146.49507567007</v>
      </c>
      <c r="AA46" s="131">
        <v>0.40098895720304611</v>
      </c>
      <c r="AB46" s="80">
        <v>4.8241411638129762E-2</v>
      </c>
      <c r="AC46" s="80">
        <v>0.17178212107194896</v>
      </c>
      <c r="AD46" s="80">
        <v>0.22002353271007874</v>
      </c>
      <c r="AE46" s="80">
        <v>7.2653053852776026E-2</v>
      </c>
      <c r="AF46" s="128">
        <f t="shared" si="2"/>
        <v>0</v>
      </c>
      <c r="AG46" s="110">
        <f t="shared" si="3"/>
        <v>0</v>
      </c>
      <c r="AH46" s="110">
        <f t="shared" si="4"/>
        <v>0</v>
      </c>
      <c r="AI46" s="110">
        <f t="shared" si="5"/>
        <v>0</v>
      </c>
      <c r="AJ46" s="110">
        <f t="shared" si="6"/>
        <v>0</v>
      </c>
      <c r="AK46" s="110">
        <f t="shared" si="7"/>
        <v>0</v>
      </c>
      <c r="AL46" s="110">
        <f t="shared" si="8"/>
        <v>0</v>
      </c>
      <c r="AM46" s="110">
        <f t="shared" si="9"/>
        <v>0</v>
      </c>
      <c r="AN46" s="190"/>
      <c r="AP46" s="112">
        <f t="shared" si="10"/>
        <v>7.2653053852776026E-2</v>
      </c>
      <c r="AQ46" s="382">
        <f>'PDA Schedules FY 2018'!AP46</f>
        <v>6.578841218190791E-2</v>
      </c>
    </row>
    <row r="47" spans="1:43">
      <c r="A47" s="33" t="e">
        <f>'UCC Fund Calc FY2022'!#REF!</f>
        <v>#REF!</v>
      </c>
      <c r="B47" s="33" t="e">
        <f>'UCC Fund Calc FY2022'!#REF!</f>
        <v>#REF!</v>
      </c>
      <c r="C47" s="87">
        <v>24171.549529999997</v>
      </c>
      <c r="D47" s="87">
        <v>46534.377539999987</v>
      </c>
      <c r="E47" s="87">
        <v>70705.927069999976</v>
      </c>
      <c r="F47" s="87">
        <v>13420.243334773542</v>
      </c>
      <c r="G47" s="87">
        <v>8857.6842153854086</v>
      </c>
      <c r="H47" s="87">
        <v>22277.927550158951</v>
      </c>
      <c r="I47" s="87">
        <v>1648.6440421714944</v>
      </c>
      <c r="J47" s="87">
        <v>2287.9082969277042</v>
      </c>
      <c r="K47" s="87">
        <v>3936.5523390991984</v>
      </c>
      <c r="L47" s="87">
        <v>1520.9725895857032</v>
      </c>
      <c r="M47" s="87">
        <v>7891.3714606530657</v>
      </c>
      <c r="N47" s="87">
        <v>9412.3440502387693</v>
      </c>
      <c r="O47" s="87">
        <v>3656.5539809205065</v>
      </c>
      <c r="P47" s="87">
        <v>10729.16512972176</v>
      </c>
      <c r="Q47" s="87">
        <v>14385.719110642263</v>
      </c>
      <c r="R47" s="87">
        <v>479.28772000000009</v>
      </c>
      <c r="S47" s="87">
        <v>2963.9645167737499</v>
      </c>
      <c r="T47" s="87">
        <v>5706.1399256811846</v>
      </c>
      <c r="U47" s="87">
        <v>8670.1044424549345</v>
      </c>
      <c r="V47" s="87">
        <v>961.17106577500078</v>
      </c>
      <c r="W47" s="87">
        <v>11062.108511630868</v>
      </c>
      <c r="X47" s="87">
        <v>12023.279577405869</v>
      </c>
      <c r="Y47" s="87">
        <v>57919.7326343846</v>
      </c>
      <c r="Z47" s="87">
        <v>70043.492984013777</v>
      </c>
      <c r="AA47" s="131">
        <v>0.31507864295596399</v>
      </c>
      <c r="AB47" s="80">
        <v>5.5674997871139574E-2</v>
      </c>
      <c r="AC47" s="80">
        <v>0.20345846107639853</v>
      </c>
      <c r="AD47" s="80">
        <v>0.25913345894753814</v>
      </c>
      <c r="AE47" s="80">
        <v>0.12262203186829579</v>
      </c>
      <c r="AF47" s="128">
        <f t="shared" si="2"/>
        <v>0</v>
      </c>
      <c r="AG47" s="110">
        <f t="shared" si="3"/>
        <v>0</v>
      </c>
      <c r="AH47" s="110">
        <f t="shared" si="4"/>
        <v>0</v>
      </c>
      <c r="AI47" s="110">
        <f t="shared" si="5"/>
        <v>0</v>
      </c>
      <c r="AJ47" s="110">
        <f t="shared" si="6"/>
        <v>0</v>
      </c>
      <c r="AK47" s="110">
        <f t="shared" si="7"/>
        <v>0</v>
      </c>
      <c r="AL47" s="110">
        <f t="shared" si="8"/>
        <v>0</v>
      </c>
      <c r="AM47" s="110">
        <f t="shared" si="9"/>
        <v>0</v>
      </c>
      <c r="AN47" s="190"/>
      <c r="AP47" s="112">
        <f t="shared" si="10"/>
        <v>0.12262203186829579</v>
      </c>
      <c r="AQ47" s="382">
        <f>'PDA Schedules FY 2018'!AP47</f>
        <v>9.5449668405982971E-2</v>
      </c>
    </row>
    <row r="48" spans="1:43">
      <c r="A48" s="33">
        <f>'UCC Fund Calc FY2022'!C47</f>
        <v>210056</v>
      </c>
      <c r="B48" s="33" t="str">
        <f>'UCC Fund Calc FY2022'!D47</f>
        <v>Medstar Good Samaritan Hospital</v>
      </c>
      <c r="C48" s="87">
        <v>152604.3164000001</v>
      </c>
      <c r="D48" s="87">
        <v>104270.10634</v>
      </c>
      <c r="E48" s="87">
        <v>256874.42274000013</v>
      </c>
      <c r="F48" s="87">
        <v>83533.899969075748</v>
      </c>
      <c r="G48" s="87">
        <v>39799.831927445339</v>
      </c>
      <c r="H48" s="87">
        <v>123333.73189652109</v>
      </c>
      <c r="I48" s="87">
        <v>8053.4693562101356</v>
      </c>
      <c r="J48" s="87">
        <v>3022.2170124243507</v>
      </c>
      <c r="K48" s="87">
        <v>11075.686368634486</v>
      </c>
      <c r="L48" s="87">
        <v>8199.6638243043926</v>
      </c>
      <c r="M48" s="87">
        <v>11341.522901416369</v>
      </c>
      <c r="N48" s="87">
        <v>19541.186725720763</v>
      </c>
      <c r="O48" s="87">
        <v>37633.294664712215</v>
      </c>
      <c r="P48" s="87">
        <v>30751.52809186501</v>
      </c>
      <c r="Q48" s="87">
        <v>68384.822756577225</v>
      </c>
      <c r="R48" s="87">
        <v>3213.367190000029</v>
      </c>
      <c r="S48" s="87">
        <v>4200.3322681698646</v>
      </c>
      <c r="T48" s="87">
        <v>7260.2014918301356</v>
      </c>
      <c r="U48" s="87">
        <v>11460.53376</v>
      </c>
      <c r="V48" s="87">
        <v>10983.656317527741</v>
      </c>
      <c r="W48" s="87">
        <v>12094.804915018813</v>
      </c>
      <c r="X48" s="87">
        <v>23078.46123254655</v>
      </c>
      <c r="Y48" s="87">
        <v>210076.06294337232</v>
      </c>
      <c r="Z48" s="87">
        <v>235789.5504361717</v>
      </c>
      <c r="AA48" s="131">
        <v>0.48013239535862801</v>
      </c>
      <c r="AB48" s="80">
        <v>4.311712412039144E-2</v>
      </c>
      <c r="AC48" s="80">
        <v>0.26621888636142688</v>
      </c>
      <c r="AD48" s="80">
        <v>0.30933601048181836</v>
      </c>
      <c r="AE48" s="80">
        <v>4.4615316845305293E-2</v>
      </c>
      <c r="AF48" s="128">
        <f t="shared" si="2"/>
        <v>0</v>
      </c>
      <c r="AG48" s="110">
        <f t="shared" si="3"/>
        <v>0</v>
      </c>
      <c r="AH48" s="110">
        <f t="shared" si="4"/>
        <v>0</v>
      </c>
      <c r="AI48" s="110">
        <f t="shared" si="5"/>
        <v>0</v>
      </c>
      <c r="AJ48" s="110">
        <f t="shared" si="6"/>
        <v>0</v>
      </c>
      <c r="AK48" s="110">
        <f t="shared" si="7"/>
        <v>0</v>
      </c>
      <c r="AL48" s="110">
        <f t="shared" si="8"/>
        <v>0</v>
      </c>
      <c r="AM48" s="110">
        <f t="shared" si="9"/>
        <v>0</v>
      </c>
      <c r="AN48" s="190"/>
      <c r="AP48" s="112">
        <f t="shared" si="10"/>
        <v>4.4615316845305293E-2</v>
      </c>
      <c r="AQ48" s="382">
        <f>'PDA Schedules FY 2018'!AP48</f>
        <v>4.159021041236341E-2</v>
      </c>
    </row>
    <row r="49" spans="1:43">
      <c r="A49" s="33">
        <f>'UCC Fund Calc FY2022'!C48</f>
        <v>210057</v>
      </c>
      <c r="B49" s="33" t="str">
        <f>'UCC Fund Calc FY2022'!D48</f>
        <v>Adventist - Shady Grove Medical Center</v>
      </c>
      <c r="C49" s="87">
        <v>286168.89965724468</v>
      </c>
      <c r="D49" s="87">
        <v>184227.90034275531</v>
      </c>
      <c r="E49" s="87">
        <v>470396.8</v>
      </c>
      <c r="F49" s="87">
        <v>102879.546</v>
      </c>
      <c r="G49" s="87">
        <v>49800.398999999998</v>
      </c>
      <c r="H49" s="87">
        <v>152679.94500000001</v>
      </c>
      <c r="I49" s="87">
        <v>33203.673000000003</v>
      </c>
      <c r="J49" s="87">
        <v>9858.6540000000005</v>
      </c>
      <c r="K49" s="87">
        <v>43062.327000000005</v>
      </c>
      <c r="L49" s="87">
        <v>51926.106</v>
      </c>
      <c r="M49" s="87">
        <v>42083.974999999999</v>
      </c>
      <c r="N49" s="87">
        <v>94010.081000000006</v>
      </c>
      <c r="O49" s="87">
        <v>37479.368000000002</v>
      </c>
      <c r="P49" s="87">
        <v>24435.615000000002</v>
      </c>
      <c r="Q49" s="87">
        <v>61914.983000000007</v>
      </c>
      <c r="R49" s="87">
        <v>8330.3700000000008</v>
      </c>
      <c r="S49" s="87">
        <v>14756.886733451143</v>
      </c>
      <c r="T49" s="87">
        <v>9500.091266548854</v>
      </c>
      <c r="U49" s="87">
        <v>24256.977999999999</v>
      </c>
      <c r="V49" s="87">
        <v>45923.319923793519</v>
      </c>
      <c r="W49" s="87">
        <v>48549.166076206457</v>
      </c>
      <c r="X49" s="87">
        <v>94472.485999999961</v>
      </c>
      <c r="Y49" s="87">
        <v>356241.03090333333</v>
      </c>
      <c r="Z49" s="87">
        <v>395889.22428428842</v>
      </c>
      <c r="AA49" s="131">
        <v>0.32457692101646951</v>
      </c>
      <c r="AB49" s="80">
        <v>9.1544685252960917E-2</v>
      </c>
      <c r="AC49" s="80">
        <v>0.13162288306383038</v>
      </c>
      <c r="AD49" s="80">
        <v>0.2231675683167913</v>
      </c>
      <c r="AE49" s="80">
        <v>5.1567055728270257E-2</v>
      </c>
      <c r="AF49" s="128">
        <f t="shared" si="2"/>
        <v>0</v>
      </c>
      <c r="AG49" s="110">
        <f t="shared" si="3"/>
        <v>0</v>
      </c>
      <c r="AH49" s="110">
        <f t="shared" si="4"/>
        <v>0</v>
      </c>
      <c r="AI49" s="110">
        <f t="shared" si="5"/>
        <v>0</v>
      </c>
      <c r="AJ49" s="110">
        <f t="shared" si="6"/>
        <v>0</v>
      </c>
      <c r="AK49" s="110">
        <f t="shared" si="7"/>
        <v>0</v>
      </c>
      <c r="AL49" s="110">
        <f t="shared" si="8"/>
        <v>0</v>
      </c>
      <c r="AM49" s="110">
        <f t="shared" si="9"/>
        <v>0</v>
      </c>
      <c r="AN49" s="190"/>
      <c r="AP49" s="112">
        <f t="shared" si="10"/>
        <v>5.1567055728270257E-2</v>
      </c>
      <c r="AQ49" s="382">
        <f>'PDA Schedules FY 2018'!AP49</f>
        <v>5.0110654229591836E-2</v>
      </c>
    </row>
    <row r="50" spans="1:43">
      <c r="A50" s="33">
        <f>'UCC Fund Calc FY2022'!C49</f>
        <v>210058</v>
      </c>
      <c r="B50" s="33" t="str">
        <f>'UCC Fund Calc FY2022'!D49</f>
        <v>UM Rehabilitation &amp; Orthopaedic Institute</v>
      </c>
      <c r="C50" s="87">
        <v>71709.529389999996</v>
      </c>
      <c r="D50" s="87">
        <v>52863.045979999981</v>
      </c>
      <c r="E50" s="87">
        <v>124572.57536999998</v>
      </c>
      <c r="F50" s="87">
        <v>29399.959823953119</v>
      </c>
      <c r="G50" s="87">
        <v>9616.2891823654263</v>
      </c>
      <c r="H50" s="87">
        <v>39016.249006318547</v>
      </c>
      <c r="I50" s="87">
        <v>5800.0773609477646</v>
      </c>
      <c r="J50" s="87">
        <v>3750.9356355471746</v>
      </c>
      <c r="K50" s="87">
        <v>9551.0129964949392</v>
      </c>
      <c r="L50" s="87">
        <v>7167.7055533644207</v>
      </c>
      <c r="M50" s="87">
        <v>8748.6497383492078</v>
      </c>
      <c r="N50" s="87">
        <v>15916.355291713628</v>
      </c>
      <c r="O50" s="87">
        <v>12216.82718933568</v>
      </c>
      <c r="P50" s="87">
        <v>12595.651025730738</v>
      </c>
      <c r="Q50" s="87">
        <v>24812.478215066418</v>
      </c>
      <c r="R50" s="87">
        <v>426.75459999999958</v>
      </c>
      <c r="S50" s="87">
        <v>3221.8498230135533</v>
      </c>
      <c r="T50" s="87">
        <v>2375.0929169864453</v>
      </c>
      <c r="U50" s="87">
        <v>5596.9427399999986</v>
      </c>
      <c r="V50" s="87">
        <v>13903.10963938546</v>
      </c>
      <c r="W50" s="87">
        <v>15776.427481020984</v>
      </c>
      <c r="X50" s="87">
        <v>29679.537120406443</v>
      </c>
      <c r="Y50" s="87">
        <v>105856.92108722978</v>
      </c>
      <c r="Z50" s="87">
        <v>117334.45045724286</v>
      </c>
      <c r="AA50" s="131">
        <v>0.31320095045345414</v>
      </c>
      <c r="AB50" s="80">
        <v>7.6670270066480847E-2</v>
      </c>
      <c r="AC50" s="80">
        <v>0.19918090431517119</v>
      </c>
      <c r="AD50" s="80">
        <v>0.27585117438165202</v>
      </c>
      <c r="AE50" s="80">
        <v>4.4929172599797396E-2</v>
      </c>
      <c r="AF50" s="128">
        <f t="shared" si="2"/>
        <v>0</v>
      </c>
      <c r="AG50" s="110">
        <f t="shared" si="3"/>
        <v>0</v>
      </c>
      <c r="AH50" s="110">
        <f t="shared" si="4"/>
        <v>0</v>
      </c>
      <c r="AI50" s="110">
        <f t="shared" si="5"/>
        <v>0</v>
      </c>
      <c r="AJ50" s="110">
        <f t="shared" si="6"/>
        <v>0</v>
      </c>
      <c r="AK50" s="110">
        <f t="shared" si="7"/>
        <v>0</v>
      </c>
      <c r="AL50" s="110">
        <f t="shared" si="8"/>
        <v>0</v>
      </c>
      <c r="AM50" s="110">
        <f t="shared" si="9"/>
        <v>0</v>
      </c>
      <c r="AN50" s="190"/>
      <c r="AP50" s="112">
        <f t="shared" si="10"/>
        <v>4.4929172599797396E-2</v>
      </c>
      <c r="AQ50" s="382">
        <f>'PDA Schedules FY 2018'!AP50</f>
        <v>5.0729628810968312E-2</v>
      </c>
    </row>
    <row r="51" spans="1:43">
      <c r="A51" s="33">
        <f>'UCC Fund Calc FY2022'!C50</f>
        <v>210060</v>
      </c>
      <c r="B51" s="33" t="str">
        <f>'UCC Fund Calc FY2022'!D50</f>
        <v>Fort Washington Hospital</v>
      </c>
      <c r="C51" s="87">
        <v>20918.772000000001</v>
      </c>
      <c r="D51" s="87">
        <v>32172.161999999997</v>
      </c>
      <c r="E51" s="87">
        <v>53090.933999999994</v>
      </c>
      <c r="F51" s="87">
        <v>12764.842000000001</v>
      </c>
      <c r="G51" s="87">
        <v>9770.5499999999993</v>
      </c>
      <c r="H51" s="87">
        <v>22535.392</v>
      </c>
      <c r="I51" s="87">
        <v>1447.9559999999999</v>
      </c>
      <c r="J51" s="87">
        <v>2778.3130000000001</v>
      </c>
      <c r="K51" s="87">
        <v>4226.2690000000002</v>
      </c>
      <c r="L51" s="87">
        <v>2400.8000000000002</v>
      </c>
      <c r="M51" s="87">
        <v>5692.2</v>
      </c>
      <c r="N51" s="87">
        <v>8093</v>
      </c>
      <c r="O51" s="87">
        <v>2961.7</v>
      </c>
      <c r="P51" s="87">
        <v>9071.7999999999975</v>
      </c>
      <c r="Q51" s="87">
        <v>12033.499999999996</v>
      </c>
      <c r="R51" s="87">
        <v>476.90776</v>
      </c>
      <c r="S51" s="87">
        <v>886.19792659999996</v>
      </c>
      <c r="T51" s="87">
        <v>3526.6010734000001</v>
      </c>
      <c r="U51" s="87">
        <v>4412.799</v>
      </c>
      <c r="V51" s="87">
        <v>457.27607340000009</v>
      </c>
      <c r="W51" s="87">
        <v>1332.6979266000008</v>
      </c>
      <c r="X51" s="87">
        <v>1789.9739999999974</v>
      </c>
      <c r="Y51" s="87">
        <v>43915.964904720473</v>
      </c>
      <c r="Z51" s="87">
        <v>50534.88931520786</v>
      </c>
      <c r="AA51" s="131">
        <v>0.42446780084901131</v>
      </c>
      <c r="AB51" s="80">
        <v>7.9604344500701391E-2</v>
      </c>
      <c r="AC51" s="80">
        <v>0.22665828406785982</v>
      </c>
      <c r="AD51" s="80">
        <v>0.30626262856856123</v>
      </c>
      <c r="AE51" s="80">
        <v>8.3117750386534933E-2</v>
      </c>
      <c r="AF51" s="128">
        <f t="shared" si="2"/>
        <v>0</v>
      </c>
      <c r="AG51" s="110">
        <f t="shared" si="3"/>
        <v>0</v>
      </c>
      <c r="AH51" s="110">
        <f t="shared" si="4"/>
        <v>0</v>
      </c>
      <c r="AI51" s="110">
        <f t="shared" si="5"/>
        <v>0</v>
      </c>
      <c r="AJ51" s="110">
        <f t="shared" si="6"/>
        <v>0</v>
      </c>
      <c r="AK51" s="110">
        <f t="shared" si="7"/>
        <v>0</v>
      </c>
      <c r="AL51" s="110">
        <f t="shared" si="8"/>
        <v>3.4106051316484809E-12</v>
      </c>
      <c r="AM51" s="110">
        <f t="shared" si="9"/>
        <v>3.4106051316484809E-12</v>
      </c>
      <c r="AN51" s="190"/>
      <c r="AP51" s="112">
        <f t="shared" si="10"/>
        <v>8.3117750386534933E-2</v>
      </c>
      <c r="AQ51" s="382">
        <f>'PDA Schedules FY 2018'!AP51</f>
        <v>9.8900546494640168E-2</v>
      </c>
    </row>
    <row r="52" spans="1:43">
      <c r="A52" s="33">
        <f>'UCC Fund Calc FY2022'!C51</f>
        <v>210061</v>
      </c>
      <c r="B52" s="33" t="str">
        <f>'UCC Fund Calc FY2022'!D51</f>
        <v>Atlantic General Hospital</v>
      </c>
      <c r="C52" s="87">
        <v>40335.300000000003</v>
      </c>
      <c r="D52" s="87">
        <v>70457.700000000012</v>
      </c>
      <c r="E52" s="87">
        <v>110793.00000000001</v>
      </c>
      <c r="F52" s="87">
        <v>24496.7</v>
      </c>
      <c r="G52" s="87">
        <v>30382.9</v>
      </c>
      <c r="H52" s="87">
        <v>54879.600000000006</v>
      </c>
      <c r="I52" s="87">
        <v>403.5</v>
      </c>
      <c r="J52" s="87">
        <v>818.3</v>
      </c>
      <c r="K52" s="87">
        <v>1221.8</v>
      </c>
      <c r="L52" s="87">
        <v>4283.1000000000004</v>
      </c>
      <c r="M52" s="87">
        <v>13801.6</v>
      </c>
      <c r="N52" s="87">
        <v>18084.7</v>
      </c>
      <c r="O52" s="87">
        <v>4254.3999999999996</v>
      </c>
      <c r="P52" s="87">
        <v>8897.5</v>
      </c>
      <c r="Q52" s="87">
        <v>13151.9</v>
      </c>
      <c r="R52" s="87">
        <v>1646.3880000000001</v>
      </c>
      <c r="S52" s="87">
        <v>3569.8710000000001</v>
      </c>
      <c r="T52" s="87">
        <v>1682.9</v>
      </c>
      <c r="U52" s="87">
        <v>5252.7710000000006</v>
      </c>
      <c r="V52" s="87">
        <v>3327.7290000000021</v>
      </c>
      <c r="W52" s="87">
        <v>14874.500000000009</v>
      </c>
      <c r="X52" s="87">
        <v>18202.229000000007</v>
      </c>
      <c r="Y52" s="87">
        <v>75579.442129084229</v>
      </c>
      <c r="Z52" s="87">
        <v>83224.354826782292</v>
      </c>
      <c r="AA52" s="131">
        <v>0.49533454279602501</v>
      </c>
      <c r="AB52" s="80">
        <v>1.1027772512703869E-2</v>
      </c>
      <c r="AC52" s="80">
        <v>0.11870695802081357</v>
      </c>
      <c r="AD52" s="80">
        <v>0.12973473053351744</v>
      </c>
      <c r="AE52" s="80">
        <v>4.7410675764714375E-2</v>
      </c>
      <c r="AF52" s="128">
        <f t="shared" si="2"/>
        <v>0</v>
      </c>
      <c r="AG52" s="110">
        <f t="shared" si="3"/>
        <v>0</v>
      </c>
      <c r="AH52" s="110">
        <f t="shared" si="4"/>
        <v>0</v>
      </c>
      <c r="AI52" s="110">
        <f t="shared" si="5"/>
        <v>0</v>
      </c>
      <c r="AJ52" s="110">
        <f t="shared" si="6"/>
        <v>0</v>
      </c>
      <c r="AK52" s="110">
        <f t="shared" si="7"/>
        <v>0</v>
      </c>
      <c r="AL52" s="110">
        <f t="shared" si="8"/>
        <v>0</v>
      </c>
      <c r="AM52" s="110">
        <f t="shared" si="9"/>
        <v>0</v>
      </c>
      <c r="AN52" s="190"/>
      <c r="AP52" s="112">
        <f t="shared" si="10"/>
        <v>4.7410675764714375E-2</v>
      </c>
      <c r="AQ52" s="382">
        <f>'PDA Schedules FY 2018'!AP52</f>
        <v>4.9513511413395397E-2</v>
      </c>
    </row>
    <row r="53" spans="1:43">
      <c r="A53" s="33">
        <f>'UCC Fund Calc FY2022'!C52</f>
        <v>210062</v>
      </c>
      <c r="B53" s="33" t="str">
        <f>'UCC Fund Calc FY2022'!D52</f>
        <v>Medstar Southern Maryland Hospital Center</v>
      </c>
      <c r="C53" s="87">
        <v>171247.16769999982</v>
      </c>
      <c r="D53" s="87">
        <v>102717.89823999997</v>
      </c>
      <c r="E53" s="87">
        <v>273965.06593999977</v>
      </c>
      <c r="F53" s="87">
        <v>76797.895547780732</v>
      </c>
      <c r="G53" s="87">
        <v>29974.541123533298</v>
      </c>
      <c r="H53" s="87">
        <v>106772.43667131403</v>
      </c>
      <c r="I53" s="87">
        <v>6822.7820157380684</v>
      </c>
      <c r="J53" s="87">
        <v>3963.0785870022751</v>
      </c>
      <c r="K53" s="87">
        <v>10785.860602740344</v>
      </c>
      <c r="L53" s="87">
        <v>12356.052639452902</v>
      </c>
      <c r="M53" s="87">
        <v>11685.467396084285</v>
      </c>
      <c r="N53" s="87">
        <v>24041.520035537185</v>
      </c>
      <c r="O53" s="87">
        <v>38989.609500605315</v>
      </c>
      <c r="P53" s="87">
        <v>22264.925962700781</v>
      </c>
      <c r="Q53" s="87">
        <v>61254.535463306092</v>
      </c>
      <c r="R53" s="87">
        <v>1797.9509599999897</v>
      </c>
      <c r="S53" s="87">
        <v>6280.5022848260951</v>
      </c>
      <c r="T53" s="87">
        <v>8052.3767351739043</v>
      </c>
      <c r="U53" s="87">
        <v>14332.87902</v>
      </c>
      <c r="V53" s="87">
        <v>30000.32571159671</v>
      </c>
      <c r="W53" s="87">
        <v>26777.508435505399</v>
      </c>
      <c r="X53" s="87">
        <v>56777.834147102112</v>
      </c>
      <c r="Y53" s="87">
        <v>215072.26523636581</v>
      </c>
      <c r="Z53" s="87">
        <v>241306.41263879801</v>
      </c>
      <c r="AA53" s="131">
        <v>0.38973011506035565</v>
      </c>
      <c r="AB53" s="80">
        <v>3.9369474227427675E-2</v>
      </c>
      <c r="AC53" s="80">
        <v>0.2235852051177987</v>
      </c>
      <c r="AD53" s="80">
        <v>0.26295467934522637</v>
      </c>
      <c r="AE53" s="80">
        <v>5.2316447612846373E-2</v>
      </c>
      <c r="AF53" s="128">
        <f t="shared" si="2"/>
        <v>0</v>
      </c>
      <c r="AG53" s="110">
        <f t="shared" si="3"/>
        <v>0</v>
      </c>
      <c r="AH53" s="110">
        <f t="shared" si="4"/>
        <v>0</v>
      </c>
      <c r="AI53" s="110">
        <f t="shared" si="5"/>
        <v>0</v>
      </c>
      <c r="AJ53" s="110">
        <f t="shared" si="6"/>
        <v>0</v>
      </c>
      <c r="AK53" s="110">
        <f t="shared" si="7"/>
        <v>0</v>
      </c>
      <c r="AL53" s="110">
        <f t="shared" si="8"/>
        <v>0</v>
      </c>
      <c r="AM53" s="110">
        <f t="shared" si="9"/>
        <v>0</v>
      </c>
      <c r="AN53" s="190"/>
      <c r="AP53" s="112">
        <f t="shared" si="10"/>
        <v>5.2316447612846373E-2</v>
      </c>
      <c r="AQ53" s="382">
        <f>'PDA Schedules FY 2018'!AP53</f>
        <v>5.0678897035373593E-2</v>
      </c>
    </row>
    <row r="54" spans="1:43">
      <c r="A54" s="33">
        <f>'UCC Fund Calc FY2022'!C53</f>
        <v>210063</v>
      </c>
      <c r="B54" s="33" t="str">
        <f>'UCC Fund Calc FY2022'!D53</f>
        <v>UM St. Joseph Medical Center</v>
      </c>
      <c r="C54" s="87">
        <v>250413.15755999999</v>
      </c>
      <c r="D54" s="87">
        <v>138760.40369999997</v>
      </c>
      <c r="E54" s="87">
        <v>389173.56125999999</v>
      </c>
      <c r="F54" s="87">
        <v>117060.6437930066</v>
      </c>
      <c r="G54" s="87">
        <v>48952.371794772851</v>
      </c>
      <c r="H54" s="87">
        <v>166013.01558777946</v>
      </c>
      <c r="I54" s="87">
        <v>7596.6260648165535</v>
      </c>
      <c r="J54" s="87">
        <v>1291.9076274212364</v>
      </c>
      <c r="K54" s="87">
        <v>8888.5336922377901</v>
      </c>
      <c r="L54" s="87">
        <v>26325.912642691335</v>
      </c>
      <c r="M54" s="87">
        <v>18866.824492008735</v>
      </c>
      <c r="N54" s="87">
        <v>45192.737134700074</v>
      </c>
      <c r="O54" s="87">
        <v>33176.175014657085</v>
      </c>
      <c r="P54" s="87">
        <v>18468.661750647287</v>
      </c>
      <c r="Q54" s="87">
        <v>51644.836765304368</v>
      </c>
      <c r="R54" s="87">
        <v>808.48207999999875</v>
      </c>
      <c r="S54" s="87">
        <v>9653.8655818915377</v>
      </c>
      <c r="T54" s="87">
        <v>5349.4564681084612</v>
      </c>
      <c r="U54" s="87">
        <v>15003.322050000001</v>
      </c>
      <c r="V54" s="87">
        <v>56599.934462936915</v>
      </c>
      <c r="W54" s="87">
        <v>45831.181567041393</v>
      </c>
      <c r="X54" s="87">
        <v>102431.11602997828</v>
      </c>
      <c r="Y54" s="87">
        <v>291398.57959520502</v>
      </c>
      <c r="Z54" s="87">
        <v>320631.27589372871</v>
      </c>
      <c r="AA54" s="131">
        <v>0.42657834990200966</v>
      </c>
      <c r="AB54" s="80">
        <v>2.2839510637516092E-2</v>
      </c>
      <c r="AC54" s="80">
        <v>0.13270386764737435</v>
      </c>
      <c r="AD54" s="80">
        <v>0.15554337828489043</v>
      </c>
      <c r="AE54" s="80">
        <v>3.8551750538820768E-2</v>
      </c>
      <c r="AF54" s="128">
        <f t="shared" si="2"/>
        <v>0</v>
      </c>
      <c r="AG54" s="110">
        <f t="shared" si="3"/>
        <v>0</v>
      </c>
      <c r="AH54" s="110">
        <f t="shared" si="4"/>
        <v>0</v>
      </c>
      <c r="AI54" s="110">
        <f t="shared" si="5"/>
        <v>0</v>
      </c>
      <c r="AJ54" s="110">
        <f t="shared" si="6"/>
        <v>0</v>
      </c>
      <c r="AK54" s="110">
        <f t="shared" si="7"/>
        <v>0</v>
      </c>
      <c r="AL54" s="110">
        <f t="shared" si="8"/>
        <v>0</v>
      </c>
      <c r="AM54" s="110">
        <f t="shared" si="9"/>
        <v>0</v>
      </c>
      <c r="AN54" s="190"/>
      <c r="AP54" s="112">
        <f t="shared" si="10"/>
        <v>3.8551750538820768E-2</v>
      </c>
      <c r="AQ54" s="382">
        <f>'PDA Schedules FY 2018'!AP54</f>
        <v>3.9084426592376389E-2</v>
      </c>
    </row>
    <row r="55" spans="1:43">
      <c r="A55" s="33">
        <f>'UCC Fund Calc FY2022'!C54</f>
        <v>210064</v>
      </c>
      <c r="B55" s="33" t="str">
        <f>'UCC Fund Calc FY2022'!D54</f>
        <v>Levindale Hospital</v>
      </c>
      <c r="C55" s="87">
        <v>57460.578999999998</v>
      </c>
      <c r="D55" s="87">
        <v>3010.69</v>
      </c>
      <c r="E55" s="87">
        <v>60471.269</v>
      </c>
      <c r="F55" s="87">
        <v>48294.58</v>
      </c>
      <c r="G55" s="87">
        <v>2722.36</v>
      </c>
      <c r="H55" s="87">
        <v>51016.94</v>
      </c>
      <c r="I55" s="87">
        <v>1583.11</v>
      </c>
      <c r="J55" s="87">
        <v>0</v>
      </c>
      <c r="K55" s="87">
        <v>1583.11</v>
      </c>
      <c r="L55" s="87">
        <v>1662.7</v>
      </c>
      <c r="M55" s="87">
        <v>4.87</v>
      </c>
      <c r="N55" s="87">
        <v>1667.57</v>
      </c>
      <c r="O55" s="87">
        <v>2760.74</v>
      </c>
      <c r="P55" s="87">
        <v>147.13</v>
      </c>
      <c r="Q55" s="87">
        <v>2907.87</v>
      </c>
      <c r="R55" s="87">
        <v>0</v>
      </c>
      <c r="S55" s="87">
        <v>2827.4580000000001</v>
      </c>
      <c r="T55" s="87">
        <v>0</v>
      </c>
      <c r="U55" s="87">
        <v>2827.4580000000001</v>
      </c>
      <c r="V55" s="87">
        <v>331.9909999999968</v>
      </c>
      <c r="W55" s="87">
        <v>136.32999999999993</v>
      </c>
      <c r="X55" s="87">
        <v>468.32099999999673</v>
      </c>
      <c r="Y55" s="87">
        <v>41916.50235000001</v>
      </c>
      <c r="Z55" s="87">
        <v>47535.816295630153</v>
      </c>
      <c r="AA55" s="131">
        <v>0.84365585250079678</v>
      </c>
      <c r="AB55" s="80">
        <v>2.6179539906794412E-2</v>
      </c>
      <c r="AC55" s="80">
        <v>4.8086803007226453E-2</v>
      </c>
      <c r="AD55" s="80">
        <v>7.4266342914020858E-2</v>
      </c>
      <c r="AE55" s="80">
        <v>4.6757047549308088E-2</v>
      </c>
      <c r="AF55" s="128">
        <f t="shared" si="2"/>
        <v>0</v>
      </c>
      <c r="AG55" s="110">
        <f t="shared" si="3"/>
        <v>0</v>
      </c>
      <c r="AH55" s="110">
        <f t="shared" si="4"/>
        <v>0</v>
      </c>
      <c r="AI55" s="110">
        <f t="shared" si="5"/>
        <v>0</v>
      </c>
      <c r="AJ55" s="110">
        <f t="shared" si="6"/>
        <v>0</v>
      </c>
      <c r="AK55" s="110">
        <f t="shared" si="7"/>
        <v>0</v>
      </c>
      <c r="AL55" s="110">
        <f t="shared" si="8"/>
        <v>0</v>
      </c>
      <c r="AM55" s="110">
        <f t="shared" si="9"/>
        <v>0</v>
      </c>
      <c r="AN55" s="190"/>
      <c r="AP55" s="112">
        <f t="shared" si="10"/>
        <v>4.6757047549308088E-2</v>
      </c>
      <c r="AQ55" s="382">
        <f>'PDA Schedules FY 2018'!AP55</f>
        <v>3.1207410764895235E-2</v>
      </c>
    </row>
    <row r="56" spans="1:43">
      <c r="A56" s="33">
        <f>'UCC Fund Calc FY2022'!C55</f>
        <v>210065</v>
      </c>
      <c r="B56" s="33" t="str">
        <f>'UCC Fund Calc FY2022'!D55</f>
        <v>Holy Cross Germantown Hospital</v>
      </c>
      <c r="C56" s="87">
        <v>66765</v>
      </c>
      <c r="D56" s="87">
        <v>44429.1</v>
      </c>
      <c r="E56" s="87">
        <v>111194.1</v>
      </c>
      <c r="F56" s="87">
        <v>28683.384528619961</v>
      </c>
      <c r="G56" s="87">
        <v>8314.9376016982496</v>
      </c>
      <c r="H56" s="87">
        <v>36998.322130318207</v>
      </c>
      <c r="I56" s="87">
        <v>6003.9219398785626</v>
      </c>
      <c r="J56" s="87">
        <v>3449.6336106868089</v>
      </c>
      <c r="K56" s="87">
        <v>9453.555550565372</v>
      </c>
      <c r="L56" s="87">
        <v>8032.0118465388659</v>
      </c>
      <c r="M56" s="87">
        <v>7237.9943105066413</v>
      </c>
      <c r="N56" s="87">
        <v>15270.006157045507</v>
      </c>
      <c r="O56" s="87">
        <v>10030.541271939735</v>
      </c>
      <c r="P56" s="87">
        <v>7084.9817847432969</v>
      </c>
      <c r="Q56" s="87">
        <v>17115.523056683032</v>
      </c>
      <c r="R56" s="87">
        <v>1305.2876699999993</v>
      </c>
      <c r="S56" s="87">
        <v>2731.9845803511303</v>
      </c>
      <c r="T56" s="87">
        <v>6674.5273796488709</v>
      </c>
      <c r="U56" s="87">
        <v>9406.5119600000016</v>
      </c>
      <c r="V56" s="87">
        <v>11283.155832671746</v>
      </c>
      <c r="W56" s="87">
        <v>11667.025312716132</v>
      </c>
      <c r="X56" s="87">
        <v>22950.181145387884</v>
      </c>
      <c r="Y56" s="87">
        <v>97560.673087381772</v>
      </c>
      <c r="Z56" s="87">
        <v>111649.25252520684</v>
      </c>
      <c r="AA56" s="131">
        <v>0.33273637837185793</v>
      </c>
      <c r="AB56" s="80">
        <v>8.5018499637708939E-2</v>
      </c>
      <c r="AC56" s="80">
        <v>0.15392474112100402</v>
      </c>
      <c r="AD56" s="80">
        <v>0.23894324075871295</v>
      </c>
      <c r="AE56" s="80">
        <v>8.4595423318323551E-2</v>
      </c>
      <c r="AF56" s="128">
        <f t="shared" si="2"/>
        <v>0</v>
      </c>
      <c r="AG56" s="110">
        <f t="shared" si="3"/>
        <v>0</v>
      </c>
      <c r="AH56" s="110">
        <f t="shared" si="4"/>
        <v>0</v>
      </c>
      <c r="AI56" s="110">
        <f t="shared" si="5"/>
        <v>0</v>
      </c>
      <c r="AJ56" s="110">
        <f t="shared" si="6"/>
        <v>0</v>
      </c>
      <c r="AK56" s="110">
        <f t="shared" si="7"/>
        <v>0</v>
      </c>
      <c r="AL56" s="110">
        <f t="shared" si="8"/>
        <v>0</v>
      </c>
      <c r="AM56" s="110">
        <f t="shared" si="9"/>
        <v>0</v>
      </c>
      <c r="AN56" s="190"/>
      <c r="AP56" s="112">
        <f t="shared" si="10"/>
        <v>8.4595423318323551E-2</v>
      </c>
      <c r="AQ56" s="382">
        <f>'PDA Schedules FY 2018'!AP56</f>
        <v>9.0915385023931192E-2</v>
      </c>
    </row>
    <row r="57" spans="1:43">
      <c r="A57" s="33">
        <f>'UCC Fund Calc FY2022'!C56</f>
        <v>218992</v>
      </c>
      <c r="B57" s="33" t="str">
        <f>'UCC Fund Calc FY2022'!D56</f>
        <v>UM Shock Trauma Center</v>
      </c>
      <c r="C57" s="87">
        <v>188965.09319000013</v>
      </c>
      <c r="D57" s="87">
        <v>34284.564869999995</v>
      </c>
      <c r="E57" s="87">
        <v>223249.65806000013</v>
      </c>
      <c r="F57" s="87">
        <v>58282.201989412169</v>
      </c>
      <c r="G57" s="87">
        <v>6129.7285036612921</v>
      </c>
      <c r="H57" s="87">
        <v>64411.930493073465</v>
      </c>
      <c r="I57" s="87">
        <v>18332.332926207207</v>
      </c>
      <c r="J57" s="87">
        <v>2492.8445774023976</v>
      </c>
      <c r="K57" s="87">
        <v>20825.177503609604</v>
      </c>
      <c r="L57" s="87">
        <v>18374.332860857052</v>
      </c>
      <c r="M57" s="87">
        <v>2750.9260052466248</v>
      </c>
      <c r="N57" s="87">
        <v>21125.258866103675</v>
      </c>
      <c r="O57" s="87">
        <v>43363.247661513757</v>
      </c>
      <c r="P57" s="87">
        <v>11945.606950073035</v>
      </c>
      <c r="Q57" s="87">
        <v>55308.854611586801</v>
      </c>
      <c r="R57" s="87">
        <v>352.00138574495963</v>
      </c>
      <c r="S57" s="87">
        <v>11820.387763770404</v>
      </c>
      <c r="T57" s="87">
        <v>2144.6122362295982</v>
      </c>
      <c r="U57" s="87">
        <v>13965</v>
      </c>
      <c r="V57" s="87">
        <v>38792.589988239539</v>
      </c>
      <c r="W57" s="87">
        <v>8820.846597387048</v>
      </c>
      <c r="X57" s="87">
        <v>47613.436585626579</v>
      </c>
      <c r="Y57" s="87">
        <v>166886.59767425727</v>
      </c>
      <c r="Z57" s="87">
        <v>189090.2662177014</v>
      </c>
      <c r="AA57" s="131">
        <v>0.28851972743341109</v>
      </c>
      <c r="AB57" s="80">
        <v>9.3282012991987073E-2</v>
      </c>
      <c r="AC57" s="80">
        <v>0.24774440907193732</v>
      </c>
      <c r="AD57" s="80">
        <v>0.34102642206392436</v>
      </c>
      <c r="AE57" s="80">
        <v>6.2553287298862489E-2</v>
      </c>
      <c r="AF57" s="128">
        <f t="shared" si="2"/>
        <v>0</v>
      </c>
      <c r="AG57" s="110">
        <f t="shared" si="3"/>
        <v>0</v>
      </c>
      <c r="AH57" s="110">
        <f t="shared" si="4"/>
        <v>0</v>
      </c>
      <c r="AI57" s="110">
        <f t="shared" si="5"/>
        <v>0</v>
      </c>
      <c r="AJ57" s="110">
        <f t="shared" si="6"/>
        <v>0</v>
      </c>
      <c r="AK57" s="110">
        <f t="shared" si="7"/>
        <v>0</v>
      </c>
      <c r="AL57" s="110">
        <f t="shared" si="8"/>
        <v>0</v>
      </c>
      <c r="AM57" s="110">
        <f t="shared" si="9"/>
        <v>0</v>
      </c>
      <c r="AN57" s="190"/>
      <c r="AP57" s="112">
        <f t="shared" si="10"/>
        <v>6.2553287298862489E-2</v>
      </c>
      <c r="AQ57" s="382">
        <f>'PDA Schedules FY 2018'!AP57</f>
        <v>6.2018087171280475E-2</v>
      </c>
    </row>
    <row r="58" spans="1:43">
      <c r="A58" s="85"/>
      <c r="B58" s="85"/>
      <c r="C58" s="26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132"/>
      <c r="AB58" s="80"/>
      <c r="AC58" s="80"/>
      <c r="AD58" s="80"/>
      <c r="AE58" s="80"/>
      <c r="AF58" s="109"/>
      <c r="AG58" s="127"/>
      <c r="AH58" s="127"/>
      <c r="AI58" s="127"/>
      <c r="AJ58" s="127"/>
      <c r="AK58" s="127"/>
      <c r="AL58" s="127"/>
      <c r="AM58" s="127"/>
      <c r="AP58" s="112"/>
    </row>
    <row r="59" spans="1:43">
      <c r="A59" s="26" t="s">
        <v>187</v>
      </c>
      <c r="B59" s="26" t="str">
        <f>"Statewide "&amp;RIGHT(A6,4)</f>
        <v>Statewide 2020</v>
      </c>
      <c r="C59" s="87">
        <f t="shared" ref="C59:Z59" si="11">SUM(C9:C57)</f>
        <v>10033352.68399876</v>
      </c>
      <c r="D59" s="87">
        <f t="shared" si="11"/>
        <v>7433260.4526512418</v>
      </c>
      <c r="E59" s="87">
        <f t="shared" si="11"/>
        <v>17466613.136650007</v>
      </c>
      <c r="F59" s="87">
        <f t="shared" si="11"/>
        <v>4191853.6872917782</v>
      </c>
      <c r="G59" s="87">
        <f t="shared" si="11"/>
        <v>2358203.942285588</v>
      </c>
      <c r="H59" s="87">
        <f t="shared" si="11"/>
        <v>6550057.529577367</v>
      </c>
      <c r="I59" s="87">
        <f t="shared" si="11"/>
        <v>591854.12513689732</v>
      </c>
      <c r="J59" s="87">
        <f t="shared" si="11"/>
        <v>214186.7435870739</v>
      </c>
      <c r="K59" s="87">
        <f t="shared" si="11"/>
        <v>806040.86872397107</v>
      </c>
      <c r="L59" s="87">
        <f t="shared" si="11"/>
        <v>1099487.2726657067</v>
      </c>
      <c r="M59" s="87">
        <f t="shared" si="11"/>
        <v>1193647.1197503787</v>
      </c>
      <c r="N59" s="87">
        <f t="shared" si="11"/>
        <v>2293134.3924160856</v>
      </c>
      <c r="O59" s="87">
        <f t="shared" si="11"/>
        <v>2059941.4894676199</v>
      </c>
      <c r="P59" s="87">
        <f t="shared" si="11"/>
        <v>1516434.520047554</v>
      </c>
      <c r="Q59" s="87">
        <f t="shared" si="11"/>
        <v>3576376.0095151742</v>
      </c>
      <c r="R59" s="87">
        <f t="shared" si="11"/>
        <v>115639.14072574502</v>
      </c>
      <c r="S59" s="87">
        <f t="shared" si="11"/>
        <v>349415.61245169787</v>
      </c>
      <c r="T59" s="87">
        <f t="shared" si="11"/>
        <v>420224.59798471106</v>
      </c>
      <c r="U59" s="87">
        <f t="shared" si="11"/>
        <v>769640.21043640911</v>
      </c>
      <c r="V59" s="87">
        <f t="shared" si="11"/>
        <v>1740800.5969850621</v>
      </c>
      <c r="W59" s="87">
        <f t="shared" si="11"/>
        <v>1730563.5289959344</v>
      </c>
      <c r="X59" s="87">
        <f t="shared" si="11"/>
        <v>3471364.1259809951</v>
      </c>
      <c r="Y59" s="87">
        <f t="shared" si="11"/>
        <v>13777365.174475163</v>
      </c>
      <c r="Z59" s="87">
        <f t="shared" si="11"/>
        <v>15256299.589943195</v>
      </c>
      <c r="AA59" s="131">
        <f>H59/E59</f>
        <v>0.37500444295256369</v>
      </c>
      <c r="AB59" s="80">
        <f>K59/E59</f>
        <v>4.6147519408480178E-2</v>
      </c>
      <c r="AC59" s="80">
        <f>Q59/E59</f>
        <v>0.204754979201486</v>
      </c>
      <c r="AD59" s="80">
        <f>(K59+Q59)/E59</f>
        <v>0.25090249860996616</v>
      </c>
      <c r="AE59" s="80">
        <f>U59/E59</f>
        <v>4.4063505867744976E-2</v>
      </c>
      <c r="AF59" s="129">
        <f t="shared" ref="AF59:AM59" si="12">SUM(AF9:AF57)</f>
        <v>0</v>
      </c>
      <c r="AG59" s="111">
        <f t="shared" si="12"/>
        <v>0.10000000000582077</v>
      </c>
      <c r="AH59" s="111">
        <f t="shared" si="12"/>
        <v>0</v>
      </c>
      <c r="AI59" s="111">
        <f t="shared" si="12"/>
        <v>0</v>
      </c>
      <c r="AJ59" s="111">
        <f t="shared" si="12"/>
        <v>0</v>
      </c>
      <c r="AK59" s="111">
        <f t="shared" si="12"/>
        <v>0</v>
      </c>
      <c r="AL59" s="111">
        <f t="shared" si="12"/>
        <v>3.4106051316484809E-12</v>
      </c>
      <c r="AM59" s="111">
        <f t="shared" si="12"/>
        <v>0.10000000000923137</v>
      </c>
      <c r="AP59" s="112">
        <f>+U59/E59</f>
        <v>4.4063505867744976E-2</v>
      </c>
    </row>
    <row r="60" spans="1:43">
      <c r="A60" s="26"/>
      <c r="B60" s="26"/>
      <c r="C60" s="80">
        <f>C59/$E$59</f>
        <v>0.57443034923272462</v>
      </c>
      <c r="D60" s="80">
        <f>D59/$E$59</f>
        <v>0.42556965076727504</v>
      </c>
      <c r="E60" s="80">
        <f>E59/$E$59</f>
        <v>1</v>
      </c>
      <c r="F60" s="90"/>
      <c r="G60" s="26"/>
      <c r="H60" s="80">
        <f>H59/$E$59</f>
        <v>0.37500444295256369</v>
      </c>
      <c r="I60" s="26"/>
      <c r="J60" s="26"/>
      <c r="K60" s="80">
        <f>K59/$E$59</f>
        <v>4.6147519408480178E-2</v>
      </c>
      <c r="L60" s="26"/>
      <c r="M60" s="26"/>
      <c r="N60" s="80">
        <f>N59/$E$59</f>
        <v>0.13128672253033569</v>
      </c>
      <c r="O60" s="26"/>
      <c r="P60" s="26"/>
      <c r="Q60" s="80">
        <f>Q59/$E$59</f>
        <v>0.204754979201486</v>
      </c>
      <c r="R60" s="26"/>
      <c r="S60" s="26"/>
      <c r="T60" s="80"/>
      <c r="U60" s="176">
        <f>U59/$E$59</f>
        <v>4.4063505867744976E-2</v>
      </c>
      <c r="V60" s="26"/>
      <c r="W60" s="26"/>
      <c r="X60" s="80">
        <f>X59/$E$59</f>
        <v>0.1987428300393892</v>
      </c>
      <c r="Y60" s="80">
        <f>Y59/$E$59</f>
        <v>0.78878286629972161</v>
      </c>
      <c r="Z60" s="80">
        <f>Z59/$E$59</f>
        <v>0.8734549434733323</v>
      </c>
      <c r="AA60" s="26"/>
      <c r="AB60" s="80">
        <f>AB59/AD59</f>
        <v>0.18392610541602292</v>
      </c>
      <c r="AC60" s="80">
        <f>AC59/AD59</f>
        <v>0.81607389458397717</v>
      </c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P60" s="112"/>
    </row>
    <row r="61" spans="1:43">
      <c r="A61" s="26"/>
      <c r="B61" s="2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26"/>
      <c r="Z61" s="89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190"/>
      <c r="AP61" s="112"/>
    </row>
    <row r="62" spans="1:43">
      <c r="A62" s="26" t="s">
        <v>187</v>
      </c>
      <c r="B62" s="26" t="str">
        <f>"Statewide "&amp;RIGHT(A6,4)-1</f>
        <v>Statewide 2019</v>
      </c>
      <c r="C62" s="87">
        <f>'PDA Schedules FY 2018'!C59</f>
        <v>9856807.3868377116</v>
      </c>
      <c r="D62" s="87">
        <f>'PDA Schedules FY 2018'!D59</f>
        <v>7303134.0659187427</v>
      </c>
      <c r="E62" s="87">
        <f>'PDA Schedules FY 2018'!E59</f>
        <v>17159941.452756453</v>
      </c>
      <c r="F62" s="87">
        <f>'PDA Schedules FY 2018'!F59</f>
        <v>4216532.1309138993</v>
      </c>
      <c r="G62" s="87">
        <f>'PDA Schedules FY 2018'!G59</f>
        <v>2292335.390541059</v>
      </c>
      <c r="H62" s="87">
        <f>'PDA Schedules FY 2018'!H59</f>
        <v>6508867.5214549601</v>
      </c>
      <c r="I62" s="87">
        <f>'PDA Schedules FY 2018'!I59</f>
        <v>628893.93499270699</v>
      </c>
      <c r="J62" s="87">
        <f>'PDA Schedules FY 2018'!J59</f>
        <v>221724.19492782644</v>
      </c>
      <c r="K62" s="87">
        <f>'PDA Schedules FY 2018'!K59</f>
        <v>850618.12992053316</v>
      </c>
      <c r="L62" s="87">
        <f>'PDA Schedules FY 2018'!L59</f>
        <v>1066865.5532320759</v>
      </c>
      <c r="M62" s="87">
        <f>'PDA Schedules FY 2018'!M59</f>
        <v>1164814.7499310093</v>
      </c>
      <c r="N62" s="87">
        <f>'PDA Schedules FY 2018'!N59</f>
        <v>2231680.3031630847</v>
      </c>
      <c r="O62" s="87">
        <f>'PDA Schedules FY 2018'!O59</f>
        <v>1905182.3776887045</v>
      </c>
      <c r="P62" s="87">
        <f>'PDA Schedules FY 2018'!P59</f>
        <v>1459412.3881322267</v>
      </c>
      <c r="Q62" s="87">
        <f>'PDA Schedules FY 2018'!Q59</f>
        <v>3364594.7658209316</v>
      </c>
      <c r="R62" s="87">
        <f>'PDA Schedules FY 2018'!R59</f>
        <v>111731.92935798185</v>
      </c>
      <c r="S62" s="87">
        <f>'PDA Schedules FY 2018'!S59</f>
        <v>329431.21894548228</v>
      </c>
      <c r="T62" s="87">
        <f>'PDA Schedules FY 2018'!T59</f>
        <v>400904.32612701767</v>
      </c>
      <c r="U62" s="87">
        <f>'PDA Schedules FY 2018'!U59</f>
        <v>730335.5450724999</v>
      </c>
      <c r="V62" s="87">
        <f>'PDA Schedules FY 2018'!V59</f>
        <v>1712348.8150535861</v>
      </c>
      <c r="W62" s="87">
        <f>'PDA Schedules FY 2018'!W59</f>
        <v>1766558.5486208587</v>
      </c>
      <c r="X62" s="87">
        <f>'PDA Schedules FY 2018'!X59</f>
        <v>3478907.3636744455</v>
      </c>
      <c r="Y62" s="87">
        <f>'PDA Schedules FY 2018'!Y59</f>
        <v>13614417.573582189</v>
      </c>
      <c r="Z62" s="87">
        <f>'PDA Schedules FY 2018'!Z59</f>
        <v>14923268.310870809</v>
      </c>
      <c r="AA62" s="131">
        <f>H62/E62</f>
        <v>0.37930592825008858</v>
      </c>
      <c r="AB62" s="80">
        <f>K62/E62</f>
        <v>4.9569990216015325E-2</v>
      </c>
      <c r="AC62" s="80">
        <f>Q62/E62</f>
        <v>0.19607262501938585</v>
      </c>
      <c r="AD62" s="80">
        <f>(K62+Q62)/E62</f>
        <v>0.24564261523540118</v>
      </c>
      <c r="AE62" s="80">
        <f>U62/E62</f>
        <v>4.2560491659205744E-2</v>
      </c>
      <c r="AF62" s="80"/>
      <c r="AG62" s="26"/>
      <c r="AH62" s="26"/>
      <c r="AI62" s="26"/>
      <c r="AJ62" s="26"/>
      <c r="AK62" s="26"/>
      <c r="AL62" s="26"/>
      <c r="AM62" s="26"/>
      <c r="AN62" s="190"/>
      <c r="AP62" s="112"/>
    </row>
    <row r="63" spans="1:43">
      <c r="A63" s="26"/>
      <c r="B63" s="26"/>
      <c r="C63" s="80">
        <f>C62/E62</f>
        <v>0.57440798466444554</v>
      </c>
      <c r="D63" s="80">
        <f>D62/E62</f>
        <v>0.42559201533555457</v>
      </c>
      <c r="E63" s="80">
        <f>C63+D63</f>
        <v>1</v>
      </c>
      <c r="F63" s="80"/>
      <c r="G63" s="80"/>
      <c r="H63" s="80">
        <f>H62/$E$62</f>
        <v>0.37930592825008858</v>
      </c>
      <c r="I63" s="80"/>
      <c r="J63" s="80"/>
      <c r="K63" s="80">
        <f>K62/$E$62</f>
        <v>4.9569990216015325E-2</v>
      </c>
      <c r="L63" s="80"/>
      <c r="M63" s="80"/>
      <c r="N63" s="80">
        <f>N62/$E$62</f>
        <v>0.13005174343439285</v>
      </c>
      <c r="O63" s="80"/>
      <c r="P63" s="80"/>
      <c r="Q63" s="80">
        <f>Q62/$E$62</f>
        <v>0.19607262501938585</v>
      </c>
      <c r="R63" s="80"/>
      <c r="S63" s="80"/>
      <c r="T63" s="80"/>
      <c r="U63" s="176">
        <f>U62/$E$62</f>
        <v>4.2560491659205744E-2</v>
      </c>
      <c r="V63" s="80"/>
      <c r="W63" s="80"/>
      <c r="X63" s="80">
        <f>X62/$E$62</f>
        <v>0.20273422104919933</v>
      </c>
      <c r="Y63" s="80">
        <f t="shared" ref="Y63:Z63" si="13">Y62/$E$62</f>
        <v>0.79338368438286622</v>
      </c>
      <c r="Z63" s="80">
        <f t="shared" si="13"/>
        <v>0.86965729760538546</v>
      </c>
      <c r="AA63" s="26"/>
      <c r="AB63" s="80">
        <f>AB62/AD62</f>
        <v>0.20179719291993381</v>
      </c>
      <c r="AC63" s="80">
        <f>AC62/AD62</f>
        <v>0.79820280708006619</v>
      </c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190"/>
      <c r="AP63" s="112"/>
    </row>
    <row r="64" spans="1:43">
      <c r="A64" s="26"/>
      <c r="B64" s="26"/>
      <c r="C64" s="85"/>
      <c r="D64" s="85"/>
      <c r="E64" s="87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190"/>
      <c r="AP64" s="112"/>
    </row>
    <row r="65" spans="1:40">
      <c r="A65" s="26"/>
      <c r="B65" s="26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190"/>
    </row>
    <row r="66" spans="1:40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191"/>
    </row>
    <row r="67" spans="1:40">
      <c r="A67" s="85"/>
      <c r="B67" s="26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40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</row>
    <row r="69" spans="1:40">
      <c r="A69" s="76"/>
      <c r="B69" s="76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6"/>
      <c r="AB69" s="80"/>
      <c r="AC69" s="80"/>
      <c r="AD69" s="26"/>
      <c r="AE69" s="26"/>
      <c r="AF69" s="26"/>
      <c r="AG69" s="26"/>
      <c r="AH69" s="26"/>
      <c r="AI69" s="26"/>
      <c r="AJ69" s="26"/>
      <c r="AK69" s="26"/>
      <c r="AL69" s="26"/>
      <c r="AM69" s="26"/>
    </row>
    <row r="70" spans="1:40">
      <c r="A70" s="33"/>
      <c r="B70" s="33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8"/>
      <c r="AB70" s="80"/>
      <c r="AC70" s="80"/>
      <c r="AD70" s="80"/>
      <c r="AE70" s="80"/>
      <c r="AF70" s="89"/>
      <c r="AG70" s="89"/>
      <c r="AH70" s="89"/>
      <c r="AI70" s="89"/>
      <c r="AJ70" s="89"/>
      <c r="AK70" s="89"/>
      <c r="AL70" s="89"/>
      <c r="AM70" s="89"/>
    </row>
    <row r="71" spans="1:40">
      <c r="A71" s="26"/>
      <c r="B71" s="26"/>
      <c r="C71" s="26"/>
      <c r="D71" s="26"/>
      <c r="E71" s="26"/>
      <c r="F71" s="26"/>
      <c r="G71" s="26"/>
      <c r="H71" s="26"/>
      <c r="I71" s="26"/>
      <c r="J71" s="80"/>
      <c r="K71" s="80"/>
      <c r="L71" s="80"/>
      <c r="M71" s="26"/>
      <c r="N71" s="26"/>
      <c r="O71" s="26"/>
      <c r="P71" s="26"/>
      <c r="Q71" s="80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80"/>
      <c r="AC71" s="80"/>
      <c r="AD71" s="26"/>
      <c r="AE71" s="26"/>
      <c r="AF71" s="26"/>
      <c r="AG71" s="26"/>
      <c r="AH71" s="26"/>
      <c r="AI71" s="26"/>
      <c r="AJ71" s="26"/>
      <c r="AK71" s="26"/>
      <c r="AL71" s="26"/>
      <c r="AM71" s="26"/>
    </row>
    <row r="72" spans="1:40">
      <c r="A72" s="26"/>
      <c r="B72" s="26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0"/>
      <c r="R72" s="89"/>
      <c r="S72" s="89"/>
      <c r="T72" s="89"/>
      <c r="U72" s="89"/>
      <c r="V72" s="89"/>
      <c r="W72" s="89"/>
      <c r="X72" s="89"/>
      <c r="Y72" s="89"/>
      <c r="Z72" s="89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</row>
    <row r="73" spans="1:40">
      <c r="A73" s="26"/>
      <c r="B73" s="26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</row>
    <row r="74" spans="1:40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80"/>
      <c r="L74" s="26"/>
      <c r="M74" s="26"/>
      <c r="N74" s="26"/>
      <c r="O74" s="26"/>
      <c r="P74" s="26"/>
      <c r="Q74" s="80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</row>
    <row r="75" spans="1:40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80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</row>
    <row r="76" spans="1:40">
      <c r="A76" s="26"/>
      <c r="B76" s="26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</row>
  </sheetData>
  <pageMargins left="0" right="0" top="0" bottom="0" header="0" footer="0"/>
  <pageSetup scale="14" orientation="landscape" r:id="rId1"/>
  <headerFooter alignWithMargins="0">
    <oddFooter>&amp;L&amp;"Arial"&amp;12&amp;D&amp;C&amp;"Arial"&amp;12&amp;T&amp;R&amp;"Arial"&amp;12&amp;F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Q76"/>
  <sheetViews>
    <sheetView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4" sqref="H14"/>
    </sheetView>
  </sheetViews>
  <sheetFormatPr defaultColWidth="9.84375" defaultRowHeight="15.5"/>
  <cols>
    <col min="1" max="1" width="21.84375" style="116" customWidth="1"/>
    <col min="2" max="2" width="17.84375" style="116" customWidth="1"/>
    <col min="3" max="31" width="9.84375" style="116"/>
    <col min="32" max="32" width="11.84375" style="116" customWidth="1"/>
    <col min="33" max="38" width="9.84375" style="116"/>
    <col min="39" max="39" width="11.84375" style="116" customWidth="1"/>
    <col min="40" max="16384" width="9.84375" style="116"/>
  </cols>
  <sheetData>
    <row r="1" spans="1:43">
      <c r="A1" s="116" t="s">
        <v>186</v>
      </c>
    </row>
    <row r="2" spans="1:43">
      <c r="B2" s="426"/>
      <c r="C2" s="427" t="s">
        <v>188</v>
      </c>
      <c r="D2" s="427" t="s">
        <v>191</v>
      </c>
      <c r="E2" s="427" t="s">
        <v>193</v>
      </c>
      <c r="F2" s="427" t="s">
        <v>195</v>
      </c>
      <c r="G2" s="427" t="s">
        <v>198</v>
      </c>
      <c r="H2" s="427" t="s">
        <v>200</v>
      </c>
      <c r="I2" s="427" t="s">
        <v>202</v>
      </c>
      <c r="J2" s="427" t="s">
        <v>204</v>
      </c>
      <c r="K2" s="427" t="s">
        <v>206</v>
      </c>
      <c r="L2" s="427" t="s">
        <v>208</v>
      </c>
      <c r="M2" s="427" t="s">
        <v>211</v>
      </c>
      <c r="N2" s="427" t="s">
        <v>213</v>
      </c>
      <c r="O2" s="427" t="s">
        <v>215</v>
      </c>
      <c r="P2" s="427" t="s">
        <v>217</v>
      </c>
      <c r="Q2" s="427" t="s">
        <v>219</v>
      </c>
      <c r="R2" s="427" t="s">
        <v>221</v>
      </c>
      <c r="S2" s="427" t="s">
        <v>225</v>
      </c>
      <c r="T2" s="427" t="s">
        <v>227</v>
      </c>
      <c r="U2" s="427" t="s">
        <v>229</v>
      </c>
      <c r="V2" s="427" t="s">
        <v>231</v>
      </c>
      <c r="W2" s="427" t="s">
        <v>234</v>
      </c>
      <c r="X2" s="427" t="s">
        <v>236</v>
      </c>
      <c r="Y2" s="427" t="s">
        <v>238</v>
      </c>
      <c r="Z2" s="427" t="s">
        <v>242</v>
      </c>
    </row>
    <row r="3" spans="1:43">
      <c r="A3" s="356"/>
      <c r="B3" s="356"/>
      <c r="C3" s="116" t="s">
        <v>189</v>
      </c>
      <c r="D3" s="116" t="s">
        <v>192</v>
      </c>
      <c r="E3" s="116" t="s">
        <v>194</v>
      </c>
      <c r="F3" s="116" t="s">
        <v>196</v>
      </c>
      <c r="G3" s="116" t="s">
        <v>199</v>
      </c>
      <c r="H3" s="116" t="s">
        <v>201</v>
      </c>
      <c r="I3" s="116" t="s">
        <v>203</v>
      </c>
      <c r="J3" s="116" t="s">
        <v>205</v>
      </c>
      <c r="K3" s="116" t="s">
        <v>207</v>
      </c>
      <c r="L3" s="116" t="s">
        <v>209</v>
      </c>
      <c r="M3" s="116" t="s">
        <v>212</v>
      </c>
      <c r="N3" s="116" t="s">
        <v>214</v>
      </c>
      <c r="O3" s="116" t="s">
        <v>216</v>
      </c>
      <c r="P3" s="116" t="s">
        <v>218</v>
      </c>
      <c r="Q3" s="116" t="s">
        <v>220</v>
      </c>
      <c r="R3" s="116" t="s">
        <v>222</v>
      </c>
      <c r="S3" s="116" t="s">
        <v>226</v>
      </c>
      <c r="T3" s="116" t="s">
        <v>228</v>
      </c>
      <c r="U3" s="116" t="s">
        <v>230</v>
      </c>
      <c r="V3" s="116" t="s">
        <v>232</v>
      </c>
      <c r="W3" s="116" t="s">
        <v>235</v>
      </c>
      <c r="X3" s="116" t="s">
        <v>237</v>
      </c>
      <c r="Y3" s="116" t="s">
        <v>239</v>
      </c>
      <c r="Z3" s="116" t="s">
        <v>243</v>
      </c>
      <c r="AA3" s="116" t="s">
        <v>246</v>
      </c>
      <c r="AC3" s="229" t="s">
        <v>197</v>
      </c>
    </row>
    <row r="4" spans="1:43">
      <c r="A4" s="356"/>
      <c r="B4" s="356"/>
      <c r="AC4" s="229" t="s">
        <v>259</v>
      </c>
    </row>
    <row r="5" spans="1:43">
      <c r="A5" s="116" t="s">
        <v>186</v>
      </c>
      <c r="B5" s="356"/>
      <c r="C5" s="266" t="s">
        <v>190</v>
      </c>
      <c r="D5" s="266" t="s">
        <v>190</v>
      </c>
      <c r="E5" s="266" t="s">
        <v>190</v>
      </c>
      <c r="F5" s="266" t="s">
        <v>197</v>
      </c>
      <c r="G5" s="266" t="s">
        <v>197</v>
      </c>
      <c r="H5" s="266" t="s">
        <v>197</v>
      </c>
      <c r="I5" s="266" t="s">
        <v>94</v>
      </c>
      <c r="J5" s="266" t="s">
        <v>94</v>
      </c>
      <c r="K5" s="266" t="s">
        <v>94</v>
      </c>
      <c r="L5" s="266" t="s">
        <v>210</v>
      </c>
      <c r="M5" s="266" t="s">
        <v>210</v>
      </c>
      <c r="N5" s="266" t="s">
        <v>210</v>
      </c>
      <c r="O5" s="266" t="s">
        <v>84</v>
      </c>
      <c r="P5" s="266" t="s">
        <v>84</v>
      </c>
      <c r="Q5" s="266" t="s">
        <v>84</v>
      </c>
      <c r="R5" s="266" t="s">
        <v>223</v>
      </c>
      <c r="S5" s="266" t="s">
        <v>100</v>
      </c>
      <c r="T5" s="266" t="s">
        <v>100</v>
      </c>
      <c r="U5" s="266" t="s">
        <v>100</v>
      </c>
      <c r="V5" s="266" t="s">
        <v>233</v>
      </c>
      <c r="W5" s="266" t="s">
        <v>233</v>
      </c>
      <c r="X5" s="266" t="s">
        <v>233</v>
      </c>
      <c r="Y5" s="266"/>
      <c r="Z5" s="266" t="s">
        <v>244</v>
      </c>
      <c r="AA5" s="357" t="s">
        <v>293</v>
      </c>
      <c r="AB5" s="266" t="s">
        <v>148</v>
      </c>
      <c r="AC5" s="266" t="s">
        <v>148</v>
      </c>
      <c r="AD5" s="266" t="s">
        <v>56</v>
      </c>
      <c r="AE5" s="116" t="s">
        <v>249</v>
      </c>
    </row>
    <row r="6" spans="1:43">
      <c r="A6" s="116" t="s">
        <v>452</v>
      </c>
      <c r="B6" s="356"/>
      <c r="C6" s="266" t="s">
        <v>55</v>
      </c>
      <c r="D6" s="266" t="s">
        <v>54</v>
      </c>
      <c r="E6" s="266" t="s">
        <v>56</v>
      </c>
      <c r="F6" s="266" t="s">
        <v>55</v>
      </c>
      <c r="G6" s="266" t="s">
        <v>54</v>
      </c>
      <c r="H6" s="266" t="s">
        <v>56</v>
      </c>
      <c r="I6" s="266" t="s">
        <v>55</v>
      </c>
      <c r="J6" s="266" t="s">
        <v>54</v>
      </c>
      <c r="K6" s="266" t="s">
        <v>56</v>
      </c>
      <c r="L6" s="266" t="s">
        <v>55</v>
      </c>
      <c r="M6" s="266" t="s">
        <v>54</v>
      </c>
      <c r="N6" s="266" t="s">
        <v>56</v>
      </c>
      <c r="O6" s="266" t="s">
        <v>55</v>
      </c>
      <c r="P6" s="266" t="s">
        <v>54</v>
      </c>
      <c r="Q6" s="266" t="s">
        <v>56</v>
      </c>
      <c r="R6" s="266" t="s">
        <v>224</v>
      </c>
      <c r="S6" s="266" t="s">
        <v>55</v>
      </c>
      <c r="T6" s="266" t="s">
        <v>54</v>
      </c>
      <c r="U6" s="266" t="s">
        <v>56</v>
      </c>
      <c r="V6" s="266" t="s">
        <v>55</v>
      </c>
      <c r="W6" s="266" t="s">
        <v>54</v>
      </c>
      <c r="X6" s="266" t="s">
        <v>56</v>
      </c>
      <c r="Y6" s="266" t="s">
        <v>240</v>
      </c>
      <c r="Z6" s="266" t="s">
        <v>190</v>
      </c>
      <c r="AA6" s="357"/>
      <c r="AB6" s="266" t="s">
        <v>247</v>
      </c>
      <c r="AC6" s="266" t="s">
        <v>248</v>
      </c>
      <c r="AD6" s="266" t="s">
        <v>94</v>
      </c>
      <c r="AE6" s="266" t="s">
        <v>149</v>
      </c>
    </row>
    <row r="7" spans="1:43">
      <c r="A7" s="229" t="s">
        <v>260</v>
      </c>
      <c r="B7" s="356"/>
      <c r="C7" s="266" t="s">
        <v>53</v>
      </c>
      <c r="D7" s="266" t="s">
        <v>53</v>
      </c>
      <c r="E7" s="266" t="s">
        <v>53</v>
      </c>
      <c r="F7" s="266" t="s">
        <v>53</v>
      </c>
      <c r="G7" s="266" t="s">
        <v>53</v>
      </c>
      <c r="H7" s="266" t="s">
        <v>53</v>
      </c>
      <c r="I7" s="266" t="s">
        <v>53</v>
      </c>
      <c r="J7" s="266" t="s">
        <v>53</v>
      </c>
      <c r="K7" s="266" t="s">
        <v>53</v>
      </c>
      <c r="L7" s="266" t="s">
        <v>53</v>
      </c>
      <c r="M7" s="266" t="s">
        <v>53</v>
      </c>
      <c r="N7" s="266" t="s">
        <v>53</v>
      </c>
      <c r="O7" s="266" t="s">
        <v>53</v>
      </c>
      <c r="P7" s="266" t="s">
        <v>53</v>
      </c>
      <c r="Q7" s="266" t="s">
        <v>53</v>
      </c>
      <c r="R7" s="266" t="s">
        <v>94</v>
      </c>
      <c r="S7" s="266" t="s">
        <v>53</v>
      </c>
      <c r="T7" s="266" t="s">
        <v>53</v>
      </c>
      <c r="U7" s="266" t="s">
        <v>53</v>
      </c>
      <c r="V7" s="266" t="s">
        <v>53</v>
      </c>
      <c r="W7" s="266" t="s">
        <v>53</v>
      </c>
      <c r="X7" s="266" t="s">
        <v>53</v>
      </c>
      <c r="Y7" s="266" t="s">
        <v>241</v>
      </c>
      <c r="Z7" s="266" t="s">
        <v>53</v>
      </c>
      <c r="AA7" s="357"/>
      <c r="AB7" s="266"/>
      <c r="AC7" s="266"/>
      <c r="AD7" s="266" t="s">
        <v>149</v>
      </c>
      <c r="AF7" s="358" t="s">
        <v>250</v>
      </c>
      <c r="AG7" s="359"/>
      <c r="AH7" s="359"/>
      <c r="AI7" s="359"/>
      <c r="AJ7" s="359"/>
      <c r="AK7" s="359"/>
      <c r="AL7" s="359"/>
      <c r="AM7" s="359"/>
    </row>
    <row r="8" spans="1:43">
      <c r="A8" s="229" t="s">
        <v>261</v>
      </c>
      <c r="B8" s="356"/>
      <c r="F8" s="266"/>
      <c r="G8" s="26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266"/>
      <c r="Z8" s="266"/>
      <c r="AA8" s="357"/>
      <c r="AB8" s="266"/>
      <c r="AC8" s="266"/>
      <c r="AD8" s="266"/>
      <c r="AF8" s="361"/>
    </row>
    <row r="9" spans="1:43">
      <c r="A9" s="363">
        <v>210001</v>
      </c>
      <c r="B9" s="363" t="s">
        <v>151</v>
      </c>
      <c r="C9" s="87">
        <v>202555.79</v>
      </c>
      <c r="D9" s="87">
        <v>131761.09</v>
      </c>
      <c r="E9" s="87">
        <v>334316.88</v>
      </c>
      <c r="F9" s="87">
        <v>97422.2</v>
      </c>
      <c r="G9" s="87">
        <v>40659</v>
      </c>
      <c r="H9" s="87">
        <v>138081.20000000001</v>
      </c>
      <c r="I9" s="87">
        <v>5722.4</v>
      </c>
      <c r="J9" s="87">
        <v>2267.8000000000002</v>
      </c>
      <c r="K9" s="87">
        <v>7990.2</v>
      </c>
      <c r="L9" s="87">
        <v>3517</v>
      </c>
      <c r="M9" s="87">
        <v>3271.1</v>
      </c>
      <c r="N9" s="87">
        <v>6788.1</v>
      </c>
      <c r="O9" s="87">
        <v>48315.6</v>
      </c>
      <c r="P9" s="87">
        <v>36687.199999999997</v>
      </c>
      <c r="Q9" s="87">
        <v>85002.799999999988</v>
      </c>
      <c r="R9" s="87">
        <v>0</v>
      </c>
      <c r="S9" s="87">
        <v>5493.93</v>
      </c>
      <c r="T9" s="87">
        <v>8968.77</v>
      </c>
      <c r="U9" s="87">
        <v>14462.7</v>
      </c>
      <c r="V9" s="87">
        <v>42084.659999999989</v>
      </c>
      <c r="W9" s="87">
        <v>39907.219999999987</v>
      </c>
      <c r="X9" s="87">
        <v>81991.879999999961</v>
      </c>
      <c r="Y9" s="87">
        <v>253102.49153846156</v>
      </c>
      <c r="Z9" s="87">
        <v>278155.65772712295</v>
      </c>
      <c r="AA9" s="131">
        <v>0.41302491217314546</v>
      </c>
      <c r="AB9" s="351">
        <v>2.3900079469514071E-2</v>
      </c>
      <c r="AC9" s="351">
        <v>0.25425817565658065</v>
      </c>
      <c r="AD9" s="351">
        <v>0.27815825512609471</v>
      </c>
      <c r="AE9" s="351">
        <v>4.3260453974085906E-2</v>
      </c>
      <c r="AF9" s="364">
        <v>0</v>
      </c>
      <c r="AG9" s="365">
        <v>0</v>
      </c>
      <c r="AH9" s="365">
        <v>0</v>
      </c>
      <c r="AI9" s="365">
        <v>0</v>
      </c>
      <c r="AJ9" s="365">
        <v>0</v>
      </c>
      <c r="AK9" s="365">
        <v>0</v>
      </c>
      <c r="AL9" s="365">
        <v>0</v>
      </c>
      <c r="AM9" s="365">
        <v>0</v>
      </c>
      <c r="AN9" s="190"/>
      <c r="AP9" s="115">
        <v>4.3260453974085906E-2</v>
      </c>
      <c r="AQ9" s="351">
        <v>4.2839723230121148E-2</v>
      </c>
    </row>
    <row r="10" spans="1:43">
      <c r="A10" s="363">
        <v>210002</v>
      </c>
      <c r="B10" s="363" t="s">
        <v>297</v>
      </c>
      <c r="C10" s="87">
        <v>993533.10077000002</v>
      </c>
      <c r="D10" s="87">
        <v>484972.31987999985</v>
      </c>
      <c r="E10" s="87">
        <v>1478505.4206499998</v>
      </c>
      <c r="F10" s="87">
        <v>340071.01729305997</v>
      </c>
      <c r="G10" s="87">
        <v>129656.2985492226</v>
      </c>
      <c r="H10" s="87">
        <v>469727.31584228267</v>
      </c>
      <c r="I10" s="87">
        <v>80852.342826106906</v>
      </c>
      <c r="J10" s="87">
        <v>12952.223568845384</v>
      </c>
      <c r="K10" s="87">
        <v>93804.566394952286</v>
      </c>
      <c r="L10" s="87">
        <v>90591.865983780677</v>
      </c>
      <c r="M10" s="87">
        <v>65340.787010444779</v>
      </c>
      <c r="N10" s="87">
        <v>155932.65299422544</v>
      </c>
      <c r="O10" s="87">
        <v>231487.97824817777</v>
      </c>
      <c r="P10" s="87">
        <v>133104.96752395673</v>
      </c>
      <c r="Q10" s="87">
        <v>364592.94577213447</v>
      </c>
      <c r="R10" s="87">
        <v>1274.8090399999819</v>
      </c>
      <c r="S10" s="87">
        <v>40691.312246275083</v>
      </c>
      <c r="T10" s="87">
        <v>19862.609593724919</v>
      </c>
      <c r="U10" s="87">
        <v>60553.921840000003</v>
      </c>
      <c r="V10" s="87">
        <v>209838.5841725996</v>
      </c>
      <c r="W10" s="87">
        <v>124055.4336338054</v>
      </c>
      <c r="X10" s="87">
        <v>333894.01780640497</v>
      </c>
      <c r="Y10" s="87">
        <v>1241711.3407778479</v>
      </c>
      <c r="Z10" s="87">
        <v>1357680.7457112386</v>
      </c>
      <c r="AA10" s="131">
        <v>0.31770415534612989</v>
      </c>
      <c r="AB10" s="351">
        <v>6.3445534311069821E-2</v>
      </c>
      <c r="AC10" s="351">
        <v>0.24659560978264616</v>
      </c>
      <c r="AD10" s="351">
        <v>0.31004114409371603</v>
      </c>
      <c r="AE10" s="351">
        <v>4.0956171681385177E-2</v>
      </c>
      <c r="AF10" s="364">
        <v>0</v>
      </c>
      <c r="AG10" s="365">
        <v>0</v>
      </c>
      <c r="AH10" s="365">
        <v>0</v>
      </c>
      <c r="AI10" s="365">
        <v>0</v>
      </c>
      <c r="AJ10" s="365">
        <v>0</v>
      </c>
      <c r="AK10" s="365">
        <v>0</v>
      </c>
      <c r="AL10" s="365">
        <v>0</v>
      </c>
      <c r="AM10" s="365">
        <v>0</v>
      </c>
      <c r="AN10" s="190"/>
      <c r="AP10" s="115">
        <v>4.0956171681385177E-2</v>
      </c>
      <c r="AQ10" s="351">
        <v>4.0707608366638157E-2</v>
      </c>
    </row>
    <row r="11" spans="1:43">
      <c r="A11" s="363">
        <v>210003</v>
      </c>
      <c r="B11" s="363" t="s">
        <v>298</v>
      </c>
      <c r="C11" s="87">
        <v>228181.63500000001</v>
      </c>
      <c r="D11" s="87">
        <v>65196.861010000008</v>
      </c>
      <c r="E11" s="87">
        <v>293378.49601</v>
      </c>
      <c r="F11" s="87">
        <v>81103.944506365879</v>
      </c>
      <c r="G11" s="87">
        <v>10636.239512200693</v>
      </c>
      <c r="H11" s="87">
        <v>91740.184018566564</v>
      </c>
      <c r="I11" s="87">
        <v>31452.098342203182</v>
      </c>
      <c r="J11" s="87">
        <v>4015.2450844164782</v>
      </c>
      <c r="K11" s="87">
        <v>35467.343426619664</v>
      </c>
      <c r="L11" s="87">
        <v>16013.395737759894</v>
      </c>
      <c r="M11" s="87">
        <v>7570.3146609864752</v>
      </c>
      <c r="N11" s="87">
        <v>23583.710398746371</v>
      </c>
      <c r="O11" s="87">
        <v>52851.936911951721</v>
      </c>
      <c r="P11" s="87">
        <v>21172.756087452173</v>
      </c>
      <c r="Q11" s="87">
        <v>74024.692999403895</v>
      </c>
      <c r="R11" s="87">
        <v>1133.4671099999923</v>
      </c>
      <c r="S11" s="87">
        <v>15585.4535</v>
      </c>
      <c r="T11" s="87">
        <v>11236.500470000001</v>
      </c>
      <c r="U11" s="87">
        <v>26821.953969999999</v>
      </c>
      <c r="V11" s="87">
        <v>31174.806001719335</v>
      </c>
      <c r="W11" s="87">
        <v>10565.805194944189</v>
      </c>
      <c r="X11" s="87">
        <v>41740.611196663522</v>
      </c>
      <c r="Y11" s="87">
        <v>240318.45025146721</v>
      </c>
      <c r="Z11" s="87">
        <v>278548.11342524533</v>
      </c>
      <c r="AA11" s="131">
        <v>0.31270248251405425</v>
      </c>
      <c r="AB11" s="351">
        <v>0.12089278494839217</v>
      </c>
      <c r="AC11" s="351">
        <v>0.25231806013785246</v>
      </c>
      <c r="AD11" s="351">
        <v>0.37321084508624464</v>
      </c>
      <c r="AE11" s="351">
        <v>9.1424403406464239E-2</v>
      </c>
      <c r="AF11" s="364">
        <v>0</v>
      </c>
      <c r="AG11" s="365">
        <v>0</v>
      </c>
      <c r="AH11" s="365">
        <v>0</v>
      </c>
      <c r="AI11" s="365">
        <v>0</v>
      </c>
      <c r="AJ11" s="365">
        <v>0</v>
      </c>
      <c r="AK11" s="365">
        <v>0</v>
      </c>
      <c r="AL11" s="365">
        <v>0</v>
      </c>
      <c r="AM11" s="365">
        <v>0</v>
      </c>
      <c r="AN11" s="190"/>
      <c r="AP11" s="115">
        <v>9.1424403406464239E-2</v>
      </c>
      <c r="AQ11" s="351">
        <v>8.6995325698040291E-2</v>
      </c>
    </row>
    <row r="12" spans="1:43">
      <c r="A12" s="363">
        <v>210004</v>
      </c>
      <c r="B12" s="363" t="s">
        <v>299</v>
      </c>
      <c r="C12" s="87">
        <v>366017.9</v>
      </c>
      <c r="D12" s="87">
        <v>149336.79999999999</v>
      </c>
      <c r="E12" s="87">
        <v>515354.7</v>
      </c>
      <c r="F12" s="87">
        <v>125979.60823121225</v>
      </c>
      <c r="G12" s="87">
        <v>34595.833770960278</v>
      </c>
      <c r="H12" s="87">
        <v>160575.44200217252</v>
      </c>
      <c r="I12" s="87">
        <v>29531.561479185533</v>
      </c>
      <c r="J12" s="87">
        <v>4722.4556248640447</v>
      </c>
      <c r="K12" s="87">
        <v>34254.017104049577</v>
      </c>
      <c r="L12" s="87">
        <v>43280.279249952917</v>
      </c>
      <c r="M12" s="87">
        <v>22268.053923175383</v>
      </c>
      <c r="N12" s="87">
        <v>65548.333173128296</v>
      </c>
      <c r="O12" s="87">
        <v>68843.882376546084</v>
      </c>
      <c r="P12" s="87">
        <v>21928.708615683063</v>
      </c>
      <c r="Q12" s="87">
        <v>90772.590992229147</v>
      </c>
      <c r="R12" s="87">
        <v>4588.3698900000081</v>
      </c>
      <c r="S12" s="87">
        <v>14435.781519923295</v>
      </c>
      <c r="T12" s="87">
        <v>23204.0238900767</v>
      </c>
      <c r="U12" s="87">
        <v>37639.805410000001</v>
      </c>
      <c r="V12" s="87">
        <v>83946.787143179914</v>
      </c>
      <c r="W12" s="87">
        <v>42617.724175240532</v>
      </c>
      <c r="X12" s="87">
        <v>126564.51131842044</v>
      </c>
      <c r="Y12" s="87">
        <v>380104.72887588147</v>
      </c>
      <c r="Z12" s="87">
        <v>429075.74427060061</v>
      </c>
      <c r="AA12" s="131">
        <v>0.31158237618124474</v>
      </c>
      <c r="AB12" s="351">
        <v>6.6466876316543883E-2</v>
      </c>
      <c r="AC12" s="351">
        <v>0.17613614660393928</v>
      </c>
      <c r="AD12" s="351">
        <v>0.24260302292048316</v>
      </c>
      <c r="AE12" s="351">
        <v>7.303669765697296E-2</v>
      </c>
      <c r="AF12" s="364">
        <v>0</v>
      </c>
      <c r="AG12" s="365">
        <v>0</v>
      </c>
      <c r="AH12" s="365">
        <v>0</v>
      </c>
      <c r="AI12" s="365">
        <v>0</v>
      </c>
      <c r="AJ12" s="365">
        <v>0</v>
      </c>
      <c r="AK12" s="365">
        <v>0</v>
      </c>
      <c r="AL12" s="365">
        <v>0</v>
      </c>
      <c r="AM12" s="365">
        <v>0</v>
      </c>
      <c r="AN12" s="190"/>
      <c r="AP12" s="115">
        <v>7.303669765697296E-2</v>
      </c>
      <c r="AQ12" s="351">
        <v>7.1942972927234589E-2</v>
      </c>
    </row>
    <row r="13" spans="1:43">
      <c r="A13" s="363">
        <v>210005</v>
      </c>
      <c r="B13" s="363" t="s">
        <v>152</v>
      </c>
      <c r="C13" s="87">
        <v>239870.5</v>
      </c>
      <c r="D13" s="87">
        <v>115974.7</v>
      </c>
      <c r="E13" s="87">
        <v>355845.2</v>
      </c>
      <c r="F13" s="87">
        <v>113758.96154485652</v>
      </c>
      <c r="G13" s="87">
        <v>33171.011260391235</v>
      </c>
      <c r="H13" s="87">
        <v>146929.97280524776</v>
      </c>
      <c r="I13" s="87">
        <v>7773.7689227104684</v>
      </c>
      <c r="J13" s="87">
        <v>2024.7436390044841</v>
      </c>
      <c r="K13" s="87">
        <v>9798.5125617149533</v>
      </c>
      <c r="L13" s="87">
        <v>32895.03181607381</v>
      </c>
      <c r="M13" s="87">
        <v>20392.199011095785</v>
      </c>
      <c r="N13" s="87">
        <v>53287.230827169595</v>
      </c>
      <c r="O13" s="87">
        <v>36846.924246418093</v>
      </c>
      <c r="P13" s="87">
        <v>20685.48024727072</v>
      </c>
      <c r="Q13" s="87">
        <v>57532.404493688809</v>
      </c>
      <c r="R13" s="87">
        <v>2063.712</v>
      </c>
      <c r="S13" s="87">
        <v>6065.9295600000005</v>
      </c>
      <c r="T13" s="87">
        <v>9385.0725600000005</v>
      </c>
      <c r="U13" s="87">
        <v>15451.002119999999</v>
      </c>
      <c r="V13" s="87">
        <v>42529.883909941113</v>
      </c>
      <c r="W13" s="87">
        <v>30316.193282237771</v>
      </c>
      <c r="X13" s="87">
        <v>72846.077192178913</v>
      </c>
      <c r="Y13" s="87">
        <v>261407.12762608196</v>
      </c>
      <c r="Z13" s="87">
        <v>286311.65641472209</v>
      </c>
      <c r="AA13" s="131">
        <v>0.4129041864418791</v>
      </c>
      <c r="AB13" s="351">
        <v>2.7535885159375349E-2</v>
      </c>
      <c r="AC13" s="351">
        <v>0.16167818055066868</v>
      </c>
      <c r="AD13" s="351">
        <v>0.18921406571004401</v>
      </c>
      <c r="AE13" s="351">
        <v>4.342057197905156E-2</v>
      </c>
      <c r="AF13" s="364">
        <v>0</v>
      </c>
      <c r="AG13" s="365">
        <v>0</v>
      </c>
      <c r="AH13" s="365">
        <v>0</v>
      </c>
      <c r="AI13" s="365">
        <v>0</v>
      </c>
      <c r="AJ13" s="365">
        <v>0</v>
      </c>
      <c r="AK13" s="365">
        <v>0</v>
      </c>
      <c r="AL13" s="365">
        <v>0</v>
      </c>
      <c r="AM13" s="365">
        <v>0</v>
      </c>
      <c r="AN13" s="190"/>
      <c r="AP13" s="115">
        <v>4.342057197905156E-2</v>
      </c>
      <c r="AQ13" s="351">
        <v>4.4168677520142245E-2</v>
      </c>
    </row>
    <row r="14" spans="1:43">
      <c r="A14" s="363">
        <v>210006</v>
      </c>
      <c r="B14" s="363" t="s">
        <v>300</v>
      </c>
      <c r="C14" s="121">
        <v>54712.915520000002</v>
      </c>
      <c r="D14" s="121">
        <v>51230.630389999984</v>
      </c>
      <c r="E14" s="121">
        <v>105943.54591</v>
      </c>
      <c r="F14" s="121">
        <v>26862.641065348569</v>
      </c>
      <c r="G14" s="121">
        <v>16912.462152999033</v>
      </c>
      <c r="H14" s="121">
        <v>43775.103218347605</v>
      </c>
      <c r="I14" s="121">
        <v>5995.3550001322692</v>
      </c>
      <c r="J14" s="121">
        <v>2909.1556699295211</v>
      </c>
      <c r="K14" s="121">
        <v>8904.5106700617907</v>
      </c>
      <c r="L14" s="121">
        <v>2723.265163079313</v>
      </c>
      <c r="M14" s="121">
        <v>5239.3315502085243</v>
      </c>
      <c r="N14" s="121">
        <v>7962.5967132878386</v>
      </c>
      <c r="O14" s="121">
        <v>6394.406485118574</v>
      </c>
      <c r="P14" s="121">
        <v>8911.0759293950414</v>
      </c>
      <c r="Q14" s="121">
        <v>15305.482414513615</v>
      </c>
      <c r="R14" s="121">
        <v>418.31356000000062</v>
      </c>
      <c r="S14" s="121">
        <v>3751.8975586343959</v>
      </c>
      <c r="T14" s="121">
        <v>3513.1024413656041</v>
      </c>
      <c r="U14" s="121">
        <v>7265</v>
      </c>
      <c r="V14" s="121">
        <v>8985.3502476868816</v>
      </c>
      <c r="W14" s="121">
        <v>13745.502646102255</v>
      </c>
      <c r="X14" s="121">
        <v>22730.852893789139</v>
      </c>
      <c r="Y14" s="121">
        <v>83323.839373032781</v>
      </c>
      <c r="Z14" s="121">
        <v>93940.467546101252</v>
      </c>
      <c r="AA14" s="131">
        <v>0.41319273243445098</v>
      </c>
      <c r="AB14" s="351">
        <v>8.4049581251756975E-2</v>
      </c>
      <c r="AC14" s="351">
        <v>0.14446828528389791</v>
      </c>
      <c r="AD14" s="351">
        <v>0.2285178665356549</v>
      </c>
      <c r="AE14" s="351">
        <v>6.8574257521752988E-2</v>
      </c>
      <c r="AF14" s="364">
        <v>0</v>
      </c>
      <c r="AG14" s="365">
        <v>0</v>
      </c>
      <c r="AH14" s="365">
        <v>0</v>
      </c>
      <c r="AI14" s="365">
        <v>0</v>
      </c>
      <c r="AJ14" s="365">
        <v>0</v>
      </c>
      <c r="AK14" s="365">
        <v>0</v>
      </c>
      <c r="AL14" s="365">
        <v>0</v>
      </c>
      <c r="AM14" s="365">
        <v>0</v>
      </c>
      <c r="AN14" s="190"/>
      <c r="AP14" s="115">
        <v>6.8574257521752988E-2</v>
      </c>
      <c r="AQ14" s="351">
        <v>6.7739742003797898E-2</v>
      </c>
    </row>
    <row r="15" spans="1:43">
      <c r="A15" s="363">
        <v>210008</v>
      </c>
      <c r="B15" s="363" t="s">
        <v>301</v>
      </c>
      <c r="C15" s="87">
        <v>222771.5</v>
      </c>
      <c r="D15" s="87">
        <v>316257.90000000002</v>
      </c>
      <c r="E15" s="87">
        <v>539029.4</v>
      </c>
      <c r="F15" s="87">
        <v>88903.2</v>
      </c>
      <c r="G15" s="87">
        <v>97106.5</v>
      </c>
      <c r="H15" s="87">
        <v>186009.7</v>
      </c>
      <c r="I15" s="87">
        <v>7841.2</v>
      </c>
      <c r="J15" s="87">
        <v>6036.6</v>
      </c>
      <c r="K15" s="87">
        <v>13877.8</v>
      </c>
      <c r="L15" s="87">
        <v>46852.4</v>
      </c>
      <c r="M15" s="87">
        <v>91062</v>
      </c>
      <c r="N15" s="87">
        <v>137914.4</v>
      </c>
      <c r="O15" s="87">
        <v>49531</v>
      </c>
      <c r="P15" s="87">
        <v>50014.7</v>
      </c>
      <c r="Q15" s="87">
        <v>99545.7</v>
      </c>
      <c r="R15" s="87">
        <v>9842.9210000000003</v>
      </c>
      <c r="S15" s="87">
        <v>7207.9</v>
      </c>
      <c r="T15" s="87">
        <v>16587.5</v>
      </c>
      <c r="U15" s="87">
        <v>23795.4</v>
      </c>
      <c r="V15" s="87">
        <v>22435.799999999981</v>
      </c>
      <c r="W15" s="87">
        <v>55450.60000000002</v>
      </c>
      <c r="X15" s="87">
        <v>77886.399999999994</v>
      </c>
      <c r="Y15" s="87">
        <v>446065.38748353627</v>
      </c>
      <c r="Z15" s="87">
        <v>488071.07230216649</v>
      </c>
      <c r="AA15" s="131">
        <v>0.34508266153942624</v>
      </c>
      <c r="AB15" s="351">
        <v>2.5745905510905338E-2</v>
      </c>
      <c r="AC15" s="351">
        <v>0.18467582658756646</v>
      </c>
      <c r="AD15" s="351">
        <v>0.21042173209847179</v>
      </c>
      <c r="AE15" s="351">
        <v>4.4144901929282519E-2</v>
      </c>
      <c r="AF15" s="364">
        <v>0</v>
      </c>
      <c r="AG15" s="365">
        <v>0</v>
      </c>
      <c r="AH15" s="365">
        <v>0</v>
      </c>
      <c r="AI15" s="365">
        <v>0</v>
      </c>
      <c r="AJ15" s="365">
        <v>0</v>
      </c>
      <c r="AK15" s="365">
        <v>0</v>
      </c>
      <c r="AL15" s="365">
        <v>0</v>
      </c>
      <c r="AM15" s="365">
        <v>0</v>
      </c>
      <c r="AN15" s="190"/>
      <c r="AP15" s="115">
        <v>4.4144901929282519E-2</v>
      </c>
      <c r="AQ15" s="351">
        <v>4.2698195391109264E-2</v>
      </c>
    </row>
    <row r="16" spans="1:43">
      <c r="A16" s="363">
        <v>210009</v>
      </c>
      <c r="B16" s="363" t="s">
        <v>153</v>
      </c>
      <c r="C16" s="87">
        <v>1449088.2599999998</v>
      </c>
      <c r="D16" s="87">
        <v>960677.19</v>
      </c>
      <c r="E16" s="87">
        <v>2409765.4499999997</v>
      </c>
      <c r="F16" s="87">
        <v>461742.1</v>
      </c>
      <c r="G16" s="87">
        <v>249536.9</v>
      </c>
      <c r="H16" s="87">
        <v>711279</v>
      </c>
      <c r="I16" s="87">
        <v>119492</v>
      </c>
      <c r="J16" s="87">
        <v>33918.9</v>
      </c>
      <c r="K16" s="87">
        <v>153410.9</v>
      </c>
      <c r="L16" s="87">
        <v>268870.59999999998</v>
      </c>
      <c r="M16" s="87">
        <v>230761.2</v>
      </c>
      <c r="N16" s="87">
        <v>499631.8</v>
      </c>
      <c r="O16" s="87">
        <v>278654.2</v>
      </c>
      <c r="P16" s="87">
        <v>164205.20000000001</v>
      </c>
      <c r="Q16" s="87">
        <v>442859.4</v>
      </c>
      <c r="R16" s="87">
        <v>12556.7</v>
      </c>
      <c r="S16" s="87">
        <v>15135</v>
      </c>
      <c r="T16" s="87">
        <v>44443</v>
      </c>
      <c r="U16" s="87">
        <v>59578</v>
      </c>
      <c r="V16" s="87">
        <v>305194.35999999981</v>
      </c>
      <c r="W16" s="87">
        <v>237811.98999999987</v>
      </c>
      <c r="X16" s="87">
        <v>543006.34999999963</v>
      </c>
      <c r="Y16" s="87">
        <v>2028609.6322751655</v>
      </c>
      <c r="Z16" s="87">
        <v>2172694.9988048854</v>
      </c>
      <c r="AA16" s="131">
        <v>0.29516524108186548</v>
      </c>
      <c r="AB16" s="351">
        <v>6.3662170938669577E-2</v>
      </c>
      <c r="AC16" s="351">
        <v>0.18377697298299303</v>
      </c>
      <c r="AD16" s="351">
        <v>0.24743914392166264</v>
      </c>
      <c r="AE16" s="351">
        <v>2.4723568013642162E-2</v>
      </c>
      <c r="AF16" s="364">
        <v>0</v>
      </c>
      <c r="AG16" s="365">
        <v>0</v>
      </c>
      <c r="AH16" s="365">
        <v>0</v>
      </c>
      <c r="AI16" s="365">
        <v>0</v>
      </c>
      <c r="AJ16" s="365">
        <v>0</v>
      </c>
      <c r="AK16" s="365">
        <v>0</v>
      </c>
      <c r="AL16" s="365">
        <v>0</v>
      </c>
      <c r="AM16" s="365">
        <v>0</v>
      </c>
      <c r="AN16" s="190"/>
      <c r="AP16" s="115">
        <v>2.4723568013642162E-2</v>
      </c>
      <c r="AQ16" s="351">
        <v>2.6275562764475003E-2</v>
      </c>
    </row>
    <row r="17" spans="1:43">
      <c r="A17" s="363">
        <v>210010</v>
      </c>
      <c r="B17" s="363" t="s">
        <v>302</v>
      </c>
      <c r="C17" s="87">
        <v>24798.044419999995</v>
      </c>
      <c r="D17" s="87">
        <v>26261.958039999983</v>
      </c>
      <c r="E17" s="87">
        <v>51060.002459999974</v>
      </c>
      <c r="F17" s="87">
        <v>14183.187241444555</v>
      </c>
      <c r="G17" s="87">
        <v>8582.4472139365171</v>
      </c>
      <c r="H17" s="87">
        <v>22765.63445538107</v>
      </c>
      <c r="I17" s="87">
        <v>526.43674046969647</v>
      </c>
      <c r="J17" s="87">
        <v>1356.8060256253452</v>
      </c>
      <c r="K17" s="87">
        <v>1883.2427660950416</v>
      </c>
      <c r="L17" s="87">
        <v>817.16364083159601</v>
      </c>
      <c r="M17" s="87">
        <v>2981.5774970027778</v>
      </c>
      <c r="N17" s="87">
        <v>3798.7411378343727</v>
      </c>
      <c r="O17" s="87">
        <v>6729.6482332736214</v>
      </c>
      <c r="P17" s="87">
        <v>8775.8209234368023</v>
      </c>
      <c r="Q17" s="87">
        <v>15505.469156710424</v>
      </c>
      <c r="R17" s="87">
        <v>226.21535999999989</v>
      </c>
      <c r="S17" s="87">
        <v>1388.6073427990336</v>
      </c>
      <c r="T17" s="87">
        <v>1470.5815972009659</v>
      </c>
      <c r="U17" s="87">
        <v>2859.18894</v>
      </c>
      <c r="V17" s="87">
        <v>1153.0012211814906</v>
      </c>
      <c r="W17" s="87">
        <v>3094.7247827975752</v>
      </c>
      <c r="X17" s="87">
        <v>4247.7260039790654</v>
      </c>
      <c r="Y17" s="87">
        <v>37974.886942178142</v>
      </c>
      <c r="Z17" s="87">
        <v>42499.461536556271</v>
      </c>
      <c r="AA17" s="131">
        <v>0.44586042613718047</v>
      </c>
      <c r="AB17" s="351">
        <v>3.6882935279338461E-2</v>
      </c>
      <c r="AC17" s="351">
        <v>0.3036715317210823</v>
      </c>
      <c r="AD17" s="351">
        <v>0.3405544670004208</v>
      </c>
      <c r="AE17" s="351">
        <v>5.5996647125895999E-2</v>
      </c>
      <c r="AF17" s="364">
        <v>0</v>
      </c>
      <c r="AG17" s="365">
        <v>0</v>
      </c>
      <c r="AH17" s="365">
        <v>0</v>
      </c>
      <c r="AI17" s="365">
        <v>0</v>
      </c>
      <c r="AJ17" s="365">
        <v>0</v>
      </c>
      <c r="AK17" s="365">
        <v>0</v>
      </c>
      <c r="AL17" s="365">
        <v>0</v>
      </c>
      <c r="AM17" s="365">
        <v>0</v>
      </c>
      <c r="AN17" s="190"/>
      <c r="AP17" s="115">
        <v>5.5996647125895999E-2</v>
      </c>
      <c r="AQ17" s="351">
        <v>5.1240539515489431E-2</v>
      </c>
    </row>
    <row r="18" spans="1:43">
      <c r="A18" s="363">
        <v>210011</v>
      </c>
      <c r="B18" s="363" t="s">
        <v>303</v>
      </c>
      <c r="C18" s="87">
        <v>252414.5</v>
      </c>
      <c r="D18" s="87">
        <v>186281.4</v>
      </c>
      <c r="E18" s="87">
        <v>438695.9</v>
      </c>
      <c r="F18" s="87">
        <v>114099</v>
      </c>
      <c r="G18" s="87">
        <v>60712</v>
      </c>
      <c r="H18" s="87">
        <v>174811</v>
      </c>
      <c r="I18" s="87">
        <v>16420</v>
      </c>
      <c r="J18" s="87">
        <v>4105</v>
      </c>
      <c r="K18" s="87">
        <v>20525</v>
      </c>
      <c r="L18" s="87">
        <v>25294</v>
      </c>
      <c r="M18" s="87">
        <v>31909</v>
      </c>
      <c r="N18" s="87">
        <v>57203</v>
      </c>
      <c r="O18" s="87">
        <v>57644</v>
      </c>
      <c r="P18" s="87">
        <v>47636</v>
      </c>
      <c r="Q18" s="87">
        <v>105280</v>
      </c>
      <c r="R18" s="87">
        <v>10159.047199999999</v>
      </c>
      <c r="S18" s="87">
        <v>7161.8300000000008</v>
      </c>
      <c r="T18" s="87">
        <v>14896.640000000001</v>
      </c>
      <c r="U18" s="87">
        <v>22058.47</v>
      </c>
      <c r="V18" s="87">
        <v>31795.670000000013</v>
      </c>
      <c r="W18" s="87">
        <v>27022.75999999998</v>
      </c>
      <c r="X18" s="87">
        <v>58818.429999999993</v>
      </c>
      <c r="Y18" s="87">
        <v>315762.07026388589</v>
      </c>
      <c r="Z18" s="87">
        <v>349794.84718681633</v>
      </c>
      <c r="AA18" s="131">
        <v>0.39847876399118387</v>
      </c>
      <c r="AB18" s="351">
        <v>4.6786395769825975E-2</v>
      </c>
      <c r="AC18" s="351">
        <v>0.23998400714481261</v>
      </c>
      <c r="AD18" s="351">
        <v>0.28677040291463857</v>
      </c>
      <c r="AE18" s="351">
        <v>5.028191510337799E-2</v>
      </c>
      <c r="AF18" s="364">
        <v>0</v>
      </c>
      <c r="AG18" s="365">
        <v>0</v>
      </c>
      <c r="AH18" s="365">
        <v>0</v>
      </c>
      <c r="AI18" s="365">
        <v>0</v>
      </c>
      <c r="AJ18" s="365">
        <v>0</v>
      </c>
      <c r="AK18" s="365">
        <v>0</v>
      </c>
      <c r="AL18" s="365">
        <v>0</v>
      </c>
      <c r="AM18" s="365">
        <v>0</v>
      </c>
      <c r="AN18" s="190"/>
      <c r="AP18" s="115">
        <v>5.028191510337799E-2</v>
      </c>
      <c r="AQ18" s="351">
        <v>4.0034815869475451E-2</v>
      </c>
    </row>
    <row r="19" spans="1:43">
      <c r="A19" s="363">
        <v>210012</v>
      </c>
      <c r="B19" s="363" t="s">
        <v>304</v>
      </c>
      <c r="C19" s="87">
        <v>409938.10000000003</v>
      </c>
      <c r="D19" s="87">
        <v>373595.39999999997</v>
      </c>
      <c r="E19" s="87">
        <v>783533.5</v>
      </c>
      <c r="F19" s="87">
        <v>183219.19999999998</v>
      </c>
      <c r="G19" s="87">
        <v>126398.39999999999</v>
      </c>
      <c r="H19" s="87">
        <v>309617.59999999998</v>
      </c>
      <c r="I19" s="87">
        <v>22256.2</v>
      </c>
      <c r="J19" s="87">
        <v>9311.1</v>
      </c>
      <c r="K19" s="87">
        <v>31567.300000000003</v>
      </c>
      <c r="L19" s="87">
        <v>33653.5</v>
      </c>
      <c r="M19" s="87">
        <v>43249.8</v>
      </c>
      <c r="N19" s="87">
        <v>76903.3</v>
      </c>
      <c r="O19" s="87">
        <v>94012.05</v>
      </c>
      <c r="P19" s="87">
        <v>91081.5</v>
      </c>
      <c r="Q19" s="87">
        <v>185093.55</v>
      </c>
      <c r="R19" s="87">
        <v>0</v>
      </c>
      <c r="S19" s="87">
        <v>9615.5</v>
      </c>
      <c r="T19" s="87">
        <v>17961.900000000001</v>
      </c>
      <c r="U19" s="87">
        <v>27577.4</v>
      </c>
      <c r="V19" s="87">
        <v>67181.650000000038</v>
      </c>
      <c r="W19" s="87">
        <v>85592.699999999983</v>
      </c>
      <c r="X19" s="87">
        <v>152774.35000000003</v>
      </c>
      <c r="Y19" s="87">
        <v>600908.92746627843</v>
      </c>
      <c r="Z19" s="87">
        <v>654204.75042662758</v>
      </c>
      <c r="AA19" s="131">
        <v>0.39515553578755724</v>
      </c>
      <c r="AB19" s="351">
        <v>4.0288385882671258E-2</v>
      </c>
      <c r="AC19" s="351">
        <v>0.2362292741790874</v>
      </c>
      <c r="AD19" s="351">
        <v>0.27651766006175865</v>
      </c>
      <c r="AE19" s="351">
        <v>3.5196197737556854E-2</v>
      </c>
      <c r="AF19" s="364">
        <v>0</v>
      </c>
      <c r="AG19" s="365">
        <v>0</v>
      </c>
      <c r="AH19" s="365">
        <v>0</v>
      </c>
      <c r="AI19" s="365">
        <v>0</v>
      </c>
      <c r="AJ19" s="365">
        <v>0</v>
      </c>
      <c r="AK19" s="365">
        <v>0</v>
      </c>
      <c r="AL19" s="365">
        <v>0</v>
      </c>
      <c r="AM19" s="365">
        <v>0</v>
      </c>
      <c r="AN19" s="190"/>
      <c r="AP19" s="115">
        <v>3.5196197737556854E-2</v>
      </c>
      <c r="AQ19" s="351">
        <v>3.2881820807185137E-2</v>
      </c>
    </row>
    <row r="20" spans="1:43">
      <c r="A20" s="363">
        <v>210013</v>
      </c>
      <c r="B20" s="363" t="s">
        <v>154</v>
      </c>
      <c r="C20" s="87">
        <v>62126.272859999975</v>
      </c>
      <c r="D20" s="87">
        <v>47961.727480000001</v>
      </c>
      <c r="E20" s="87">
        <v>110088.00033999997</v>
      </c>
      <c r="F20" s="87">
        <v>22803.737371144143</v>
      </c>
      <c r="G20" s="87">
        <v>11656.106362143884</v>
      </c>
      <c r="H20" s="87">
        <v>34459.843733288028</v>
      </c>
      <c r="I20" s="87">
        <v>10056.549677338966</v>
      </c>
      <c r="J20" s="87">
        <v>2901.890196101047</v>
      </c>
      <c r="K20" s="87">
        <v>12958.439873440013</v>
      </c>
      <c r="L20" s="87">
        <v>788.84557643850781</v>
      </c>
      <c r="M20" s="87">
        <v>1343.2129015659864</v>
      </c>
      <c r="N20" s="87">
        <v>2132.0584780044942</v>
      </c>
      <c r="O20" s="87">
        <v>25778.849665416561</v>
      </c>
      <c r="P20" s="87">
        <v>19901.375964583778</v>
      </c>
      <c r="Q20" s="87">
        <v>45680.225630000336</v>
      </c>
      <c r="R20" s="87">
        <v>2130.9131399999942</v>
      </c>
      <c r="S20" s="87">
        <v>1319.7518102051222</v>
      </c>
      <c r="T20" s="87">
        <v>1021.9266697948781</v>
      </c>
      <c r="U20" s="87">
        <v>2341.6784800000005</v>
      </c>
      <c r="V20" s="87">
        <v>1378.5387594566778</v>
      </c>
      <c r="W20" s="87">
        <v>11137.21538581043</v>
      </c>
      <c r="X20" s="87">
        <v>12515.754145267108</v>
      </c>
      <c r="Y20" s="87">
        <v>73241.15779939614</v>
      </c>
      <c r="Z20" s="87">
        <v>79186.267547387964</v>
      </c>
      <c r="AA20" s="131">
        <v>0.31302088898754571</v>
      </c>
      <c r="AB20" s="351">
        <v>0.1177098306211274</v>
      </c>
      <c r="AC20" s="351">
        <v>0.41494282291366713</v>
      </c>
      <c r="AD20" s="351">
        <v>0.53265265353479463</v>
      </c>
      <c r="AE20" s="351">
        <v>2.1270969340599081E-2</v>
      </c>
      <c r="AF20" s="364">
        <v>0</v>
      </c>
      <c r="AG20" s="365">
        <v>0</v>
      </c>
      <c r="AH20" s="365">
        <v>0</v>
      </c>
      <c r="AI20" s="365">
        <v>0</v>
      </c>
      <c r="AJ20" s="365">
        <v>0</v>
      </c>
      <c r="AK20" s="365">
        <v>0</v>
      </c>
      <c r="AL20" s="365">
        <v>0</v>
      </c>
      <c r="AM20" s="365">
        <v>0</v>
      </c>
      <c r="AN20" s="190"/>
      <c r="AP20" s="115">
        <v>2.1270969340599081E-2</v>
      </c>
      <c r="AQ20" s="351">
        <v>2.4651890142655595E-2</v>
      </c>
    </row>
    <row r="21" spans="1:43">
      <c r="A21" s="363">
        <v>210015</v>
      </c>
      <c r="B21" s="363" t="s">
        <v>305</v>
      </c>
      <c r="C21" s="87">
        <v>301120.06969000015</v>
      </c>
      <c r="D21" s="87">
        <v>234451.77284999995</v>
      </c>
      <c r="E21" s="87">
        <v>535571.84254000022</v>
      </c>
      <c r="F21" s="87">
        <v>122300.95087945358</v>
      </c>
      <c r="G21" s="87">
        <v>74373.216615726022</v>
      </c>
      <c r="H21" s="87">
        <v>196674.1674951796</v>
      </c>
      <c r="I21" s="87">
        <v>11777.509249822731</v>
      </c>
      <c r="J21" s="87">
        <v>6171.6539871618497</v>
      </c>
      <c r="K21" s="87">
        <v>17949.163236984583</v>
      </c>
      <c r="L21" s="87">
        <v>22962.582542560725</v>
      </c>
      <c r="M21" s="87">
        <v>28593.750722199416</v>
      </c>
      <c r="N21" s="87">
        <v>51556.333264760142</v>
      </c>
      <c r="O21" s="87">
        <v>92891.754153111498</v>
      </c>
      <c r="P21" s="87">
        <v>68485.188796806178</v>
      </c>
      <c r="Q21" s="87">
        <v>161376.94294991769</v>
      </c>
      <c r="R21" s="87">
        <v>4057.0069500000918</v>
      </c>
      <c r="S21" s="87">
        <v>9754.6671276704255</v>
      </c>
      <c r="T21" s="87">
        <v>11424.273722329574</v>
      </c>
      <c r="U21" s="87">
        <v>21178.940849999999</v>
      </c>
      <c r="V21" s="87">
        <v>41432.605737381193</v>
      </c>
      <c r="W21" s="87">
        <v>45403.689005776934</v>
      </c>
      <c r="X21" s="87">
        <v>86836.294743158127</v>
      </c>
      <c r="Y21" s="87">
        <v>395452.70831794559</v>
      </c>
      <c r="Z21" s="87">
        <v>433180.32801782642</v>
      </c>
      <c r="AA21" s="131">
        <v>0.36722275495745582</v>
      </c>
      <c r="AB21" s="351">
        <v>3.3514015882274498E-2</v>
      </c>
      <c r="AC21" s="351">
        <v>0.30131707855396628</v>
      </c>
      <c r="AD21" s="351">
        <v>0.33483109443624076</v>
      </c>
      <c r="AE21" s="351">
        <v>3.9544537572320577E-2</v>
      </c>
      <c r="AF21" s="364">
        <v>0</v>
      </c>
      <c r="AG21" s="365">
        <v>0</v>
      </c>
      <c r="AH21" s="365">
        <v>0</v>
      </c>
      <c r="AI21" s="365">
        <v>0</v>
      </c>
      <c r="AJ21" s="365">
        <v>0</v>
      </c>
      <c r="AK21" s="365">
        <v>0</v>
      </c>
      <c r="AL21" s="365">
        <v>0</v>
      </c>
      <c r="AM21" s="365">
        <v>0</v>
      </c>
      <c r="AN21" s="190"/>
      <c r="AP21" s="115">
        <v>3.9544537572320577E-2</v>
      </c>
      <c r="AQ21" s="351">
        <v>3.5423867385621574E-2</v>
      </c>
    </row>
    <row r="22" spans="1:43">
      <c r="A22" s="363">
        <v>210016</v>
      </c>
      <c r="B22" s="363" t="s">
        <v>306</v>
      </c>
      <c r="C22" s="87">
        <v>165759.6001152613</v>
      </c>
      <c r="D22" s="87">
        <v>113646.69988473869</v>
      </c>
      <c r="E22" s="87">
        <v>279406.3</v>
      </c>
      <c r="F22" s="87">
        <v>71260.224000000002</v>
      </c>
      <c r="G22" s="87">
        <v>37701.826000000001</v>
      </c>
      <c r="H22" s="87">
        <v>108962.05</v>
      </c>
      <c r="I22" s="87">
        <v>41729.572</v>
      </c>
      <c r="J22" s="87">
        <v>6284.9840000000004</v>
      </c>
      <c r="K22" s="87">
        <v>48014.555999999997</v>
      </c>
      <c r="L22" s="87">
        <v>13971.311</v>
      </c>
      <c r="M22" s="87">
        <v>17591.235000000001</v>
      </c>
      <c r="N22" s="87">
        <v>31562.546000000002</v>
      </c>
      <c r="O22" s="87">
        <v>19779.425999999999</v>
      </c>
      <c r="P22" s="87">
        <v>18679.344000000001</v>
      </c>
      <c r="Q22" s="87">
        <v>38458.770000000004</v>
      </c>
      <c r="R22" s="87">
        <v>6762.9170000000004</v>
      </c>
      <c r="S22" s="87">
        <v>11620.889856166577</v>
      </c>
      <c r="T22" s="87">
        <v>8000.5751438334219</v>
      </c>
      <c r="U22" s="87">
        <v>19621.465</v>
      </c>
      <c r="V22" s="87">
        <v>7398.1772590947221</v>
      </c>
      <c r="W22" s="87">
        <v>25388.735740905267</v>
      </c>
      <c r="X22" s="87">
        <v>32786.912999999986</v>
      </c>
      <c r="Y22" s="87">
        <v>213434.71687646155</v>
      </c>
      <c r="Z22" s="87">
        <v>241827.38415151471</v>
      </c>
      <c r="AA22" s="131">
        <v>0.38997706923573305</v>
      </c>
      <c r="AB22" s="351">
        <v>0.17184492976715271</v>
      </c>
      <c r="AC22" s="351">
        <v>0.13764460572292037</v>
      </c>
      <c r="AD22" s="351">
        <v>0.30948953549007308</v>
      </c>
      <c r="AE22" s="351">
        <v>7.0225563990504156E-2</v>
      </c>
      <c r="AF22" s="364">
        <v>0</v>
      </c>
      <c r="AG22" s="365">
        <v>0</v>
      </c>
      <c r="AH22" s="365">
        <v>0</v>
      </c>
      <c r="AI22" s="365">
        <v>0</v>
      </c>
      <c r="AJ22" s="365">
        <v>0</v>
      </c>
      <c r="AK22" s="365">
        <v>0</v>
      </c>
      <c r="AL22" s="365">
        <v>0</v>
      </c>
      <c r="AM22" s="365">
        <v>0</v>
      </c>
      <c r="AN22" s="190"/>
      <c r="AP22" s="115">
        <v>7.0225563990504156E-2</v>
      </c>
      <c r="AQ22" s="351">
        <v>6.4654821320253367E-2</v>
      </c>
    </row>
    <row r="23" spans="1:43">
      <c r="A23" s="363">
        <v>210017</v>
      </c>
      <c r="B23" s="363" t="s">
        <v>155</v>
      </c>
      <c r="C23" s="87">
        <v>22525.65739</v>
      </c>
      <c r="D23" s="87">
        <v>35194.36535</v>
      </c>
      <c r="E23" s="87">
        <v>57720.02274</v>
      </c>
      <c r="F23" s="87">
        <v>11458.618796052238</v>
      </c>
      <c r="G23" s="87">
        <v>14188.623602436395</v>
      </c>
      <c r="H23" s="87">
        <v>25647.242398488634</v>
      </c>
      <c r="I23" s="87">
        <v>881.92439209415761</v>
      </c>
      <c r="J23" s="87">
        <v>1532.973556098661</v>
      </c>
      <c r="K23" s="87">
        <v>2414.8979481928186</v>
      </c>
      <c r="L23" s="87">
        <v>1703.9735728822025</v>
      </c>
      <c r="M23" s="87">
        <v>3913.4907582547462</v>
      </c>
      <c r="N23" s="87">
        <v>5617.4643311369491</v>
      </c>
      <c r="O23" s="87">
        <v>4922.9099620348961</v>
      </c>
      <c r="P23" s="87">
        <v>6850.3455269277692</v>
      </c>
      <c r="Q23" s="87">
        <v>11773.255488962666</v>
      </c>
      <c r="R23" s="87">
        <v>251.08004999999997</v>
      </c>
      <c r="S23" s="87">
        <v>1154.7717720000001</v>
      </c>
      <c r="T23" s="87">
        <v>2637.9570084999996</v>
      </c>
      <c r="U23" s="87">
        <v>3792.7287805000001</v>
      </c>
      <c r="V23" s="87">
        <v>2403.458894936507</v>
      </c>
      <c r="W23" s="87">
        <v>6070.9748977824293</v>
      </c>
      <c r="X23" s="87">
        <v>8474.4337927189372</v>
      </c>
      <c r="Y23" s="87">
        <v>47024.159585171088</v>
      </c>
      <c r="Z23" s="87">
        <v>52964.775292477854</v>
      </c>
      <c r="AA23" s="131">
        <v>0.44433874383620231</v>
      </c>
      <c r="AB23" s="351">
        <v>4.1838132307582987E-2</v>
      </c>
      <c r="AC23" s="351">
        <v>0.20397177495919097</v>
      </c>
      <c r="AD23" s="351">
        <v>0.24580990726677396</v>
      </c>
      <c r="AE23" s="351">
        <v>6.5709065943794887E-2</v>
      </c>
      <c r="AF23" s="364">
        <v>0</v>
      </c>
      <c r="AG23" s="365">
        <v>0</v>
      </c>
      <c r="AH23" s="365">
        <v>0</v>
      </c>
      <c r="AI23" s="365">
        <v>0</v>
      </c>
      <c r="AJ23" s="365">
        <v>0</v>
      </c>
      <c r="AK23" s="365">
        <v>0</v>
      </c>
      <c r="AL23" s="365">
        <v>0</v>
      </c>
      <c r="AM23" s="365">
        <v>0</v>
      </c>
      <c r="AN23" s="190"/>
      <c r="AP23" s="115">
        <v>6.5709065943794887E-2</v>
      </c>
      <c r="AQ23" s="351">
        <v>7.814893965680117E-2</v>
      </c>
    </row>
    <row r="24" spans="1:43">
      <c r="A24" s="363">
        <v>210018</v>
      </c>
      <c r="B24" s="363" t="s">
        <v>307</v>
      </c>
      <c r="C24" s="87">
        <v>87892.263960000055</v>
      </c>
      <c r="D24" s="87">
        <v>95036.679419999957</v>
      </c>
      <c r="E24" s="87">
        <v>182928.94338000001</v>
      </c>
      <c r="F24" s="87">
        <v>49657.957400629239</v>
      </c>
      <c r="G24" s="87">
        <v>34539.950331002408</v>
      </c>
      <c r="H24" s="87">
        <v>84197.907731631654</v>
      </c>
      <c r="I24" s="87">
        <v>2827.9183983795097</v>
      </c>
      <c r="J24" s="87">
        <v>1294.899348234931</v>
      </c>
      <c r="K24" s="87">
        <v>4122.8177466144407</v>
      </c>
      <c r="L24" s="87">
        <v>5687.7538603907287</v>
      </c>
      <c r="M24" s="87">
        <v>13542.886441309114</v>
      </c>
      <c r="N24" s="87">
        <v>19230.640301699845</v>
      </c>
      <c r="O24" s="87">
        <v>13281.105494752648</v>
      </c>
      <c r="P24" s="87">
        <v>15526.9839922133</v>
      </c>
      <c r="Q24" s="87">
        <v>28808.089486965942</v>
      </c>
      <c r="R24" s="87">
        <v>1187.7262900000069</v>
      </c>
      <c r="S24" s="87">
        <v>2094.5081143639536</v>
      </c>
      <c r="T24" s="87">
        <v>3690.6828356360465</v>
      </c>
      <c r="U24" s="87">
        <v>5785.1909500000002</v>
      </c>
      <c r="V24" s="87">
        <v>14343.020691483973</v>
      </c>
      <c r="W24" s="87">
        <v>26441.276471604157</v>
      </c>
      <c r="X24" s="87">
        <v>40784.297163088129</v>
      </c>
      <c r="Y24" s="87">
        <v>135484.95265540769</v>
      </c>
      <c r="Z24" s="87">
        <v>146757.75290184951</v>
      </c>
      <c r="AA24" s="131">
        <v>0.46027657611691636</v>
      </c>
      <c r="AB24" s="351">
        <v>2.2537809875444764E-2</v>
      </c>
      <c r="AC24" s="351">
        <v>0.1574824024819442</v>
      </c>
      <c r="AD24" s="351">
        <v>0.18002021235738894</v>
      </c>
      <c r="AE24" s="351">
        <v>3.1625345028000129E-2</v>
      </c>
      <c r="AF24" s="364">
        <v>0</v>
      </c>
      <c r="AG24" s="365">
        <v>0</v>
      </c>
      <c r="AH24" s="365">
        <v>0</v>
      </c>
      <c r="AI24" s="365">
        <v>0</v>
      </c>
      <c r="AJ24" s="365">
        <v>0</v>
      </c>
      <c r="AK24" s="365">
        <v>0</v>
      </c>
      <c r="AL24" s="365">
        <v>0</v>
      </c>
      <c r="AM24" s="365">
        <v>0</v>
      </c>
      <c r="AN24" s="190"/>
      <c r="AP24" s="115">
        <v>3.1625345028000129E-2</v>
      </c>
      <c r="AQ24" s="351">
        <v>3.0173617408898179E-2</v>
      </c>
    </row>
    <row r="25" spans="1:43">
      <c r="A25" s="363">
        <v>210019</v>
      </c>
      <c r="B25" s="363" t="s">
        <v>156</v>
      </c>
      <c r="C25" s="87">
        <v>254809.4</v>
      </c>
      <c r="D25" s="87">
        <v>195527.1</v>
      </c>
      <c r="E25" s="87">
        <v>450336.5</v>
      </c>
      <c r="F25" s="87">
        <v>141133.9</v>
      </c>
      <c r="G25" s="87">
        <v>84928.3</v>
      </c>
      <c r="H25" s="87">
        <v>226062.2</v>
      </c>
      <c r="I25" s="87">
        <v>7802.4</v>
      </c>
      <c r="J25" s="87">
        <v>2650.9</v>
      </c>
      <c r="K25" s="87">
        <v>10453.299999999999</v>
      </c>
      <c r="L25" s="87">
        <v>14331.7</v>
      </c>
      <c r="M25" s="87">
        <v>18405.3</v>
      </c>
      <c r="N25" s="87">
        <v>32737</v>
      </c>
      <c r="O25" s="87">
        <v>47444.6</v>
      </c>
      <c r="P25" s="87">
        <v>39448.800000000003</v>
      </c>
      <c r="Q25" s="87">
        <v>86893.4</v>
      </c>
      <c r="R25" s="87">
        <v>0</v>
      </c>
      <c r="S25" s="87">
        <v>8809.1</v>
      </c>
      <c r="T25" s="87">
        <v>6924.4</v>
      </c>
      <c r="U25" s="87">
        <v>15733.5</v>
      </c>
      <c r="V25" s="87">
        <v>35287.700000000041</v>
      </c>
      <c r="W25" s="87">
        <v>43169.399999999965</v>
      </c>
      <c r="X25" s="87">
        <v>78457.100000000006</v>
      </c>
      <c r="Y25" s="87">
        <v>335294.26134179486</v>
      </c>
      <c r="Z25" s="87">
        <v>365660.14302572358</v>
      </c>
      <c r="AA25" s="131">
        <v>0.50198507116345226</v>
      </c>
      <c r="AB25" s="351">
        <v>2.3212197989725458E-2</v>
      </c>
      <c r="AC25" s="351">
        <v>0.19295215910768945</v>
      </c>
      <c r="AD25" s="351">
        <v>0.21616435709741494</v>
      </c>
      <c r="AE25" s="351">
        <v>3.4937208065524333E-2</v>
      </c>
      <c r="AF25" s="364">
        <v>0</v>
      </c>
      <c r="AG25" s="365">
        <v>0</v>
      </c>
      <c r="AH25" s="365">
        <v>0</v>
      </c>
      <c r="AI25" s="365">
        <v>0</v>
      </c>
      <c r="AJ25" s="365">
        <v>0</v>
      </c>
      <c r="AK25" s="365">
        <v>0</v>
      </c>
      <c r="AL25" s="365">
        <v>0</v>
      </c>
      <c r="AM25" s="365">
        <v>0</v>
      </c>
      <c r="AN25" s="190"/>
      <c r="AP25" s="115">
        <v>3.4937208065524333E-2</v>
      </c>
      <c r="AQ25" s="351">
        <v>4.1699108127704235E-2</v>
      </c>
    </row>
    <row r="26" spans="1:43">
      <c r="A26" s="363">
        <v>210022</v>
      </c>
      <c r="B26" s="363" t="s">
        <v>308</v>
      </c>
      <c r="C26" s="87">
        <v>212602.96900000001</v>
      </c>
      <c r="D26" s="87">
        <v>116765.171</v>
      </c>
      <c r="E26" s="87">
        <v>329368.14</v>
      </c>
      <c r="F26" s="87">
        <v>115081.02099999999</v>
      </c>
      <c r="G26" s="87">
        <v>43856.561000000002</v>
      </c>
      <c r="H26" s="87">
        <v>158937.58199999999</v>
      </c>
      <c r="I26" s="87">
        <v>5297.3140000000003</v>
      </c>
      <c r="J26" s="87">
        <v>1038.9100000000001</v>
      </c>
      <c r="K26" s="87">
        <v>6336.2240000000002</v>
      </c>
      <c r="L26" s="87">
        <v>26636.57</v>
      </c>
      <c r="M26" s="87">
        <v>25828.84</v>
      </c>
      <c r="N26" s="87">
        <v>52465.41</v>
      </c>
      <c r="O26" s="87">
        <v>12636.159</v>
      </c>
      <c r="P26" s="87">
        <v>7843.0259999999998</v>
      </c>
      <c r="Q26" s="87">
        <v>20479.185000000001</v>
      </c>
      <c r="R26" s="87">
        <v>1632.87672</v>
      </c>
      <c r="S26" s="87">
        <v>7833.2780000000002</v>
      </c>
      <c r="T26" s="87">
        <v>3365.973</v>
      </c>
      <c r="U26" s="87">
        <v>11199.251</v>
      </c>
      <c r="V26" s="87">
        <v>45118.627000000015</v>
      </c>
      <c r="W26" s="87">
        <v>34831.86099999999</v>
      </c>
      <c r="X26" s="87">
        <v>79950.488000000012</v>
      </c>
      <c r="Y26" s="87">
        <v>261875.9501716448</v>
      </c>
      <c r="Z26" s="87">
        <v>283471.43445392099</v>
      </c>
      <c r="AA26" s="131">
        <v>0.48255299374128896</v>
      </c>
      <c r="AB26" s="351">
        <v>1.9237513379405793E-2</v>
      </c>
      <c r="AC26" s="351">
        <v>6.2177188722625086E-2</v>
      </c>
      <c r="AD26" s="351">
        <v>8.1414702102030875E-2</v>
      </c>
      <c r="AE26" s="351">
        <v>3.4002229238079919E-2</v>
      </c>
      <c r="AF26" s="364">
        <v>0</v>
      </c>
      <c r="AG26" s="365">
        <v>0</v>
      </c>
      <c r="AH26" s="365">
        <v>0</v>
      </c>
      <c r="AI26" s="365">
        <v>0</v>
      </c>
      <c r="AJ26" s="365">
        <v>0</v>
      </c>
      <c r="AK26" s="365">
        <v>0</v>
      </c>
      <c r="AL26" s="365">
        <v>0</v>
      </c>
      <c r="AM26" s="365">
        <v>0</v>
      </c>
      <c r="AN26" s="190"/>
      <c r="AP26" s="115">
        <v>3.4002229238079919E-2</v>
      </c>
      <c r="AQ26" s="351">
        <v>2.9514118680017042E-2</v>
      </c>
    </row>
    <row r="27" spans="1:43">
      <c r="A27" s="363">
        <v>210023</v>
      </c>
      <c r="B27" s="363" t="s">
        <v>309</v>
      </c>
      <c r="C27" s="87">
        <v>302040.09999999998</v>
      </c>
      <c r="D27" s="87">
        <v>330940.79999999999</v>
      </c>
      <c r="E27" s="87">
        <v>632980.89999999991</v>
      </c>
      <c r="F27" s="87">
        <v>130740.8</v>
      </c>
      <c r="G27" s="87">
        <v>111342.7</v>
      </c>
      <c r="H27" s="87">
        <v>242083.5</v>
      </c>
      <c r="I27" s="87">
        <v>7590.4</v>
      </c>
      <c r="J27" s="87">
        <v>3329.7</v>
      </c>
      <c r="K27" s="87">
        <v>10920.1</v>
      </c>
      <c r="L27" s="87">
        <v>45486.6</v>
      </c>
      <c r="M27" s="87">
        <v>62415.5</v>
      </c>
      <c r="N27" s="87">
        <v>107902.1</v>
      </c>
      <c r="O27" s="87">
        <v>34286.699999999997</v>
      </c>
      <c r="P27" s="87">
        <v>33996.5</v>
      </c>
      <c r="Q27" s="87">
        <v>68283.199999999997</v>
      </c>
      <c r="R27" s="87">
        <v>9305.7999999999993</v>
      </c>
      <c r="S27" s="87">
        <v>5792.6</v>
      </c>
      <c r="T27" s="87">
        <v>11909.5</v>
      </c>
      <c r="U27" s="87">
        <v>17702.099999999999</v>
      </c>
      <c r="V27" s="87">
        <v>78142.999999999985</v>
      </c>
      <c r="W27" s="87">
        <v>107946.89999999997</v>
      </c>
      <c r="X27" s="87">
        <v>186089.89999999997</v>
      </c>
      <c r="Y27" s="87">
        <v>491895.23541002942</v>
      </c>
      <c r="Z27" s="87">
        <v>527888.63642011909</v>
      </c>
      <c r="AA27" s="131">
        <v>0.38244992858394311</v>
      </c>
      <c r="AB27" s="351">
        <v>1.7251863365861438E-2</v>
      </c>
      <c r="AC27" s="351">
        <v>0.10787560888488106</v>
      </c>
      <c r="AD27" s="351">
        <v>0.1251274722507425</v>
      </c>
      <c r="AE27" s="351">
        <v>2.7966246690855918E-2</v>
      </c>
      <c r="AF27" s="364">
        <v>0</v>
      </c>
      <c r="AG27" s="365">
        <v>0</v>
      </c>
      <c r="AH27" s="365">
        <v>0</v>
      </c>
      <c r="AI27" s="365">
        <v>0</v>
      </c>
      <c r="AJ27" s="365">
        <v>0</v>
      </c>
      <c r="AK27" s="365">
        <v>0</v>
      </c>
      <c r="AL27" s="365">
        <v>0</v>
      </c>
      <c r="AM27" s="365">
        <v>0</v>
      </c>
      <c r="AN27" s="190"/>
      <c r="AP27" s="115">
        <v>2.7966246690855918E-2</v>
      </c>
      <c r="AQ27" s="351">
        <v>2.9488283486873657E-2</v>
      </c>
    </row>
    <row r="28" spans="1:43">
      <c r="A28" s="363">
        <v>210024</v>
      </c>
      <c r="B28" s="363" t="s">
        <v>310</v>
      </c>
      <c r="C28" s="87">
        <v>258553.96531000009</v>
      </c>
      <c r="D28" s="87">
        <v>181861.10210999977</v>
      </c>
      <c r="E28" s="87">
        <v>440415.0674199998</v>
      </c>
      <c r="F28" s="87">
        <v>128161.55861760976</v>
      </c>
      <c r="G28" s="87">
        <v>54589.691937181713</v>
      </c>
      <c r="H28" s="87">
        <v>182751.25055479148</v>
      </c>
      <c r="I28" s="87">
        <v>11584.18825112316</v>
      </c>
      <c r="J28" s="87">
        <v>3522.8104899820637</v>
      </c>
      <c r="K28" s="87">
        <v>15106.998741105224</v>
      </c>
      <c r="L28" s="87">
        <v>21921.340829209719</v>
      </c>
      <c r="M28" s="87">
        <v>26609.083929716769</v>
      </c>
      <c r="N28" s="87">
        <v>48530.424758926485</v>
      </c>
      <c r="O28" s="87">
        <v>55402.387666306022</v>
      </c>
      <c r="P28" s="87">
        <v>47019.040031438053</v>
      </c>
      <c r="Q28" s="87">
        <v>102421.42769774407</v>
      </c>
      <c r="R28" s="87">
        <v>3728.2021800000362</v>
      </c>
      <c r="S28" s="87">
        <v>5049.4596691454635</v>
      </c>
      <c r="T28" s="87">
        <v>10761.168430854535</v>
      </c>
      <c r="U28" s="87">
        <v>15810.628100000002</v>
      </c>
      <c r="V28" s="87">
        <v>36435.030276605947</v>
      </c>
      <c r="W28" s="87">
        <v>39359.307290826611</v>
      </c>
      <c r="X28" s="87">
        <v>75794.337567432551</v>
      </c>
      <c r="Y28" s="87">
        <v>342264.61910760356</v>
      </c>
      <c r="Z28" s="87">
        <v>373141.13700661913</v>
      </c>
      <c r="AA28" s="131">
        <v>0.41495231220259682</v>
      </c>
      <c r="AB28" s="351">
        <v>3.4301730023915157E-2</v>
      </c>
      <c r="AC28" s="351">
        <v>0.23255659325585779</v>
      </c>
      <c r="AD28" s="351">
        <v>0.26685832327977294</v>
      </c>
      <c r="AE28" s="351">
        <v>3.5899380538046553E-2</v>
      </c>
      <c r="AF28" s="364">
        <v>0</v>
      </c>
      <c r="AG28" s="365">
        <v>0</v>
      </c>
      <c r="AH28" s="365">
        <v>0</v>
      </c>
      <c r="AI28" s="365">
        <v>0</v>
      </c>
      <c r="AJ28" s="365">
        <v>0</v>
      </c>
      <c r="AK28" s="365">
        <v>0</v>
      </c>
      <c r="AL28" s="365">
        <v>0</v>
      </c>
      <c r="AM28" s="365">
        <v>0</v>
      </c>
      <c r="AN28" s="190"/>
      <c r="AP28" s="115">
        <v>3.5899380538046553E-2</v>
      </c>
      <c r="AQ28" s="351">
        <v>3.1119672461435589E-2</v>
      </c>
    </row>
    <row r="29" spans="1:43">
      <c r="A29" s="363">
        <v>210027</v>
      </c>
      <c r="B29" s="363" t="s">
        <v>311</v>
      </c>
      <c r="C29" s="87">
        <v>173019.5</v>
      </c>
      <c r="D29" s="87">
        <v>159226.00000000003</v>
      </c>
      <c r="E29" s="87">
        <v>332245.5</v>
      </c>
      <c r="F29" s="87">
        <v>102914.4</v>
      </c>
      <c r="G29" s="87">
        <v>68652.800000000003</v>
      </c>
      <c r="H29" s="87">
        <v>171567.2</v>
      </c>
      <c r="I29" s="87">
        <v>3431.9</v>
      </c>
      <c r="J29" s="87">
        <v>2479.4</v>
      </c>
      <c r="K29" s="87">
        <v>5911.3</v>
      </c>
      <c r="L29" s="87">
        <v>10181.6</v>
      </c>
      <c r="M29" s="87">
        <v>19247.3</v>
      </c>
      <c r="N29" s="87">
        <v>29428.9</v>
      </c>
      <c r="O29" s="87">
        <v>37222.199999999997</v>
      </c>
      <c r="P29" s="87">
        <v>34695.700000000004</v>
      </c>
      <c r="Q29" s="87">
        <v>71917.900000000009</v>
      </c>
      <c r="R29" s="87">
        <v>2847.7034700000008</v>
      </c>
      <c r="S29" s="87">
        <v>7041.7999999999993</v>
      </c>
      <c r="T29" s="87">
        <v>9535.9</v>
      </c>
      <c r="U29" s="87">
        <v>16577.699999999997</v>
      </c>
      <c r="V29" s="87">
        <v>12227.600000000008</v>
      </c>
      <c r="W29" s="87">
        <v>24614.900000000023</v>
      </c>
      <c r="X29" s="87">
        <v>36842.500000000029</v>
      </c>
      <c r="Y29" s="87">
        <v>243233.35142592309</v>
      </c>
      <c r="Z29" s="87">
        <v>270010.7514901135</v>
      </c>
      <c r="AA29" s="131">
        <v>0.51638682841453087</v>
      </c>
      <c r="AB29" s="351">
        <v>1.7791964074757975E-2</v>
      </c>
      <c r="AC29" s="351">
        <v>0.21646011759376729</v>
      </c>
      <c r="AD29" s="351">
        <v>0.23425208166852526</v>
      </c>
      <c r="AE29" s="351">
        <v>4.9895935385129361E-2</v>
      </c>
      <c r="AF29" s="364">
        <v>0</v>
      </c>
      <c r="AG29" s="365">
        <v>0</v>
      </c>
      <c r="AH29" s="365">
        <v>0</v>
      </c>
      <c r="AI29" s="365">
        <v>0</v>
      </c>
      <c r="AJ29" s="365">
        <v>0</v>
      </c>
      <c r="AK29" s="365">
        <v>0</v>
      </c>
      <c r="AL29" s="365">
        <v>0</v>
      </c>
      <c r="AM29" s="365">
        <v>0</v>
      </c>
      <c r="AN29" s="190"/>
      <c r="AP29" s="115">
        <v>4.9895935385129361E-2</v>
      </c>
      <c r="AQ29" s="351">
        <v>4.8448327791266961E-2</v>
      </c>
    </row>
    <row r="30" spans="1:43">
      <c r="A30" s="363">
        <v>210028</v>
      </c>
      <c r="B30" s="363" t="s">
        <v>312</v>
      </c>
      <c r="C30" s="87">
        <v>84066.142879999941</v>
      </c>
      <c r="D30" s="87">
        <v>112754.40478999994</v>
      </c>
      <c r="E30" s="87">
        <v>196820.54766999988</v>
      </c>
      <c r="F30" s="87">
        <v>43723.018354378706</v>
      </c>
      <c r="G30" s="87">
        <v>37273.038193451939</v>
      </c>
      <c r="H30" s="87">
        <v>80996.056547830638</v>
      </c>
      <c r="I30" s="87">
        <v>1533.042952071592</v>
      </c>
      <c r="J30" s="87">
        <v>2732.1378337382248</v>
      </c>
      <c r="K30" s="87">
        <v>4265.1807858098164</v>
      </c>
      <c r="L30" s="87">
        <v>7118.9725296686856</v>
      </c>
      <c r="M30" s="87">
        <v>15153.069846009195</v>
      </c>
      <c r="N30" s="87">
        <v>22272.04237567788</v>
      </c>
      <c r="O30" s="87">
        <v>13405.98986296886</v>
      </c>
      <c r="P30" s="87">
        <v>20276.815289149075</v>
      </c>
      <c r="Q30" s="87">
        <v>33682.805152117937</v>
      </c>
      <c r="R30" s="87">
        <v>1803.6326300000007</v>
      </c>
      <c r="S30" s="87">
        <v>2322.40756986629</v>
      </c>
      <c r="T30" s="87">
        <v>5884.3073001337107</v>
      </c>
      <c r="U30" s="87">
        <v>8206.7148699999998</v>
      </c>
      <c r="V30" s="87">
        <v>15962.711611045808</v>
      </c>
      <c r="W30" s="87">
        <v>31435.036327517799</v>
      </c>
      <c r="X30" s="87">
        <v>47397.747938563611</v>
      </c>
      <c r="Y30" s="87">
        <v>142332.3213277696</v>
      </c>
      <c r="Z30" s="87">
        <v>155607.04996328865</v>
      </c>
      <c r="AA30" s="131">
        <v>0.41152236139304454</v>
      </c>
      <c r="AB30" s="351">
        <v>2.1670404011684047E-2</v>
      </c>
      <c r="AC30" s="351">
        <v>0.17113459723012445</v>
      </c>
      <c r="AD30" s="351">
        <v>0.19280500124180849</v>
      </c>
      <c r="AE30" s="351">
        <v>4.1696433462627226E-2</v>
      </c>
      <c r="AF30" s="364">
        <v>0</v>
      </c>
      <c r="AG30" s="365">
        <v>0</v>
      </c>
      <c r="AH30" s="365">
        <v>0</v>
      </c>
      <c r="AI30" s="365">
        <v>0</v>
      </c>
      <c r="AJ30" s="365">
        <v>0</v>
      </c>
      <c r="AK30" s="365">
        <v>0</v>
      </c>
      <c r="AL30" s="365">
        <v>0</v>
      </c>
      <c r="AM30" s="365">
        <v>0</v>
      </c>
      <c r="AN30" s="190"/>
      <c r="AP30" s="115">
        <v>4.1696433462627226E-2</v>
      </c>
      <c r="AQ30" s="351">
        <v>3.9464962191782138E-2</v>
      </c>
    </row>
    <row r="31" spans="1:43">
      <c r="A31" s="363">
        <v>210029</v>
      </c>
      <c r="B31" s="363" t="s">
        <v>313</v>
      </c>
      <c r="C31" s="87">
        <v>365794.39999999997</v>
      </c>
      <c r="D31" s="87">
        <v>304429.8</v>
      </c>
      <c r="E31" s="87">
        <v>670224.19999999995</v>
      </c>
      <c r="F31" s="87">
        <v>153720.4</v>
      </c>
      <c r="G31" s="87">
        <v>90680.9</v>
      </c>
      <c r="H31" s="87">
        <v>244401.3</v>
      </c>
      <c r="I31" s="87">
        <v>35105.9</v>
      </c>
      <c r="J31" s="87">
        <v>37116.199999999997</v>
      </c>
      <c r="K31" s="87">
        <v>72222.100000000006</v>
      </c>
      <c r="L31" s="87">
        <v>35598.800000000003</v>
      </c>
      <c r="M31" s="87">
        <v>49909.1</v>
      </c>
      <c r="N31" s="87">
        <v>85507.9</v>
      </c>
      <c r="O31" s="87">
        <v>85117.6</v>
      </c>
      <c r="P31" s="87">
        <v>61396</v>
      </c>
      <c r="Q31" s="87">
        <v>146513.60000000001</v>
      </c>
      <c r="R31" s="87">
        <v>5730.6</v>
      </c>
      <c r="S31" s="87">
        <v>10019</v>
      </c>
      <c r="T31" s="87">
        <v>24403</v>
      </c>
      <c r="U31" s="87">
        <v>34422</v>
      </c>
      <c r="V31" s="87">
        <v>46232.699999999983</v>
      </c>
      <c r="W31" s="87">
        <v>40924.600000000006</v>
      </c>
      <c r="X31" s="87">
        <v>87157.299999999988</v>
      </c>
      <c r="Y31" s="87">
        <v>565877.29558770999</v>
      </c>
      <c r="Z31" s="87">
        <v>627550.6293259518</v>
      </c>
      <c r="AA31" s="131">
        <v>0.36465603599511925</v>
      </c>
      <c r="AB31" s="351">
        <v>0.10775812034241677</v>
      </c>
      <c r="AC31" s="351">
        <v>0.21860386419947239</v>
      </c>
      <c r="AD31" s="351">
        <v>0.32636198454188914</v>
      </c>
      <c r="AE31" s="351">
        <v>5.1358933324102594E-2</v>
      </c>
      <c r="AF31" s="364">
        <v>0</v>
      </c>
      <c r="AG31" s="365">
        <v>0</v>
      </c>
      <c r="AH31" s="365">
        <v>0</v>
      </c>
      <c r="AI31" s="365">
        <v>0</v>
      </c>
      <c r="AJ31" s="365">
        <v>0</v>
      </c>
      <c r="AK31" s="365">
        <v>0</v>
      </c>
      <c r="AL31" s="365">
        <v>0</v>
      </c>
      <c r="AM31" s="365">
        <v>0</v>
      </c>
      <c r="AN31" s="190"/>
      <c r="AP31" s="115">
        <v>5.1358933324102594E-2</v>
      </c>
      <c r="AQ31" s="351">
        <v>4.1074394062795686E-2</v>
      </c>
    </row>
    <row r="32" spans="1:43">
      <c r="A32" s="363">
        <v>210030</v>
      </c>
      <c r="B32" s="363" t="s">
        <v>314</v>
      </c>
      <c r="C32" s="87">
        <v>19820.462959999997</v>
      </c>
      <c r="D32" s="87">
        <v>39592.03024</v>
      </c>
      <c r="E32" s="87">
        <v>59412.493199999997</v>
      </c>
      <c r="F32" s="87">
        <v>13642.167302063581</v>
      </c>
      <c r="G32" s="87">
        <v>18254.517189695482</v>
      </c>
      <c r="H32" s="87">
        <v>31896.684491759061</v>
      </c>
      <c r="I32" s="87">
        <v>833.30057185904354</v>
      </c>
      <c r="J32" s="87">
        <v>1117.8761202467238</v>
      </c>
      <c r="K32" s="87">
        <v>1951.1766921057672</v>
      </c>
      <c r="L32" s="87">
        <v>1066.7738045308915</v>
      </c>
      <c r="M32" s="87">
        <v>4648.9330889651364</v>
      </c>
      <c r="N32" s="87">
        <v>5715.706893496028</v>
      </c>
      <c r="O32" s="87">
        <v>2603.6899871006958</v>
      </c>
      <c r="P32" s="87">
        <v>8596.7344380170434</v>
      </c>
      <c r="Q32" s="87">
        <v>11200.424425117741</v>
      </c>
      <c r="R32" s="87">
        <v>159.94775999999985</v>
      </c>
      <c r="S32" s="87">
        <v>1040.8165669473665</v>
      </c>
      <c r="T32" s="87">
        <v>2079.0655130526334</v>
      </c>
      <c r="U32" s="87">
        <v>3119.8820800000003</v>
      </c>
      <c r="V32" s="87">
        <v>633.71472749842064</v>
      </c>
      <c r="W32" s="87">
        <v>4894.9038900229807</v>
      </c>
      <c r="X32" s="87">
        <v>5528.6186175214016</v>
      </c>
      <c r="Y32" s="87">
        <v>37416.842503502878</v>
      </c>
      <c r="Z32" s="87">
        <v>41661.753430580837</v>
      </c>
      <c r="AA32" s="131">
        <v>0.53686830452284506</v>
      </c>
      <c r="AB32" s="351">
        <v>3.2841185195469413E-2</v>
      </c>
      <c r="AC32" s="351">
        <v>0.18851968368696134</v>
      </c>
      <c r="AD32" s="351">
        <v>0.22136086888243076</v>
      </c>
      <c r="AE32" s="351">
        <v>5.251222279963165E-2</v>
      </c>
      <c r="AF32" s="364">
        <v>0</v>
      </c>
      <c r="AG32" s="365">
        <v>0</v>
      </c>
      <c r="AH32" s="365">
        <v>0</v>
      </c>
      <c r="AI32" s="365">
        <v>0</v>
      </c>
      <c r="AJ32" s="365">
        <v>0</v>
      </c>
      <c r="AK32" s="365">
        <v>0</v>
      </c>
      <c r="AL32" s="365">
        <v>0</v>
      </c>
      <c r="AM32" s="365">
        <v>0</v>
      </c>
      <c r="AN32" s="190"/>
      <c r="AP32" s="115">
        <v>5.251222279963165E-2</v>
      </c>
      <c r="AQ32" s="351">
        <v>4.9937772599698768E-2</v>
      </c>
    </row>
    <row r="33" spans="1:43">
      <c r="A33" s="363">
        <v>210032</v>
      </c>
      <c r="B33" s="363" t="s">
        <v>157</v>
      </c>
      <c r="C33" s="87">
        <v>67748.600000000006</v>
      </c>
      <c r="D33" s="87">
        <v>98485.1</v>
      </c>
      <c r="E33" s="87">
        <v>166233.70000000001</v>
      </c>
      <c r="F33" s="87">
        <v>32203.8</v>
      </c>
      <c r="G33" s="87">
        <v>33451.800000000003</v>
      </c>
      <c r="H33" s="87">
        <v>65655.600000000006</v>
      </c>
      <c r="I33" s="87">
        <v>1873.5</v>
      </c>
      <c r="J33" s="87">
        <v>1460.9</v>
      </c>
      <c r="K33" s="87">
        <v>3334.4</v>
      </c>
      <c r="L33" s="87">
        <v>7867</v>
      </c>
      <c r="M33" s="87">
        <v>20675.7</v>
      </c>
      <c r="N33" s="87">
        <v>28542.7</v>
      </c>
      <c r="O33" s="87">
        <v>17877.900000000001</v>
      </c>
      <c r="P33" s="87">
        <v>26848.2</v>
      </c>
      <c r="Q33" s="87">
        <v>44726.100000000006</v>
      </c>
      <c r="R33" s="87">
        <v>0</v>
      </c>
      <c r="S33" s="87">
        <v>2450</v>
      </c>
      <c r="T33" s="87">
        <v>7339.2202399999996</v>
      </c>
      <c r="U33" s="87">
        <v>9789.2202399999987</v>
      </c>
      <c r="V33" s="87">
        <v>5476.4000000000015</v>
      </c>
      <c r="W33" s="87">
        <v>8709.279759999994</v>
      </c>
      <c r="X33" s="87">
        <v>14185.679759999995</v>
      </c>
      <c r="Y33" s="87">
        <v>125207.4</v>
      </c>
      <c r="Z33" s="87">
        <v>139926.5220594951</v>
      </c>
      <c r="AA33" s="131">
        <v>0.39495962611672603</v>
      </c>
      <c r="AB33" s="351">
        <v>2.0058507992061776E-2</v>
      </c>
      <c r="AC33" s="351">
        <v>0.26905555251432173</v>
      </c>
      <c r="AD33" s="351">
        <v>0.2891140605063835</v>
      </c>
      <c r="AE33" s="351">
        <v>5.8888301469557605E-2</v>
      </c>
      <c r="AF33" s="364">
        <v>0</v>
      </c>
      <c r="AG33" s="365">
        <v>0</v>
      </c>
      <c r="AH33" s="365">
        <v>0</v>
      </c>
      <c r="AI33" s="365">
        <v>0</v>
      </c>
      <c r="AJ33" s="365">
        <v>0</v>
      </c>
      <c r="AK33" s="365">
        <v>0</v>
      </c>
      <c r="AL33" s="365">
        <v>0</v>
      </c>
      <c r="AM33" s="365">
        <v>0</v>
      </c>
      <c r="AN33" s="190"/>
      <c r="AP33" s="115">
        <v>5.8888301469557605E-2</v>
      </c>
      <c r="AQ33" s="351">
        <v>4.1347693777572511E-2</v>
      </c>
    </row>
    <row r="34" spans="1:43">
      <c r="A34" s="363">
        <v>210033</v>
      </c>
      <c r="B34" s="363" t="s">
        <v>255</v>
      </c>
      <c r="C34" s="87">
        <v>141396.408</v>
      </c>
      <c r="D34" s="87">
        <v>93597.337</v>
      </c>
      <c r="E34" s="87">
        <v>234993.745</v>
      </c>
      <c r="F34" s="87">
        <v>76646.979000000007</v>
      </c>
      <c r="G34" s="87">
        <v>33257.97</v>
      </c>
      <c r="H34" s="87">
        <v>109904.94899999999</v>
      </c>
      <c r="I34" s="87">
        <v>2754.4</v>
      </c>
      <c r="J34" s="87">
        <v>1077.6469999999999</v>
      </c>
      <c r="K34" s="87">
        <v>3832.047</v>
      </c>
      <c r="L34" s="87">
        <v>11345.618</v>
      </c>
      <c r="M34" s="87">
        <v>10995.038</v>
      </c>
      <c r="N34" s="87">
        <v>22340.656000000003</v>
      </c>
      <c r="O34" s="87">
        <v>21719.73</v>
      </c>
      <c r="P34" s="87">
        <v>15705.98</v>
      </c>
      <c r="Q34" s="87">
        <v>37425.71</v>
      </c>
      <c r="R34" s="87">
        <v>0</v>
      </c>
      <c r="S34" s="87">
        <v>1303.5709999999999</v>
      </c>
      <c r="T34" s="87">
        <v>2571.1</v>
      </c>
      <c r="U34" s="87">
        <v>3874.6709999999998</v>
      </c>
      <c r="V34" s="87">
        <v>27626.109999999982</v>
      </c>
      <c r="W34" s="87">
        <v>29989.602000000003</v>
      </c>
      <c r="X34" s="87">
        <v>57615.711999999985</v>
      </c>
      <c r="Y34" s="87">
        <v>179884.58653122693</v>
      </c>
      <c r="Z34" s="87">
        <v>191776.6245269278</v>
      </c>
      <c r="AA34" s="131">
        <v>0.46769308263928472</v>
      </c>
      <c r="AB34" s="351">
        <v>1.630701702294246E-2</v>
      </c>
      <c r="AC34" s="351">
        <v>0.15926257952099959</v>
      </c>
      <c r="AD34" s="351">
        <v>0.17556959654394205</v>
      </c>
      <c r="AE34" s="351">
        <v>1.6488400574236561E-2</v>
      </c>
      <c r="AF34" s="364">
        <v>0</v>
      </c>
      <c r="AG34" s="365">
        <v>0</v>
      </c>
      <c r="AH34" s="365">
        <v>0</v>
      </c>
      <c r="AI34" s="365">
        <v>0</v>
      </c>
      <c r="AJ34" s="365">
        <v>0</v>
      </c>
      <c r="AK34" s="365">
        <v>0</v>
      </c>
      <c r="AL34" s="365">
        <v>0</v>
      </c>
      <c r="AM34" s="365">
        <v>0</v>
      </c>
      <c r="AN34" s="190"/>
      <c r="AP34" s="115">
        <v>1.6488400574236561E-2</v>
      </c>
      <c r="AQ34" s="351">
        <v>1.5207876577257706E-2</v>
      </c>
    </row>
    <row r="35" spans="1:43">
      <c r="A35" s="363">
        <v>210034</v>
      </c>
      <c r="B35" s="363" t="s">
        <v>315</v>
      </c>
      <c r="C35" s="87">
        <v>114463.55953999994</v>
      </c>
      <c r="D35" s="87">
        <v>80058.208139999973</v>
      </c>
      <c r="E35" s="87">
        <v>194521.76767999993</v>
      </c>
      <c r="F35" s="87">
        <v>45686.877042068896</v>
      </c>
      <c r="G35" s="87">
        <v>15672.853481658109</v>
      </c>
      <c r="H35" s="87">
        <v>61359.730523727005</v>
      </c>
      <c r="I35" s="87">
        <v>4873.0657380376369</v>
      </c>
      <c r="J35" s="87">
        <v>2099.8459080221201</v>
      </c>
      <c r="K35" s="87">
        <v>6972.9116460597579</v>
      </c>
      <c r="L35" s="87">
        <v>6706.2134734726606</v>
      </c>
      <c r="M35" s="87">
        <v>9292.6995465859909</v>
      </c>
      <c r="N35" s="87">
        <v>15998.913020058651</v>
      </c>
      <c r="O35" s="87">
        <v>42368.901523468259</v>
      </c>
      <c r="P35" s="87">
        <v>31239.778154665222</v>
      </c>
      <c r="Q35" s="87">
        <v>73608.679678133485</v>
      </c>
      <c r="R35" s="87">
        <v>1595.8985499999935</v>
      </c>
      <c r="S35" s="87">
        <v>3281.5722557482868</v>
      </c>
      <c r="T35" s="87">
        <v>5008.3958342517135</v>
      </c>
      <c r="U35" s="87">
        <v>8289.9680900000003</v>
      </c>
      <c r="V35" s="87">
        <v>11546.929507204208</v>
      </c>
      <c r="W35" s="87">
        <v>16744.635214816808</v>
      </c>
      <c r="X35" s="87">
        <v>28291.564722021016</v>
      </c>
      <c r="Y35" s="87">
        <v>141535.31249371194</v>
      </c>
      <c r="Z35" s="87">
        <v>155739.1692777735</v>
      </c>
      <c r="AA35" s="131">
        <v>0.31543889023601446</v>
      </c>
      <c r="AB35" s="351">
        <v>3.5846433688236985E-2</v>
      </c>
      <c r="AC35" s="351">
        <v>0.37840844526574635</v>
      </c>
      <c r="AD35" s="351">
        <v>0.41425487895398333</v>
      </c>
      <c r="AE35" s="351">
        <v>4.2617174359825372E-2</v>
      </c>
      <c r="AF35" s="364">
        <v>0</v>
      </c>
      <c r="AG35" s="365">
        <v>0</v>
      </c>
      <c r="AH35" s="365">
        <v>0</v>
      </c>
      <c r="AI35" s="365">
        <v>0</v>
      </c>
      <c r="AJ35" s="365">
        <v>0</v>
      </c>
      <c r="AK35" s="365">
        <v>0</v>
      </c>
      <c r="AL35" s="365">
        <v>0</v>
      </c>
      <c r="AM35" s="365">
        <v>0</v>
      </c>
      <c r="AN35" s="190"/>
      <c r="AP35" s="115">
        <v>4.2617174359825372E-2</v>
      </c>
      <c r="AQ35" s="351">
        <v>4.7141407222324475E-2</v>
      </c>
    </row>
    <row r="36" spans="1:43">
      <c r="A36" s="363">
        <v>210035</v>
      </c>
      <c r="B36" s="363" t="s">
        <v>316</v>
      </c>
      <c r="C36" s="87">
        <v>78301.806639999995</v>
      </c>
      <c r="D36" s="87">
        <v>78119.039080000002</v>
      </c>
      <c r="E36" s="87">
        <v>156420.84571999998</v>
      </c>
      <c r="F36" s="87">
        <v>40842.171478292701</v>
      </c>
      <c r="G36" s="87">
        <v>22099.160982230904</v>
      </c>
      <c r="H36" s="87">
        <v>62941.332460523619</v>
      </c>
      <c r="I36" s="87">
        <v>3308.627324226512</v>
      </c>
      <c r="J36" s="87">
        <v>1706.9847065063427</v>
      </c>
      <c r="K36" s="87">
        <v>5015.6120307328547</v>
      </c>
      <c r="L36" s="87">
        <v>7622.5455765320285</v>
      </c>
      <c r="M36" s="87">
        <v>12683.258359090629</v>
      </c>
      <c r="N36" s="87">
        <v>20305.803935622655</v>
      </c>
      <c r="O36" s="87">
        <v>9077.7848231972021</v>
      </c>
      <c r="P36" s="87">
        <v>14372.565639558694</v>
      </c>
      <c r="Q36" s="87">
        <v>23450.350462755898</v>
      </c>
      <c r="R36" s="87">
        <v>2239.7573199999892</v>
      </c>
      <c r="S36" s="87">
        <v>4187.2755585269961</v>
      </c>
      <c r="T36" s="87">
        <v>4177.5018614730052</v>
      </c>
      <c r="U36" s="87">
        <v>8364.7774200000022</v>
      </c>
      <c r="V36" s="87">
        <v>13263.401879224552</v>
      </c>
      <c r="W36" s="87">
        <v>23079.567531140427</v>
      </c>
      <c r="X36" s="87">
        <v>36342.969410364982</v>
      </c>
      <c r="Y36" s="87">
        <v>113900.20673174527</v>
      </c>
      <c r="Z36" s="87">
        <v>126022.22042237446</v>
      </c>
      <c r="AA36" s="131">
        <v>0.40238455540121104</v>
      </c>
      <c r="AB36" s="351">
        <v>3.2064856877906257E-2</v>
      </c>
      <c r="AC36" s="351">
        <v>0.14991832037996414</v>
      </c>
      <c r="AD36" s="351">
        <v>0.18198317725787039</v>
      </c>
      <c r="AE36" s="351">
        <v>5.3476104041614202E-2</v>
      </c>
      <c r="AF36" s="364">
        <v>0</v>
      </c>
      <c r="AG36" s="365">
        <v>0</v>
      </c>
      <c r="AH36" s="365">
        <v>0</v>
      </c>
      <c r="AI36" s="365">
        <v>0</v>
      </c>
      <c r="AJ36" s="365">
        <v>0</v>
      </c>
      <c r="AK36" s="365">
        <v>0</v>
      </c>
      <c r="AL36" s="365">
        <v>0</v>
      </c>
      <c r="AM36" s="365">
        <v>0</v>
      </c>
      <c r="AN36" s="190"/>
      <c r="AP36" s="115">
        <v>5.3476104041614202E-2</v>
      </c>
      <c r="AQ36" s="351">
        <v>5.2922113956333054E-2</v>
      </c>
    </row>
    <row r="37" spans="1:43">
      <c r="A37" s="363">
        <v>210037</v>
      </c>
      <c r="B37" s="363" t="s">
        <v>317</v>
      </c>
      <c r="C37" s="87">
        <v>101896.02599999998</v>
      </c>
      <c r="D37" s="87">
        <v>109084.07963000008</v>
      </c>
      <c r="E37" s="87">
        <v>210980.10563000009</v>
      </c>
      <c r="F37" s="87">
        <v>58356.890865660564</v>
      </c>
      <c r="G37" s="87">
        <v>47969.563163575607</v>
      </c>
      <c r="H37" s="87">
        <v>106326.45402923616</v>
      </c>
      <c r="I37" s="87">
        <v>3539.3125287733301</v>
      </c>
      <c r="J37" s="87">
        <v>1754.8343202931296</v>
      </c>
      <c r="K37" s="87">
        <v>5294.1468490664593</v>
      </c>
      <c r="L37" s="87">
        <v>9681.9376910324208</v>
      </c>
      <c r="M37" s="87">
        <v>13395.243195525629</v>
      </c>
      <c r="N37" s="87">
        <v>23077.18088655805</v>
      </c>
      <c r="O37" s="87">
        <v>17968.698550886576</v>
      </c>
      <c r="P37" s="87">
        <v>23641.27729790175</v>
      </c>
      <c r="Q37" s="87">
        <v>41609.975848788323</v>
      </c>
      <c r="R37" s="87">
        <v>500.83096000000035</v>
      </c>
      <c r="S37" s="87">
        <v>3656.3441950354977</v>
      </c>
      <c r="T37" s="87">
        <v>3914.2737649645014</v>
      </c>
      <c r="U37" s="87">
        <v>7570.6179599999996</v>
      </c>
      <c r="V37" s="87">
        <v>8692.842168611598</v>
      </c>
      <c r="W37" s="87">
        <v>18408.887887739453</v>
      </c>
      <c r="X37" s="87">
        <v>27101.730056351051</v>
      </c>
      <c r="Y37" s="87">
        <v>156650.18615868778</v>
      </c>
      <c r="Z37" s="87">
        <v>171086.24122148621</v>
      </c>
      <c r="AA37" s="131">
        <v>0.50396436058148031</v>
      </c>
      <c r="AB37" s="351">
        <v>2.5093109292261457E-2</v>
      </c>
      <c r="AC37" s="351">
        <v>0.19722227233007716</v>
      </c>
      <c r="AD37" s="351">
        <v>0.2223153816223386</v>
      </c>
      <c r="AE37" s="351">
        <v>3.5883089248598343E-2</v>
      </c>
      <c r="AF37" s="364">
        <v>0</v>
      </c>
      <c r="AG37" s="365">
        <v>0</v>
      </c>
      <c r="AH37" s="365">
        <v>0</v>
      </c>
      <c r="AI37" s="365">
        <v>0</v>
      </c>
      <c r="AJ37" s="365">
        <v>0</v>
      </c>
      <c r="AK37" s="365">
        <v>0</v>
      </c>
      <c r="AL37" s="365">
        <v>0</v>
      </c>
      <c r="AM37" s="365">
        <v>0</v>
      </c>
      <c r="AN37" s="190"/>
      <c r="AP37" s="115">
        <v>3.5883089248598343E-2</v>
      </c>
      <c r="AQ37" s="351">
        <v>3.1485588913408941E-2</v>
      </c>
    </row>
    <row r="38" spans="1:43">
      <c r="A38" s="363">
        <v>210038</v>
      </c>
      <c r="B38" s="363" t="s">
        <v>318</v>
      </c>
      <c r="C38" s="87">
        <v>117926.79412999999</v>
      </c>
      <c r="D38" s="87">
        <v>119040.33975</v>
      </c>
      <c r="E38" s="87">
        <v>236967.13388000001</v>
      </c>
      <c r="F38" s="87">
        <v>48284.061003563387</v>
      </c>
      <c r="G38" s="87">
        <v>31144.51319228662</v>
      </c>
      <c r="H38" s="87">
        <v>79428.57419585</v>
      </c>
      <c r="I38" s="87">
        <v>12382.018833149625</v>
      </c>
      <c r="J38" s="87">
        <v>5120.8684330101942</v>
      </c>
      <c r="K38" s="87">
        <v>17502.887266159818</v>
      </c>
      <c r="L38" s="87">
        <v>3827.7274585133687</v>
      </c>
      <c r="M38" s="87">
        <v>9656.9842713829785</v>
      </c>
      <c r="N38" s="87">
        <v>13484.711729896348</v>
      </c>
      <c r="O38" s="87">
        <v>40943.447236212545</v>
      </c>
      <c r="P38" s="87">
        <v>46839.112589056953</v>
      </c>
      <c r="Q38" s="87">
        <v>87782.559825269505</v>
      </c>
      <c r="R38" s="87">
        <v>494.45984000000112</v>
      </c>
      <c r="S38" s="87">
        <v>6547.8669311861413</v>
      </c>
      <c r="T38" s="87">
        <v>6609.6963788138564</v>
      </c>
      <c r="U38" s="87">
        <v>13157.563309999998</v>
      </c>
      <c r="V38" s="87">
        <v>5941.6726673749399</v>
      </c>
      <c r="W38" s="87">
        <v>19669.164885449391</v>
      </c>
      <c r="X38" s="87">
        <v>25610.837552824338</v>
      </c>
      <c r="Y38" s="87">
        <v>173595.16386821799</v>
      </c>
      <c r="Z38" s="87">
        <v>194107.7201790312</v>
      </c>
      <c r="AA38" s="131">
        <v>0.33518814569480582</v>
      </c>
      <c r="AB38" s="351">
        <v>7.3862087875119706E-2</v>
      </c>
      <c r="AC38" s="351">
        <v>0.37044191904571261</v>
      </c>
      <c r="AD38" s="351">
        <v>0.44430400692083233</v>
      </c>
      <c r="AE38" s="351">
        <v>5.5524844709743497E-2</v>
      </c>
      <c r="AF38" s="364">
        <v>0</v>
      </c>
      <c r="AG38" s="365">
        <v>0</v>
      </c>
      <c r="AH38" s="365">
        <v>0</v>
      </c>
      <c r="AI38" s="365">
        <v>0</v>
      </c>
      <c r="AJ38" s="365">
        <v>0</v>
      </c>
      <c r="AK38" s="365">
        <v>0</v>
      </c>
      <c r="AL38" s="365">
        <v>0</v>
      </c>
      <c r="AM38" s="365">
        <v>0</v>
      </c>
      <c r="AN38" s="190"/>
      <c r="AP38" s="115">
        <v>5.5524844709743497E-2</v>
      </c>
      <c r="AQ38" s="351">
        <v>7.2891205981188978E-2</v>
      </c>
    </row>
    <row r="39" spans="1:43">
      <c r="A39" s="363">
        <v>210039</v>
      </c>
      <c r="B39" s="363" t="s">
        <v>158</v>
      </c>
      <c r="C39" s="87">
        <v>68867.8</v>
      </c>
      <c r="D39" s="87">
        <v>81120</v>
      </c>
      <c r="E39" s="87">
        <v>149987.79999999999</v>
      </c>
      <c r="F39" s="87">
        <v>33168.647469999996</v>
      </c>
      <c r="G39" s="87">
        <v>26069.940639999983</v>
      </c>
      <c r="H39" s="87">
        <v>59238.588109999982</v>
      </c>
      <c r="I39" s="87">
        <v>1220.6296199999999</v>
      </c>
      <c r="J39" s="87">
        <v>762.0219699999999</v>
      </c>
      <c r="K39" s="87">
        <v>1982.6515899999995</v>
      </c>
      <c r="L39" s="87">
        <v>7981.4434000000001</v>
      </c>
      <c r="M39" s="87">
        <v>14832.349909999986</v>
      </c>
      <c r="N39" s="87">
        <v>22813.793309999983</v>
      </c>
      <c r="O39" s="87">
        <v>9435.5370000000003</v>
      </c>
      <c r="P39" s="87">
        <v>11705.736000000001</v>
      </c>
      <c r="Q39" s="87">
        <v>21141.273000000001</v>
      </c>
      <c r="R39" s="87">
        <v>1122.7546200000002</v>
      </c>
      <c r="S39" s="87">
        <v>1763.2829999999999</v>
      </c>
      <c r="T39" s="87">
        <v>3959.6179999999999</v>
      </c>
      <c r="U39" s="87">
        <v>5722.9009999999998</v>
      </c>
      <c r="V39" s="87">
        <v>15298.259510000013</v>
      </c>
      <c r="W39" s="87">
        <v>23790.333480000023</v>
      </c>
      <c r="X39" s="87">
        <v>39088.592990000034</v>
      </c>
      <c r="Y39" s="87">
        <v>115605.57240481254</v>
      </c>
      <c r="Z39" s="87">
        <v>125609.15210539442</v>
      </c>
      <c r="AA39" s="131">
        <v>0.39495604382489768</v>
      </c>
      <c r="AB39" s="351">
        <v>1.3218752391861202E-2</v>
      </c>
      <c r="AC39" s="351">
        <v>0.14095328420044831</v>
      </c>
      <c r="AD39" s="351">
        <v>0.15417203659230955</v>
      </c>
      <c r="AE39" s="351">
        <v>3.8155776669835814E-2</v>
      </c>
      <c r="AF39" s="364">
        <v>0</v>
      </c>
      <c r="AG39" s="365">
        <v>0</v>
      </c>
      <c r="AH39" s="365">
        <v>0</v>
      </c>
      <c r="AI39" s="365">
        <v>0</v>
      </c>
      <c r="AJ39" s="365">
        <v>0</v>
      </c>
      <c r="AK39" s="365">
        <v>0</v>
      </c>
      <c r="AL39" s="365">
        <v>0</v>
      </c>
      <c r="AM39" s="365">
        <v>0</v>
      </c>
      <c r="AN39" s="190"/>
      <c r="AP39" s="115">
        <v>3.8155776669835814E-2</v>
      </c>
      <c r="AQ39" s="351">
        <v>4.1492171161992601E-2</v>
      </c>
    </row>
    <row r="40" spans="1:43">
      <c r="A40" s="363">
        <v>210040</v>
      </c>
      <c r="B40" s="363" t="s">
        <v>319</v>
      </c>
      <c r="C40" s="87">
        <v>140979.99039254503</v>
      </c>
      <c r="D40" s="87">
        <v>125947.58296745496</v>
      </c>
      <c r="E40" s="87">
        <v>266927.57335999998</v>
      </c>
      <c r="F40" s="87">
        <v>74851.370603482734</v>
      </c>
      <c r="G40" s="87">
        <v>40538.721901632001</v>
      </c>
      <c r="H40" s="87">
        <v>115390.09250511474</v>
      </c>
      <c r="I40" s="87">
        <v>6355.7211797044083</v>
      </c>
      <c r="J40" s="87">
        <v>2056.1262377548346</v>
      </c>
      <c r="K40" s="87">
        <v>8411.8474174592429</v>
      </c>
      <c r="L40" s="87">
        <v>11096.137719347427</v>
      </c>
      <c r="M40" s="87">
        <v>15525.779015589012</v>
      </c>
      <c r="N40" s="87">
        <v>26621.916734936443</v>
      </c>
      <c r="O40" s="87">
        <v>24820.131933160817</v>
      </c>
      <c r="P40" s="87">
        <v>24627.517196682715</v>
      </c>
      <c r="Q40" s="87">
        <v>49447.649129843528</v>
      </c>
      <c r="R40" s="87">
        <v>0</v>
      </c>
      <c r="S40" s="87">
        <v>6048.0999999999995</v>
      </c>
      <c r="T40" s="87">
        <v>5498.0550000000003</v>
      </c>
      <c r="U40" s="87">
        <v>11546.155000000001</v>
      </c>
      <c r="V40" s="87">
        <v>17808.528956849656</v>
      </c>
      <c r="W40" s="87">
        <v>37701.383615796389</v>
      </c>
      <c r="X40" s="87">
        <v>55509.912572646048</v>
      </c>
      <c r="Y40" s="87">
        <v>188140.60865503256</v>
      </c>
      <c r="Z40" s="87">
        <v>206397.8631847823</v>
      </c>
      <c r="AA40" s="131">
        <v>0.4322898944182525</v>
      </c>
      <c r="AB40" s="351">
        <v>3.1513594911059824E-2</v>
      </c>
      <c r="AC40" s="351">
        <v>0.18524743812492708</v>
      </c>
      <c r="AD40" s="351">
        <v>0.2167610330359869</v>
      </c>
      <c r="AE40" s="351">
        <v>4.3255759810276052E-2</v>
      </c>
      <c r="AF40" s="364">
        <v>0</v>
      </c>
      <c r="AG40" s="365">
        <v>0</v>
      </c>
      <c r="AH40" s="365">
        <v>0</v>
      </c>
      <c r="AI40" s="365">
        <v>0</v>
      </c>
      <c r="AJ40" s="365">
        <v>0</v>
      </c>
      <c r="AK40" s="365">
        <v>0</v>
      </c>
      <c r="AL40" s="365">
        <v>0</v>
      </c>
      <c r="AM40" s="365">
        <v>0</v>
      </c>
      <c r="AN40" s="190"/>
      <c r="AP40" s="115">
        <v>4.3255759810276052E-2</v>
      </c>
      <c r="AQ40" s="351">
        <v>4.8089696871341299E-2</v>
      </c>
    </row>
    <row r="41" spans="1:43">
      <c r="A41" s="363">
        <v>210043</v>
      </c>
      <c r="B41" s="363" t="s">
        <v>320</v>
      </c>
      <c r="C41" s="87">
        <v>247536.06919999991</v>
      </c>
      <c r="D41" s="87">
        <v>180539.0778399999</v>
      </c>
      <c r="E41" s="87">
        <v>428075.14703999984</v>
      </c>
      <c r="F41" s="87">
        <v>121299.41860643314</v>
      </c>
      <c r="G41" s="87">
        <v>59422.550577804337</v>
      </c>
      <c r="H41" s="87">
        <v>180721.96918423747</v>
      </c>
      <c r="I41" s="87">
        <v>11709.763020027349</v>
      </c>
      <c r="J41" s="87">
        <v>3754.6439750585168</v>
      </c>
      <c r="K41" s="87">
        <v>15464.406995085865</v>
      </c>
      <c r="L41" s="87">
        <v>18995.024537386184</v>
      </c>
      <c r="M41" s="87">
        <v>21073.592913729099</v>
      </c>
      <c r="N41" s="87">
        <v>40068.617451115279</v>
      </c>
      <c r="O41" s="87">
        <v>44316.282791126425</v>
      </c>
      <c r="P41" s="87">
        <v>35342.190946896728</v>
      </c>
      <c r="Q41" s="87">
        <v>79658.473738023153</v>
      </c>
      <c r="R41" s="87">
        <v>845.81839999998772</v>
      </c>
      <c r="S41" s="87">
        <v>14966.364170718249</v>
      </c>
      <c r="T41" s="87">
        <v>10915.635829281748</v>
      </c>
      <c r="U41" s="87">
        <v>25881.999999999996</v>
      </c>
      <c r="V41" s="87">
        <v>36249.216074308599</v>
      </c>
      <c r="W41" s="87">
        <v>50030.463597229478</v>
      </c>
      <c r="X41" s="87">
        <v>86279.679671538077</v>
      </c>
      <c r="Y41" s="87">
        <v>334580.25119947828</v>
      </c>
      <c r="Z41" s="87">
        <v>373907.02023528545</v>
      </c>
      <c r="AA41" s="131">
        <v>0.42217346751819396</v>
      </c>
      <c r="AB41" s="351">
        <v>3.6125449239501992E-2</v>
      </c>
      <c r="AC41" s="351">
        <v>0.18608525696676284</v>
      </c>
      <c r="AD41" s="351">
        <v>0.22221070620626482</v>
      </c>
      <c r="AE41" s="351">
        <v>6.0461346983036957E-2</v>
      </c>
      <c r="AF41" s="364">
        <v>0</v>
      </c>
      <c r="AG41" s="365">
        <v>0</v>
      </c>
      <c r="AH41" s="365">
        <v>0</v>
      </c>
      <c r="AI41" s="365">
        <v>0</v>
      </c>
      <c r="AJ41" s="365">
        <v>0</v>
      </c>
      <c r="AK41" s="365">
        <v>0</v>
      </c>
      <c r="AL41" s="365">
        <v>0</v>
      </c>
      <c r="AM41" s="365">
        <v>0</v>
      </c>
      <c r="AN41" s="190"/>
      <c r="AP41" s="115">
        <v>6.0461346983036957E-2</v>
      </c>
      <c r="AQ41" s="351">
        <v>6.3567443486671107E-2</v>
      </c>
    </row>
    <row r="42" spans="1:43">
      <c r="A42" s="363">
        <v>210044</v>
      </c>
      <c r="B42" s="363" t="s">
        <v>159</v>
      </c>
      <c r="C42" s="87">
        <v>239519.08214685554</v>
      </c>
      <c r="D42" s="87">
        <v>224033.85868314438</v>
      </c>
      <c r="E42" s="87">
        <v>463552.94082999992</v>
      </c>
      <c r="F42" s="87">
        <v>98992.017952442286</v>
      </c>
      <c r="G42" s="87">
        <v>79493.473361896555</v>
      </c>
      <c r="H42" s="87">
        <v>178485.49131433884</v>
      </c>
      <c r="I42" s="87">
        <v>4353.1079203162762</v>
      </c>
      <c r="J42" s="87">
        <v>1649.6013468816275</v>
      </c>
      <c r="K42" s="87">
        <v>6002.7092671979035</v>
      </c>
      <c r="L42" s="87">
        <v>23782.802704590686</v>
      </c>
      <c r="M42" s="87">
        <v>30669.051137057275</v>
      </c>
      <c r="N42" s="87">
        <v>54451.853841647957</v>
      </c>
      <c r="O42" s="87">
        <v>35625.324861520538</v>
      </c>
      <c r="P42" s="87">
        <v>24739.943307874069</v>
      </c>
      <c r="Q42" s="87">
        <v>60365.268169394607</v>
      </c>
      <c r="R42" s="87">
        <v>340.06441999999993</v>
      </c>
      <c r="S42" s="87">
        <v>4867.2349999999997</v>
      </c>
      <c r="T42" s="87">
        <v>5562.268</v>
      </c>
      <c r="U42" s="87">
        <v>10429.503000000001</v>
      </c>
      <c r="V42" s="87">
        <v>71898.593707985739</v>
      </c>
      <c r="W42" s="87">
        <v>81919.52152943486</v>
      </c>
      <c r="X42" s="87">
        <v>153818.1152374206</v>
      </c>
      <c r="Y42" s="87">
        <v>372374.94379049196</v>
      </c>
      <c r="Z42" s="87">
        <v>397547.8417248081</v>
      </c>
      <c r="AA42" s="131">
        <v>0.38503798723562693</v>
      </c>
      <c r="AB42" s="351">
        <v>1.2949349984599266E-2</v>
      </c>
      <c r="AC42" s="351">
        <v>0.13022302924302348</v>
      </c>
      <c r="AD42" s="351">
        <v>0.14317237922762274</v>
      </c>
      <c r="AE42" s="351">
        <v>2.249905476023038E-2</v>
      </c>
      <c r="AF42" s="364">
        <v>0</v>
      </c>
      <c r="AG42" s="365">
        <v>0</v>
      </c>
      <c r="AH42" s="365">
        <v>0</v>
      </c>
      <c r="AI42" s="365">
        <v>0</v>
      </c>
      <c r="AJ42" s="365">
        <v>0</v>
      </c>
      <c r="AK42" s="365">
        <v>0</v>
      </c>
      <c r="AL42" s="365">
        <v>0</v>
      </c>
      <c r="AM42" s="365">
        <v>0</v>
      </c>
      <c r="AN42" s="190"/>
      <c r="AP42" s="115">
        <v>2.249905476023038E-2</v>
      </c>
      <c r="AQ42" s="351">
        <v>3.2964043215947411E-2</v>
      </c>
    </row>
    <row r="43" spans="1:43">
      <c r="A43" s="363">
        <v>210045</v>
      </c>
      <c r="B43" s="363" t="s">
        <v>321</v>
      </c>
      <c r="C43" s="87">
        <v>4739.7</v>
      </c>
      <c r="D43" s="87">
        <v>12407.6</v>
      </c>
      <c r="E43" s="87">
        <v>17147.3</v>
      </c>
      <c r="F43" s="87">
        <v>1890.4</v>
      </c>
      <c r="G43" s="87">
        <v>5593.6</v>
      </c>
      <c r="H43" s="87">
        <v>7484</v>
      </c>
      <c r="I43" s="87">
        <v>49.5</v>
      </c>
      <c r="J43" s="87">
        <v>185.4</v>
      </c>
      <c r="K43" s="87">
        <v>234.9</v>
      </c>
      <c r="L43" s="87">
        <v>120.9</v>
      </c>
      <c r="M43" s="87">
        <v>1459</v>
      </c>
      <c r="N43" s="87">
        <v>1579.9</v>
      </c>
      <c r="O43" s="87">
        <v>439.9</v>
      </c>
      <c r="P43" s="87">
        <v>4452.5</v>
      </c>
      <c r="Q43" s="87">
        <v>4892.3999999999996</v>
      </c>
      <c r="R43" s="87">
        <v>376.2</v>
      </c>
      <c r="S43" s="87">
        <v>117.9</v>
      </c>
      <c r="T43" s="87">
        <v>872.8</v>
      </c>
      <c r="U43" s="87">
        <v>990.7</v>
      </c>
      <c r="V43" s="87">
        <v>2121.0999999999995</v>
      </c>
      <c r="W43" s="87">
        <v>-155.69999999999959</v>
      </c>
      <c r="X43" s="87">
        <v>1965.4000000000003</v>
      </c>
      <c r="Y43" s="87">
        <v>15555.378535054397</v>
      </c>
      <c r="Z43" s="87">
        <v>17409.401404622524</v>
      </c>
      <c r="AA43" s="131">
        <v>0.43645355245432227</v>
      </c>
      <c r="AB43" s="351">
        <v>1.3698949688872301E-2</v>
      </c>
      <c r="AC43" s="351">
        <v>0.28531605558892653</v>
      </c>
      <c r="AD43" s="351">
        <v>0.29901500527779878</v>
      </c>
      <c r="AE43" s="351">
        <v>5.7775859756346484E-2</v>
      </c>
      <c r="AF43" s="364">
        <v>0</v>
      </c>
      <c r="AG43" s="365">
        <v>0</v>
      </c>
      <c r="AH43" s="365">
        <v>0</v>
      </c>
      <c r="AI43" s="365">
        <v>0</v>
      </c>
      <c r="AJ43" s="365">
        <v>0</v>
      </c>
      <c r="AK43" s="365">
        <v>0</v>
      </c>
      <c r="AL43" s="365">
        <v>0</v>
      </c>
      <c r="AM43" s="365">
        <v>0</v>
      </c>
      <c r="AN43" s="190"/>
      <c r="AP43" s="115">
        <v>5.7775859756346484E-2</v>
      </c>
      <c r="AQ43" s="351">
        <v>4.5811781694225145E-2</v>
      </c>
    </row>
    <row r="44" spans="1:43">
      <c r="A44" s="363">
        <v>210048</v>
      </c>
      <c r="B44" s="363" t="s">
        <v>160</v>
      </c>
      <c r="C44" s="87">
        <v>191006.50700000001</v>
      </c>
      <c r="D44" s="87">
        <v>121998.537</v>
      </c>
      <c r="E44" s="87">
        <v>313005.04399999999</v>
      </c>
      <c r="F44" s="87">
        <v>78486.303</v>
      </c>
      <c r="G44" s="87">
        <v>27656.936000000002</v>
      </c>
      <c r="H44" s="87">
        <v>106143.239</v>
      </c>
      <c r="I44" s="87">
        <v>11395.753000000001</v>
      </c>
      <c r="J44" s="87">
        <v>5136.4390000000003</v>
      </c>
      <c r="K44" s="87">
        <v>16532.192000000003</v>
      </c>
      <c r="L44" s="87">
        <v>19752.919000000002</v>
      </c>
      <c r="M44" s="87">
        <v>17647.222000000002</v>
      </c>
      <c r="N44" s="87">
        <v>37400.141000000003</v>
      </c>
      <c r="O44" s="87">
        <v>20728.331999999999</v>
      </c>
      <c r="P44" s="87">
        <v>15258.14</v>
      </c>
      <c r="Q44" s="87">
        <v>35986.471999999994</v>
      </c>
      <c r="R44" s="87">
        <v>2046.71558</v>
      </c>
      <c r="S44" s="87">
        <v>5243</v>
      </c>
      <c r="T44" s="87">
        <v>6123</v>
      </c>
      <c r="U44" s="87">
        <v>11366</v>
      </c>
      <c r="V44" s="87">
        <v>55400.199999999983</v>
      </c>
      <c r="W44" s="87">
        <v>50176.800000000003</v>
      </c>
      <c r="X44" s="87">
        <v>105577</v>
      </c>
      <c r="Y44" s="87">
        <v>249496.61043307692</v>
      </c>
      <c r="Z44" s="87">
        <v>270062.04154570273</v>
      </c>
      <c r="AA44" s="131">
        <v>0.33911031478457582</v>
      </c>
      <c r="AB44" s="351">
        <v>5.2817653635000218E-2</v>
      </c>
      <c r="AC44" s="351">
        <v>0.1149709012357002</v>
      </c>
      <c r="AD44" s="351">
        <v>0.16778855487070041</v>
      </c>
      <c r="AE44" s="351">
        <v>3.6312513864792541E-2</v>
      </c>
      <c r="AF44" s="364">
        <v>0</v>
      </c>
      <c r="AG44" s="365">
        <v>0</v>
      </c>
      <c r="AH44" s="365">
        <v>0</v>
      </c>
      <c r="AI44" s="365">
        <v>0</v>
      </c>
      <c r="AJ44" s="365">
        <v>0</v>
      </c>
      <c r="AK44" s="365">
        <v>0</v>
      </c>
      <c r="AL44" s="365">
        <v>0</v>
      </c>
      <c r="AM44" s="365">
        <v>0</v>
      </c>
      <c r="AN44" s="190"/>
      <c r="AP44" s="115">
        <v>3.6312513864792541E-2</v>
      </c>
      <c r="AQ44" s="351">
        <v>2.8864509530274345E-2</v>
      </c>
    </row>
    <row r="45" spans="1:43">
      <c r="A45" s="363">
        <v>210049</v>
      </c>
      <c r="B45" s="363" t="s">
        <v>322</v>
      </c>
      <c r="C45" s="87">
        <v>141620.63742000004</v>
      </c>
      <c r="D45" s="87">
        <v>201593.4871599999</v>
      </c>
      <c r="E45" s="87">
        <v>343214.12457999995</v>
      </c>
      <c r="F45" s="87">
        <v>72872.726952658762</v>
      </c>
      <c r="G45" s="87">
        <v>86910.850584024825</v>
      </c>
      <c r="H45" s="87">
        <v>159783.57753668359</v>
      </c>
      <c r="I45" s="87">
        <v>2664.1549719323675</v>
      </c>
      <c r="J45" s="87">
        <v>2732.0809078546222</v>
      </c>
      <c r="K45" s="87">
        <v>5396.2358797869892</v>
      </c>
      <c r="L45" s="87">
        <v>10995.512508883099</v>
      </c>
      <c r="M45" s="87">
        <v>20962.140259810178</v>
      </c>
      <c r="N45" s="87">
        <v>31957.652768693275</v>
      </c>
      <c r="O45" s="87">
        <v>17987.883767437019</v>
      </c>
      <c r="P45" s="87">
        <v>22042.722249881535</v>
      </c>
      <c r="Q45" s="87">
        <v>40030.606017318554</v>
      </c>
      <c r="R45" s="87">
        <v>452.50008000000082</v>
      </c>
      <c r="S45" s="87">
        <v>4140.1114223537434</v>
      </c>
      <c r="T45" s="87">
        <v>5893.3465776462554</v>
      </c>
      <c r="U45" s="87">
        <v>10033.458000000001</v>
      </c>
      <c r="V45" s="87">
        <v>32960.247796735057</v>
      </c>
      <c r="W45" s="87">
        <v>63052.346580782498</v>
      </c>
      <c r="X45" s="87">
        <v>96012.594377517555</v>
      </c>
      <c r="Y45" s="87">
        <v>249579.9229921668</v>
      </c>
      <c r="Z45" s="87">
        <v>269138.75078808889</v>
      </c>
      <c r="AA45" s="131">
        <v>0.46555070462853154</v>
      </c>
      <c r="AB45" s="351">
        <v>1.572265094389837E-2</v>
      </c>
      <c r="AC45" s="351">
        <v>0.11663449476709342</v>
      </c>
      <c r="AD45" s="351">
        <v>0.1323571457109918</v>
      </c>
      <c r="AE45" s="351">
        <v>2.9233814349214807E-2</v>
      </c>
      <c r="AF45" s="364">
        <v>0</v>
      </c>
      <c r="AG45" s="365">
        <v>0</v>
      </c>
      <c r="AH45" s="365">
        <v>0</v>
      </c>
      <c r="AI45" s="365">
        <v>0</v>
      </c>
      <c r="AJ45" s="365">
        <v>0</v>
      </c>
      <c r="AK45" s="365">
        <v>0</v>
      </c>
      <c r="AL45" s="365">
        <v>0</v>
      </c>
      <c r="AM45" s="365">
        <v>0</v>
      </c>
      <c r="AN45" s="190"/>
      <c r="AP45" s="115">
        <v>2.9233814349214807E-2</v>
      </c>
      <c r="AQ45" s="351">
        <v>3.7710443233977181E-2</v>
      </c>
    </row>
    <row r="46" spans="1:43">
      <c r="A46" s="363">
        <v>210051</v>
      </c>
      <c r="B46" s="363" t="s">
        <v>323</v>
      </c>
      <c r="C46" s="87">
        <v>141188.03586999999</v>
      </c>
      <c r="D46" s="87">
        <v>106520.10618</v>
      </c>
      <c r="E46" s="87">
        <v>247708.14204999999</v>
      </c>
      <c r="F46" s="87">
        <v>68821.453702069644</v>
      </c>
      <c r="G46" s="87">
        <v>32416.549742290204</v>
      </c>
      <c r="H46" s="87">
        <v>101238.00344435984</v>
      </c>
      <c r="I46" s="87">
        <v>9421.2012446022036</v>
      </c>
      <c r="J46" s="87">
        <v>3950.3493347693457</v>
      </c>
      <c r="K46" s="87">
        <v>13371.550579371547</v>
      </c>
      <c r="L46" s="87">
        <v>17708.521344099598</v>
      </c>
      <c r="M46" s="87">
        <v>20398.939940250759</v>
      </c>
      <c r="N46" s="87">
        <v>38107.461284350349</v>
      </c>
      <c r="O46" s="87">
        <v>20042.88785856832</v>
      </c>
      <c r="P46" s="87">
        <v>21905.547907426851</v>
      </c>
      <c r="Q46" s="87">
        <v>41948.435765995171</v>
      </c>
      <c r="R46" s="87">
        <v>1676.68444</v>
      </c>
      <c r="S46" s="87">
        <v>9273.7822153283741</v>
      </c>
      <c r="T46" s="87">
        <v>7022.5431346716232</v>
      </c>
      <c r="U46" s="87">
        <v>16296.325349999996</v>
      </c>
      <c r="V46" s="87">
        <v>15920.189505331868</v>
      </c>
      <c r="W46" s="87">
        <v>20826.176120591233</v>
      </c>
      <c r="X46" s="87">
        <v>36746.365625923107</v>
      </c>
      <c r="Y46" s="87">
        <v>185718.65410077377</v>
      </c>
      <c r="Z46" s="87">
        <v>208688.53914525401</v>
      </c>
      <c r="AA46" s="131">
        <v>0.40869873152544539</v>
      </c>
      <c r="AB46" s="351">
        <v>5.398107009608305E-2</v>
      </c>
      <c r="AC46" s="351">
        <v>0.16934621292152707</v>
      </c>
      <c r="AD46" s="351">
        <v>0.22332728301761012</v>
      </c>
      <c r="AE46" s="351">
        <v>6.578841218190791E-2</v>
      </c>
      <c r="AF46" s="364">
        <v>0</v>
      </c>
      <c r="AG46" s="365">
        <v>0</v>
      </c>
      <c r="AH46" s="365">
        <v>0</v>
      </c>
      <c r="AI46" s="365">
        <v>0</v>
      </c>
      <c r="AJ46" s="365">
        <v>0</v>
      </c>
      <c r="AK46" s="365">
        <v>0</v>
      </c>
      <c r="AL46" s="365">
        <v>0</v>
      </c>
      <c r="AM46" s="365">
        <v>0</v>
      </c>
      <c r="AN46" s="190"/>
      <c r="AP46" s="115">
        <v>6.578841218190791E-2</v>
      </c>
      <c r="AQ46" s="351">
        <v>4.6962984937254572E-2</v>
      </c>
    </row>
    <row r="47" spans="1:43">
      <c r="A47" s="363">
        <v>210055</v>
      </c>
      <c r="B47" s="363" t="s">
        <v>324</v>
      </c>
      <c r="C47" s="87">
        <v>57799.409979999989</v>
      </c>
      <c r="D47" s="87">
        <v>45197.280989999999</v>
      </c>
      <c r="E47" s="87">
        <v>102996.69097</v>
      </c>
      <c r="F47" s="87">
        <v>33035.885235757691</v>
      </c>
      <c r="G47" s="87">
        <v>9682.5244150749113</v>
      </c>
      <c r="H47" s="87">
        <v>42718.409650832604</v>
      </c>
      <c r="I47" s="87">
        <v>4780.8203588785045</v>
      </c>
      <c r="J47" s="87">
        <v>2279.942210764345</v>
      </c>
      <c r="K47" s="87">
        <v>7060.7625696428495</v>
      </c>
      <c r="L47" s="87">
        <v>5224.1837065175532</v>
      </c>
      <c r="M47" s="87">
        <v>7840.5618676893073</v>
      </c>
      <c r="N47" s="87">
        <v>13064.74557420686</v>
      </c>
      <c r="O47" s="87">
        <v>6917.2101305196029</v>
      </c>
      <c r="P47" s="87">
        <v>9887.9527739606983</v>
      </c>
      <c r="Q47" s="87">
        <v>16805.162904480301</v>
      </c>
      <c r="R47" s="87">
        <v>848.40625999999793</v>
      </c>
      <c r="S47" s="87">
        <v>3889.1850816610477</v>
      </c>
      <c r="T47" s="87">
        <v>5941.8149183389523</v>
      </c>
      <c r="U47" s="87">
        <v>9831</v>
      </c>
      <c r="V47" s="87">
        <v>3952.1254666655914</v>
      </c>
      <c r="W47" s="87">
        <v>9564.4848041717814</v>
      </c>
      <c r="X47" s="87">
        <v>13516.610270837373</v>
      </c>
      <c r="Y47" s="87">
        <v>78866.771700810263</v>
      </c>
      <c r="Z47" s="87">
        <v>91672.615532435462</v>
      </c>
      <c r="AA47" s="131">
        <v>0.41475516590407024</v>
      </c>
      <c r="AB47" s="351">
        <v>6.8553295286927704E-2</v>
      </c>
      <c r="AC47" s="351">
        <v>0.16316216323275051</v>
      </c>
      <c r="AD47" s="351">
        <v>0.2317154585196782</v>
      </c>
      <c r="AE47" s="351">
        <v>9.5449668405982971E-2</v>
      </c>
      <c r="AF47" s="364">
        <v>0</v>
      </c>
      <c r="AG47" s="365">
        <v>0</v>
      </c>
      <c r="AH47" s="365">
        <v>0</v>
      </c>
      <c r="AI47" s="365">
        <v>0</v>
      </c>
      <c r="AJ47" s="365">
        <v>0</v>
      </c>
      <c r="AK47" s="365">
        <v>0</v>
      </c>
      <c r="AL47" s="365">
        <v>0</v>
      </c>
      <c r="AM47" s="365">
        <v>0</v>
      </c>
      <c r="AN47" s="190"/>
      <c r="AP47" s="115">
        <v>9.5449668405982971E-2</v>
      </c>
      <c r="AQ47" s="351">
        <v>0.1048768116386315</v>
      </c>
    </row>
    <row r="48" spans="1:43">
      <c r="A48" s="363">
        <v>210056</v>
      </c>
      <c r="B48" s="363" t="s">
        <v>325</v>
      </c>
      <c r="C48" s="87">
        <v>156715.81600999995</v>
      </c>
      <c r="D48" s="87">
        <v>119038.54676645606</v>
      </c>
      <c r="E48" s="87">
        <v>275754.36277645599</v>
      </c>
      <c r="F48" s="87">
        <v>87549.488541176048</v>
      </c>
      <c r="G48" s="87">
        <v>44668.6</v>
      </c>
      <c r="H48" s="87">
        <v>132218.08854117605</v>
      </c>
      <c r="I48" s="87">
        <v>7172.6840702494501</v>
      </c>
      <c r="J48" s="87">
        <v>3498.4174366122561</v>
      </c>
      <c r="K48" s="87">
        <v>10671.101506861703</v>
      </c>
      <c r="L48" s="87">
        <v>9094.7633641448065</v>
      </c>
      <c r="M48" s="87">
        <v>13147.194735913552</v>
      </c>
      <c r="N48" s="87">
        <v>22241.958100058357</v>
      </c>
      <c r="O48" s="87">
        <v>37033.242534305558</v>
      </c>
      <c r="P48" s="87">
        <v>35108.987897537794</v>
      </c>
      <c r="Q48" s="87">
        <v>72142.230431843345</v>
      </c>
      <c r="R48" s="87">
        <v>3681.6245400000489</v>
      </c>
      <c r="S48" s="87">
        <v>4151.9520994103741</v>
      </c>
      <c r="T48" s="87">
        <v>7316.7298705896228</v>
      </c>
      <c r="U48" s="87">
        <v>11468.681969999998</v>
      </c>
      <c r="V48" s="87">
        <v>11713.685400713715</v>
      </c>
      <c r="W48" s="87">
        <v>15298.616825802836</v>
      </c>
      <c r="X48" s="87">
        <v>27012.302226516549</v>
      </c>
      <c r="Y48" s="87">
        <v>210698.85490698172</v>
      </c>
      <c r="Z48" s="87">
        <v>232123.79175918872</v>
      </c>
      <c r="AA48" s="131">
        <v>0.47947777583617213</v>
      </c>
      <c r="AB48" s="351">
        <v>3.8697851955700066E-2</v>
      </c>
      <c r="AC48" s="351">
        <v>0.26161773001693694</v>
      </c>
      <c r="AD48" s="351">
        <v>0.30031558197263697</v>
      </c>
      <c r="AE48" s="351">
        <v>4.159021041236341E-2</v>
      </c>
      <c r="AF48" s="364">
        <v>0</v>
      </c>
      <c r="AG48" s="365">
        <v>0</v>
      </c>
      <c r="AH48" s="365">
        <v>0</v>
      </c>
      <c r="AI48" s="365">
        <v>0</v>
      </c>
      <c r="AJ48" s="365">
        <v>0</v>
      </c>
      <c r="AK48" s="365">
        <v>0</v>
      </c>
      <c r="AL48" s="365">
        <v>0</v>
      </c>
      <c r="AM48" s="365">
        <v>0</v>
      </c>
      <c r="AN48" s="190"/>
      <c r="AP48" s="115">
        <v>4.159021041236341E-2</v>
      </c>
      <c r="AQ48" s="351">
        <v>3.9661820058255297E-2</v>
      </c>
    </row>
    <row r="49" spans="1:43">
      <c r="A49" s="363">
        <v>210057</v>
      </c>
      <c r="B49" s="363" t="s">
        <v>326</v>
      </c>
      <c r="C49" s="87">
        <v>254583.80045304951</v>
      </c>
      <c r="D49" s="87">
        <v>175603.09954695049</v>
      </c>
      <c r="E49" s="87">
        <v>430186.9</v>
      </c>
      <c r="F49" s="87">
        <v>96835.648000000001</v>
      </c>
      <c r="G49" s="87">
        <v>47035.648000000001</v>
      </c>
      <c r="H49" s="87">
        <v>143871.296</v>
      </c>
      <c r="I49" s="87">
        <v>22986.991000000002</v>
      </c>
      <c r="J49" s="87">
        <v>9304.009</v>
      </c>
      <c r="K49" s="87">
        <v>32291</v>
      </c>
      <c r="L49" s="87">
        <v>48625.548999999999</v>
      </c>
      <c r="M49" s="87">
        <v>39482.019</v>
      </c>
      <c r="N49" s="87">
        <v>88107.567999999999</v>
      </c>
      <c r="O49" s="87">
        <v>32991.807999999997</v>
      </c>
      <c r="P49" s="87">
        <v>24014.384999999998</v>
      </c>
      <c r="Q49" s="87">
        <v>57006.192999999999</v>
      </c>
      <c r="R49" s="87">
        <v>7622.2910000000002</v>
      </c>
      <c r="S49" s="87">
        <v>12757.361526010098</v>
      </c>
      <c r="T49" s="87">
        <v>8799.5854739899023</v>
      </c>
      <c r="U49" s="87">
        <v>21556.947</v>
      </c>
      <c r="V49" s="87">
        <v>40386.442927039388</v>
      </c>
      <c r="W49" s="87">
        <v>46967.453072960583</v>
      </c>
      <c r="X49" s="87">
        <v>87353.895999999979</v>
      </c>
      <c r="Y49" s="87">
        <v>322163.52716871799</v>
      </c>
      <c r="Z49" s="87">
        <v>354581.52013724647</v>
      </c>
      <c r="AA49" s="131">
        <v>0.33443904498254129</v>
      </c>
      <c r="AB49" s="351">
        <v>7.5062722737489207E-2</v>
      </c>
      <c r="AC49" s="351">
        <v>0.13251494408593101</v>
      </c>
      <c r="AD49" s="351">
        <v>0.20757766682342021</v>
      </c>
      <c r="AE49" s="351">
        <v>5.0110654229591836E-2</v>
      </c>
      <c r="AF49" s="364">
        <v>0</v>
      </c>
      <c r="AG49" s="365">
        <v>0</v>
      </c>
      <c r="AH49" s="365">
        <v>0</v>
      </c>
      <c r="AI49" s="365">
        <v>0</v>
      </c>
      <c r="AJ49" s="365">
        <v>0</v>
      </c>
      <c r="AK49" s="365">
        <v>0</v>
      </c>
      <c r="AL49" s="365">
        <v>0</v>
      </c>
      <c r="AM49" s="365">
        <v>0</v>
      </c>
      <c r="AN49" s="190"/>
      <c r="AP49" s="115">
        <v>5.0110654229591836E-2</v>
      </c>
      <c r="AQ49" s="351">
        <v>3.4484829849728754E-2</v>
      </c>
    </row>
    <row r="50" spans="1:43">
      <c r="A50" s="363">
        <v>210058</v>
      </c>
      <c r="B50" s="363" t="s">
        <v>347</v>
      </c>
      <c r="C50" s="87">
        <v>75066.238130000012</v>
      </c>
      <c r="D50" s="87">
        <v>49836.677750000017</v>
      </c>
      <c r="E50" s="87">
        <v>124902.91588000002</v>
      </c>
      <c r="F50" s="87">
        <v>31170.03843227819</v>
      </c>
      <c r="G50" s="87">
        <v>9327.2570366259934</v>
      </c>
      <c r="H50" s="87">
        <v>40497.29546890418</v>
      </c>
      <c r="I50" s="87">
        <v>5907.5664687416102</v>
      </c>
      <c r="J50" s="87">
        <v>3427.3099103423697</v>
      </c>
      <c r="K50" s="87">
        <v>9334.8763790839803</v>
      </c>
      <c r="L50" s="87">
        <v>5702.171115082002</v>
      </c>
      <c r="M50" s="87">
        <v>7052.0722109779826</v>
      </c>
      <c r="N50" s="87">
        <v>12754.243326059985</v>
      </c>
      <c r="O50" s="87">
        <v>13178.927151373584</v>
      </c>
      <c r="P50" s="87">
        <v>12133.636365932389</v>
      </c>
      <c r="Q50" s="87">
        <v>25312.563517305971</v>
      </c>
      <c r="R50" s="87">
        <v>28.631680000000006</v>
      </c>
      <c r="S50" s="87">
        <v>3808.0823965706559</v>
      </c>
      <c r="T50" s="87">
        <v>2528.1961634293439</v>
      </c>
      <c r="U50" s="87">
        <v>6336.2785600000007</v>
      </c>
      <c r="V50" s="87">
        <v>15299.452565953969</v>
      </c>
      <c r="W50" s="87">
        <v>15368.206062691934</v>
      </c>
      <c r="X50" s="87">
        <v>30667.658628645899</v>
      </c>
      <c r="Y50" s="87">
        <v>106244.60833453204</v>
      </c>
      <c r="Z50" s="87">
        <v>117254.67697619948</v>
      </c>
      <c r="AA50" s="131">
        <v>0.32423018456840347</v>
      </c>
      <c r="AB50" s="351">
        <v>7.4737057284174416E-2</v>
      </c>
      <c r="AC50" s="351">
        <v>0.20265790705498754</v>
      </c>
      <c r="AD50" s="351">
        <v>0.27739496433916194</v>
      </c>
      <c r="AE50" s="351">
        <v>5.0729628810968312E-2</v>
      </c>
      <c r="AF50" s="364">
        <v>0</v>
      </c>
      <c r="AG50" s="365">
        <v>0</v>
      </c>
      <c r="AH50" s="365">
        <v>0</v>
      </c>
      <c r="AI50" s="365">
        <v>0</v>
      </c>
      <c r="AJ50" s="365">
        <v>0</v>
      </c>
      <c r="AK50" s="365">
        <v>0</v>
      </c>
      <c r="AL50" s="365">
        <v>0</v>
      </c>
      <c r="AM50" s="365">
        <v>0</v>
      </c>
      <c r="AN50" s="190"/>
      <c r="AP50" s="115">
        <v>5.0729628810968312E-2</v>
      </c>
      <c r="AQ50" s="351">
        <v>5.9145829349053027E-2</v>
      </c>
    </row>
    <row r="51" spans="1:43">
      <c r="A51" s="363">
        <v>210060</v>
      </c>
      <c r="B51" s="363" t="s">
        <v>327</v>
      </c>
      <c r="C51" s="87">
        <v>19176.713</v>
      </c>
      <c r="D51" s="87">
        <v>34255.832999999999</v>
      </c>
      <c r="E51" s="87">
        <v>53432.546000000002</v>
      </c>
      <c r="F51" s="87">
        <v>12754.027</v>
      </c>
      <c r="G51" s="87">
        <v>9400.4290000000001</v>
      </c>
      <c r="H51" s="87">
        <v>22154.455999999998</v>
      </c>
      <c r="I51" s="87">
        <v>1577.596</v>
      </c>
      <c r="J51" s="87">
        <v>2789.3330000000001</v>
      </c>
      <c r="K51" s="87">
        <v>4366.9290000000001</v>
      </c>
      <c r="L51" s="87">
        <v>2400.8000000000002</v>
      </c>
      <c r="M51" s="87">
        <v>5692.2</v>
      </c>
      <c r="N51" s="87">
        <v>8093</v>
      </c>
      <c r="O51" s="87">
        <v>2404.7153800000001</v>
      </c>
      <c r="P51" s="87">
        <v>9201.5937299999914</v>
      </c>
      <c r="Q51" s="87">
        <v>11606.309109999991</v>
      </c>
      <c r="R51" s="87">
        <v>542.97435999999993</v>
      </c>
      <c r="S51" s="87">
        <v>1201.7506249999999</v>
      </c>
      <c r="T51" s="87">
        <v>4082.7573749999997</v>
      </c>
      <c r="U51" s="87">
        <v>5284.5079999999998</v>
      </c>
      <c r="V51" s="87">
        <v>-1162.176005</v>
      </c>
      <c r="W51" s="87">
        <v>3089.5198950000081</v>
      </c>
      <c r="X51" s="87">
        <v>1927.3438900000128</v>
      </c>
      <c r="Y51" s="87">
        <v>42565.934132251787</v>
      </c>
      <c r="Z51" s="87">
        <v>49830.222651195101</v>
      </c>
      <c r="AA51" s="131">
        <v>0.41462474949256578</v>
      </c>
      <c r="AB51" s="351">
        <v>8.1727885472648074E-2</v>
      </c>
      <c r="AC51" s="351">
        <v>0.2172142257641998</v>
      </c>
      <c r="AD51" s="351">
        <v>0.29894211123684789</v>
      </c>
      <c r="AE51" s="351">
        <v>9.8900546494640168E-2</v>
      </c>
      <c r="AF51" s="364">
        <v>0</v>
      </c>
      <c r="AG51" s="365">
        <v>0</v>
      </c>
      <c r="AH51" s="365">
        <v>0</v>
      </c>
      <c r="AI51" s="365">
        <v>0</v>
      </c>
      <c r="AJ51" s="365">
        <v>0</v>
      </c>
      <c r="AK51" s="365">
        <v>0</v>
      </c>
      <c r="AL51" s="365">
        <v>-4.7748471843078732E-12</v>
      </c>
      <c r="AM51" s="365">
        <v>-4.7748471843078732E-12</v>
      </c>
      <c r="AN51" s="190"/>
      <c r="AP51" s="115">
        <v>9.8900546494640168E-2</v>
      </c>
      <c r="AQ51" s="351">
        <v>8.5605122206303161E-2</v>
      </c>
    </row>
    <row r="52" spans="1:43">
      <c r="A52" s="363">
        <v>210061</v>
      </c>
      <c r="B52" s="363" t="s">
        <v>161</v>
      </c>
      <c r="C52" s="87">
        <v>38145.1</v>
      </c>
      <c r="D52" s="87">
        <v>72273.399999999994</v>
      </c>
      <c r="E52" s="87">
        <v>110418.5</v>
      </c>
      <c r="F52" s="87">
        <v>24954.400000000001</v>
      </c>
      <c r="G52" s="87">
        <v>33266.300000000003</v>
      </c>
      <c r="H52" s="87">
        <v>58220.700000000004</v>
      </c>
      <c r="I52" s="87">
        <v>597.79999999999995</v>
      </c>
      <c r="J52" s="87">
        <v>889.6</v>
      </c>
      <c r="K52" s="87">
        <v>1487.4</v>
      </c>
      <c r="L52" s="87">
        <v>3733.2</v>
      </c>
      <c r="M52" s="87">
        <v>14425.6</v>
      </c>
      <c r="N52" s="87">
        <v>18158.8</v>
      </c>
      <c r="O52" s="87">
        <v>3917.2</v>
      </c>
      <c r="P52" s="87">
        <v>8721.2999999999993</v>
      </c>
      <c r="Q52" s="87">
        <v>12638.5</v>
      </c>
      <c r="R52" s="87">
        <v>1746.6210000000001</v>
      </c>
      <c r="S52" s="87">
        <v>3671.3076600000004</v>
      </c>
      <c r="T52" s="87">
        <v>1795.9</v>
      </c>
      <c r="U52" s="87">
        <v>5467.20766</v>
      </c>
      <c r="V52" s="87">
        <v>1271.1923399999969</v>
      </c>
      <c r="W52" s="87">
        <v>13174.699999999995</v>
      </c>
      <c r="X52" s="87">
        <v>14445.892339999995</v>
      </c>
      <c r="Y52" s="87">
        <v>77803.127404143306</v>
      </c>
      <c r="Z52" s="87">
        <v>85982.873644601976</v>
      </c>
      <c r="AA52" s="131">
        <v>0.52727305659830559</v>
      </c>
      <c r="AB52" s="351">
        <v>1.3470568790555932E-2</v>
      </c>
      <c r="AC52" s="351">
        <v>0.11445998632475536</v>
      </c>
      <c r="AD52" s="351">
        <v>0.12793055511531129</v>
      </c>
      <c r="AE52" s="351">
        <v>4.9513511413395397E-2</v>
      </c>
      <c r="AF52" s="364">
        <v>0</v>
      </c>
      <c r="AG52" s="365">
        <v>0</v>
      </c>
      <c r="AH52" s="365">
        <v>0</v>
      </c>
      <c r="AI52" s="365">
        <v>0</v>
      </c>
      <c r="AJ52" s="365">
        <v>0</v>
      </c>
      <c r="AK52" s="365">
        <v>0</v>
      </c>
      <c r="AL52" s="365">
        <v>0</v>
      </c>
      <c r="AM52" s="365">
        <v>0</v>
      </c>
      <c r="AN52" s="190"/>
      <c r="AP52" s="115">
        <v>4.9513511413395397E-2</v>
      </c>
      <c r="AQ52" s="351">
        <v>5.6098283598299908E-2</v>
      </c>
    </row>
    <row r="53" spans="1:43">
      <c r="A53" s="363">
        <v>210062</v>
      </c>
      <c r="B53" s="363" t="s">
        <v>328</v>
      </c>
      <c r="C53" s="87">
        <v>158516.27984999999</v>
      </c>
      <c r="D53" s="87">
        <v>105727.29046000008</v>
      </c>
      <c r="E53" s="87">
        <v>264243.5703100001</v>
      </c>
      <c r="F53" s="87">
        <v>72569.566294254895</v>
      </c>
      <c r="G53" s="87">
        <v>29860.620010696301</v>
      </c>
      <c r="H53" s="87">
        <v>102430.1863049512</v>
      </c>
      <c r="I53" s="87">
        <v>6431.1531271935137</v>
      </c>
      <c r="J53" s="87">
        <v>4476.3653835431742</v>
      </c>
      <c r="K53" s="87">
        <v>10907.518510736689</v>
      </c>
      <c r="L53" s="87">
        <v>12017.459521062408</v>
      </c>
      <c r="M53" s="87">
        <v>12496.308507884713</v>
      </c>
      <c r="N53" s="87">
        <v>24513.768028947117</v>
      </c>
      <c r="O53" s="87">
        <v>32947.006915502599</v>
      </c>
      <c r="P53" s="87">
        <v>22804.819639588437</v>
      </c>
      <c r="Q53" s="87">
        <v>55751.826555091036</v>
      </c>
      <c r="R53" s="87">
        <v>1802.1553899999988</v>
      </c>
      <c r="S53" s="87">
        <v>6036.8771670114065</v>
      </c>
      <c r="T53" s="87">
        <v>7354.6955249885923</v>
      </c>
      <c r="U53" s="87">
        <v>13391.572691999998</v>
      </c>
      <c r="V53" s="87">
        <v>28514.21682497517</v>
      </c>
      <c r="W53" s="87">
        <v>28734.481393298869</v>
      </c>
      <c r="X53" s="87">
        <v>57248.698218274039</v>
      </c>
      <c r="Y53" s="87">
        <v>214650.11624036683</v>
      </c>
      <c r="Z53" s="87">
        <v>237316.55966641425</v>
      </c>
      <c r="AA53" s="131">
        <v>0.38763549169724038</v>
      </c>
      <c r="AB53" s="351">
        <v>4.1278274048221569E-2</v>
      </c>
      <c r="AC53" s="351">
        <v>0.21098650192201537</v>
      </c>
      <c r="AD53" s="351">
        <v>0.25226477597023694</v>
      </c>
      <c r="AE53" s="351">
        <v>5.0678897035373593E-2</v>
      </c>
      <c r="AF53" s="364">
        <v>0</v>
      </c>
      <c r="AG53" s="365">
        <v>0</v>
      </c>
      <c r="AH53" s="365">
        <v>0</v>
      </c>
      <c r="AI53" s="365">
        <v>0</v>
      </c>
      <c r="AJ53" s="365">
        <v>0</v>
      </c>
      <c r="AK53" s="365">
        <v>0</v>
      </c>
      <c r="AL53" s="365">
        <v>0</v>
      </c>
      <c r="AM53" s="365">
        <v>0</v>
      </c>
      <c r="AN53" s="190"/>
      <c r="AP53" s="115">
        <v>5.0678897035373593E-2</v>
      </c>
      <c r="AQ53" s="351">
        <v>4.3573761064091172E-2</v>
      </c>
    </row>
    <row r="54" spans="1:43">
      <c r="A54" s="363">
        <v>210063</v>
      </c>
      <c r="B54" s="363" t="s">
        <v>329</v>
      </c>
      <c r="C54" s="87">
        <v>246542.98308999999</v>
      </c>
      <c r="D54" s="87">
        <v>167844.19901999991</v>
      </c>
      <c r="E54" s="87">
        <v>414387.18210999994</v>
      </c>
      <c r="F54" s="87">
        <v>121066.905607186</v>
      </c>
      <c r="G54" s="87">
        <v>59383.613183295529</v>
      </c>
      <c r="H54" s="87">
        <v>180450.51879048155</v>
      </c>
      <c r="I54" s="87">
        <v>6250.5006825213968</v>
      </c>
      <c r="J54" s="87">
        <v>1641.0950850989943</v>
      </c>
      <c r="K54" s="87">
        <v>7891.5957676203907</v>
      </c>
      <c r="L54" s="87">
        <v>26333.923819140407</v>
      </c>
      <c r="M54" s="87">
        <v>24467.128705591411</v>
      </c>
      <c r="N54" s="87">
        <v>50801.052524731815</v>
      </c>
      <c r="O54" s="87">
        <v>28758.9993508277</v>
      </c>
      <c r="P54" s="87">
        <v>19720.128288957509</v>
      </c>
      <c r="Q54" s="87">
        <v>48479.127639785205</v>
      </c>
      <c r="R54" s="87">
        <v>429.35760000000101</v>
      </c>
      <c r="S54" s="87">
        <v>9635.9911244465984</v>
      </c>
      <c r="T54" s="87">
        <v>6560.0942755534024</v>
      </c>
      <c r="U54" s="87">
        <v>16196.0854</v>
      </c>
      <c r="V54" s="87">
        <v>54496.662505877917</v>
      </c>
      <c r="W54" s="87">
        <v>56072.139481503065</v>
      </c>
      <c r="X54" s="87">
        <v>110568.80198738098</v>
      </c>
      <c r="Y54" s="87">
        <v>310404.23354846786</v>
      </c>
      <c r="Z54" s="87">
        <v>337888.86886311223</v>
      </c>
      <c r="AA54" s="131">
        <v>0.43546356301769146</v>
      </c>
      <c r="AB54" s="351">
        <v>1.9044015134439051E-2</v>
      </c>
      <c r="AC54" s="351">
        <v>0.11698993051121045</v>
      </c>
      <c r="AD54" s="351">
        <v>0.1360339456456495</v>
      </c>
      <c r="AE54" s="351">
        <v>3.9084426592376389E-2</v>
      </c>
      <c r="AF54" s="364">
        <v>0</v>
      </c>
      <c r="AG54" s="365">
        <v>0</v>
      </c>
      <c r="AH54" s="365">
        <v>0</v>
      </c>
      <c r="AI54" s="365">
        <v>0</v>
      </c>
      <c r="AJ54" s="365">
        <v>0</v>
      </c>
      <c r="AK54" s="365">
        <v>0</v>
      </c>
      <c r="AL54" s="365">
        <v>0</v>
      </c>
      <c r="AM54" s="365">
        <v>0</v>
      </c>
      <c r="AN54" s="190"/>
      <c r="AP54" s="115">
        <v>3.9084426592376389E-2</v>
      </c>
      <c r="AQ54" s="351">
        <v>4.1197473195037144E-2</v>
      </c>
    </row>
    <row r="55" spans="1:43">
      <c r="A55" s="363">
        <v>210064</v>
      </c>
      <c r="B55" s="363" t="s">
        <v>349</v>
      </c>
      <c r="C55" s="87">
        <v>57520.38</v>
      </c>
      <c r="D55" s="87">
        <v>2356.8399999999997</v>
      </c>
      <c r="E55" s="87">
        <v>59877.219999999994</v>
      </c>
      <c r="F55" s="87">
        <v>47961.7</v>
      </c>
      <c r="G55" s="87">
        <v>2252.42</v>
      </c>
      <c r="H55" s="87">
        <v>50214.119999999995</v>
      </c>
      <c r="I55" s="87">
        <v>2044.92</v>
      </c>
      <c r="J55" s="87">
        <v>0.66</v>
      </c>
      <c r="K55" s="87">
        <v>2045.58</v>
      </c>
      <c r="L55" s="87">
        <v>2274.52</v>
      </c>
      <c r="M55" s="87">
        <v>3.29</v>
      </c>
      <c r="N55" s="87">
        <v>2277.81</v>
      </c>
      <c r="O55" s="87">
        <v>2463.4650000000001</v>
      </c>
      <c r="P55" s="87">
        <v>90.24</v>
      </c>
      <c r="Q55" s="87">
        <v>2553.7049999999999</v>
      </c>
      <c r="R55" s="87">
        <v>0</v>
      </c>
      <c r="S55" s="87">
        <v>1868.6130000000001</v>
      </c>
      <c r="T55" s="87">
        <v>0</v>
      </c>
      <c r="U55" s="87">
        <v>1868.6130000000001</v>
      </c>
      <c r="V55" s="87">
        <v>907.16199999999981</v>
      </c>
      <c r="W55" s="87">
        <v>10.22999999999962</v>
      </c>
      <c r="X55" s="87">
        <v>917.39199999999937</v>
      </c>
      <c r="Y55" s="87">
        <v>42025.736920000003</v>
      </c>
      <c r="Z55" s="87">
        <v>46045.279360392269</v>
      </c>
      <c r="AA55" s="131">
        <v>0.8386180921559151</v>
      </c>
      <c r="AB55" s="351">
        <v>3.4162908698834052E-2</v>
      </c>
      <c r="AC55" s="351">
        <v>4.2649024119690265E-2</v>
      </c>
      <c r="AD55" s="351">
        <v>7.6811932818524317E-2</v>
      </c>
      <c r="AE55" s="351">
        <v>3.1207410764895235E-2</v>
      </c>
      <c r="AF55" s="364">
        <v>0</v>
      </c>
      <c r="AG55" s="365">
        <v>0</v>
      </c>
      <c r="AH55" s="365">
        <v>0</v>
      </c>
      <c r="AI55" s="365">
        <v>0</v>
      </c>
      <c r="AJ55" s="365">
        <v>0</v>
      </c>
      <c r="AK55" s="365">
        <v>0</v>
      </c>
      <c r="AL55" s="365">
        <v>0</v>
      </c>
      <c r="AM55" s="365">
        <v>0</v>
      </c>
      <c r="AN55" s="190"/>
      <c r="AP55" s="115">
        <v>3.1207410764895235E-2</v>
      </c>
      <c r="AQ55" s="351">
        <v>4.2994228162244658E-2</v>
      </c>
    </row>
    <row r="56" spans="1:43">
      <c r="A56" s="363">
        <v>210065</v>
      </c>
      <c r="B56" s="363" t="s">
        <v>330</v>
      </c>
      <c r="C56" s="87">
        <v>54701.3</v>
      </c>
      <c r="D56" s="87">
        <v>41323.9</v>
      </c>
      <c r="E56" s="87">
        <v>96025.200000000012</v>
      </c>
      <c r="F56" s="87">
        <v>21140.978931641461</v>
      </c>
      <c r="G56" s="87">
        <v>7441.3270984100882</v>
      </c>
      <c r="H56" s="87">
        <v>28582.30603005155</v>
      </c>
      <c r="I56" s="87">
        <v>6191.5430700000006</v>
      </c>
      <c r="J56" s="87">
        <v>3154.5432577429951</v>
      </c>
      <c r="K56" s="87">
        <v>9346.0863277429962</v>
      </c>
      <c r="L56" s="87">
        <v>7542.5299185571876</v>
      </c>
      <c r="M56" s="87">
        <v>7131.4449294829628</v>
      </c>
      <c r="N56" s="87">
        <v>14673.97484804015</v>
      </c>
      <c r="O56" s="87">
        <v>7062.9480558230098</v>
      </c>
      <c r="P56" s="87">
        <v>5903.7268700159502</v>
      </c>
      <c r="Q56" s="87">
        <v>12966.674925838959</v>
      </c>
      <c r="R56" s="87">
        <v>1136.9314800000011</v>
      </c>
      <c r="S56" s="87">
        <v>2590.3323735835806</v>
      </c>
      <c r="T56" s="87">
        <v>6139.8356564164187</v>
      </c>
      <c r="U56" s="87">
        <v>8730.1680299999989</v>
      </c>
      <c r="V56" s="87">
        <v>12619.61163914021</v>
      </c>
      <c r="W56" s="87">
        <v>14168.554549186128</v>
      </c>
      <c r="X56" s="87">
        <v>26788.166188326337</v>
      </c>
      <c r="Y56" s="87">
        <v>265808.77897174493</v>
      </c>
      <c r="Z56" s="87">
        <v>306155.58471814683</v>
      </c>
      <c r="AA56" s="131">
        <v>0.29765422024688881</v>
      </c>
      <c r="AB56" s="351">
        <v>9.7329516915799136E-2</v>
      </c>
      <c r="AC56" s="351">
        <v>0.13503408403043116</v>
      </c>
      <c r="AD56" s="351">
        <v>0.23236360094623032</v>
      </c>
      <c r="AE56" s="351">
        <v>9.0915385023931192E-2</v>
      </c>
      <c r="AF56" s="364">
        <v>0</v>
      </c>
      <c r="AG56" s="365">
        <v>0</v>
      </c>
      <c r="AH56" s="365">
        <v>0</v>
      </c>
      <c r="AI56" s="365">
        <v>0</v>
      </c>
      <c r="AJ56" s="365">
        <v>0</v>
      </c>
      <c r="AK56" s="365">
        <v>0</v>
      </c>
      <c r="AL56" s="365">
        <v>0</v>
      </c>
      <c r="AM56" s="365">
        <v>0</v>
      </c>
      <c r="AN56" s="190"/>
      <c r="AP56" s="115">
        <v>9.0915385023931192E-2</v>
      </c>
      <c r="AQ56" s="351">
        <v>9.1588955967668764E-2</v>
      </c>
    </row>
    <row r="57" spans="1:43">
      <c r="A57" s="363">
        <v>218992</v>
      </c>
      <c r="B57" s="363" t="s">
        <v>348</v>
      </c>
      <c r="C57" s="87">
        <v>186835.30011000001</v>
      </c>
      <c r="D57" s="87">
        <v>28198.742509999985</v>
      </c>
      <c r="E57" s="87">
        <v>215034.04261999996</v>
      </c>
      <c r="F57" s="87">
        <v>61146.561591314552</v>
      </c>
      <c r="G57" s="87">
        <v>8312.844478209634</v>
      </c>
      <c r="H57" s="87">
        <v>69459.406069524179</v>
      </c>
      <c r="I57" s="87">
        <v>20736.322030855135</v>
      </c>
      <c r="J57" s="87">
        <v>1020.8113593229344</v>
      </c>
      <c r="K57" s="87">
        <v>21757.133390178071</v>
      </c>
      <c r="L57" s="87">
        <v>14466.824066554544</v>
      </c>
      <c r="M57" s="87">
        <v>2562.8650835136295</v>
      </c>
      <c r="N57" s="87">
        <v>17029.689150068174</v>
      </c>
      <c r="O57" s="87">
        <v>38069.114531598163</v>
      </c>
      <c r="P57" s="87">
        <v>6185.1429099593388</v>
      </c>
      <c r="Q57" s="87">
        <v>44254.2574415575</v>
      </c>
      <c r="R57" s="87">
        <v>339.29048798169833</v>
      </c>
      <c r="S57" s="87">
        <v>11587.167928894329</v>
      </c>
      <c r="T57" s="87">
        <v>1748.8320711056715</v>
      </c>
      <c r="U57" s="87">
        <v>13335.999999999998</v>
      </c>
      <c r="V57" s="87">
        <v>40829.309960783248</v>
      </c>
      <c r="W57" s="87">
        <v>8368.2466078887774</v>
      </c>
      <c r="X57" s="87">
        <v>49197.556568672022</v>
      </c>
      <c r="Y57" s="87">
        <v>167244.63137551892</v>
      </c>
      <c r="Z57" s="87">
        <v>187111.65136139607</v>
      </c>
      <c r="AA57" s="131">
        <v>0.32301585936451105</v>
      </c>
      <c r="AB57" s="351">
        <v>0.10117994864946317</v>
      </c>
      <c r="AC57" s="351">
        <v>0.2058011694444212</v>
      </c>
      <c r="AD57" s="351">
        <v>0.30698111809388434</v>
      </c>
      <c r="AE57" s="351">
        <v>6.2018087171280475E-2</v>
      </c>
      <c r="AF57" s="364">
        <v>0</v>
      </c>
      <c r="AG57" s="365">
        <v>0</v>
      </c>
      <c r="AH57" s="365">
        <v>0</v>
      </c>
      <c r="AI57" s="365">
        <v>0</v>
      </c>
      <c r="AJ57" s="365">
        <v>0</v>
      </c>
      <c r="AK57" s="365">
        <v>0</v>
      </c>
      <c r="AL57" s="365">
        <v>0</v>
      </c>
      <c r="AM57" s="365">
        <v>0</v>
      </c>
      <c r="AN57" s="190"/>
      <c r="AP57" s="115">
        <v>6.2018087171280475E-2</v>
      </c>
      <c r="AQ57" s="351">
        <v>6.2045207678119753E-2</v>
      </c>
    </row>
    <row r="58" spans="1:43">
      <c r="A58" s="356"/>
      <c r="B58" s="356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371"/>
      <c r="AB58" s="351"/>
      <c r="AC58" s="351"/>
      <c r="AD58" s="351"/>
      <c r="AE58" s="351"/>
      <c r="AF58" s="361"/>
      <c r="AP58" s="115"/>
    </row>
    <row r="59" spans="1:43">
      <c r="A59" s="116" t="s">
        <v>187</v>
      </c>
      <c r="B59" s="116" t="s">
        <v>453</v>
      </c>
      <c r="C59" s="87">
        <v>9856807.3868377116</v>
      </c>
      <c r="D59" s="87">
        <v>7303134.0659187427</v>
      </c>
      <c r="E59" s="87">
        <v>17159941.452756453</v>
      </c>
      <c r="F59" s="87">
        <v>4216532.1309138993</v>
      </c>
      <c r="G59" s="87">
        <v>2292335.390541059</v>
      </c>
      <c r="H59" s="87">
        <v>6508867.5214549601</v>
      </c>
      <c r="I59" s="87">
        <v>628893.93499270699</v>
      </c>
      <c r="J59" s="87">
        <v>221724.19492782644</v>
      </c>
      <c r="K59" s="87">
        <v>850618.12992053316</v>
      </c>
      <c r="L59" s="87">
        <v>1066865.5532320759</v>
      </c>
      <c r="M59" s="87">
        <v>1164814.7499310093</v>
      </c>
      <c r="N59" s="87">
        <v>2231680.3031630847</v>
      </c>
      <c r="O59" s="87">
        <v>1905182.3776887045</v>
      </c>
      <c r="P59" s="87">
        <v>1459412.3881322267</v>
      </c>
      <c r="Q59" s="87">
        <v>3364594.7658209316</v>
      </c>
      <c r="R59" s="87">
        <v>111731.92935798185</v>
      </c>
      <c r="S59" s="87">
        <v>329431.21894548228</v>
      </c>
      <c r="T59" s="87">
        <v>400904.32612701767</v>
      </c>
      <c r="U59" s="87">
        <v>730335.5450724999</v>
      </c>
      <c r="V59" s="87">
        <v>1712348.8150535861</v>
      </c>
      <c r="W59" s="87">
        <v>1766558.5486208587</v>
      </c>
      <c r="X59" s="87">
        <v>3478907.3636744455</v>
      </c>
      <c r="Y59" s="87">
        <v>13614417.573582189</v>
      </c>
      <c r="Z59" s="87">
        <v>14923268.310870809</v>
      </c>
      <c r="AA59" s="131">
        <v>0.37930592825008858</v>
      </c>
      <c r="AB59" s="351">
        <v>4.9569990216015325E-2</v>
      </c>
      <c r="AC59" s="351">
        <v>0.19607262501938585</v>
      </c>
      <c r="AD59" s="351">
        <v>0.24564261523540118</v>
      </c>
      <c r="AE59" s="351">
        <v>4.2560491659205744E-2</v>
      </c>
      <c r="AF59" s="372">
        <v>0</v>
      </c>
      <c r="AG59" s="373">
        <v>0</v>
      </c>
      <c r="AH59" s="373">
        <v>0</v>
      </c>
      <c r="AI59" s="373">
        <v>0</v>
      </c>
      <c r="AJ59" s="373">
        <v>0</v>
      </c>
      <c r="AK59" s="373">
        <v>0</v>
      </c>
      <c r="AL59" s="373">
        <v>-4.7748471843078732E-12</v>
      </c>
      <c r="AM59" s="373">
        <v>-4.7748471843078732E-12</v>
      </c>
      <c r="AP59" s="115">
        <v>4.2560491659205744E-2</v>
      </c>
    </row>
    <row r="60" spans="1:43">
      <c r="C60" s="351">
        <v>0.57440798466444554</v>
      </c>
      <c r="D60" s="351">
        <v>0.42559201533555457</v>
      </c>
      <c r="E60" s="351">
        <v>1</v>
      </c>
      <c r="F60" s="375"/>
      <c r="H60" s="351">
        <v>0.37930592825008858</v>
      </c>
      <c r="K60" s="351">
        <v>4.9569990216015325E-2</v>
      </c>
      <c r="N60" s="351">
        <v>0.13005174343439285</v>
      </c>
      <c r="Q60" s="351">
        <v>0.19607262501938585</v>
      </c>
      <c r="T60" s="351"/>
      <c r="U60" s="376">
        <v>4.2560491659205744E-2</v>
      </c>
      <c r="X60" s="351">
        <v>0.20273422104919933</v>
      </c>
      <c r="Y60" s="351">
        <v>0.79338368438286622</v>
      </c>
      <c r="Z60" s="351">
        <v>0.86965729760538546</v>
      </c>
      <c r="AB60" s="351">
        <v>0.20179719291993381</v>
      </c>
      <c r="AC60" s="351">
        <v>0.79820280708006619</v>
      </c>
      <c r="AP60" s="115"/>
    </row>
    <row r="61" spans="1:43">
      <c r="C61" s="365"/>
      <c r="D61" s="365"/>
      <c r="E61" s="365"/>
      <c r="F61" s="365"/>
      <c r="G61" s="365"/>
      <c r="H61" s="365"/>
      <c r="I61" s="365"/>
      <c r="J61" s="365"/>
      <c r="K61" s="365"/>
      <c r="L61" s="365"/>
      <c r="M61" s="365"/>
      <c r="N61" s="365"/>
      <c r="O61" s="365"/>
      <c r="P61" s="365"/>
      <c r="Q61" s="365"/>
      <c r="R61" s="365"/>
      <c r="S61" s="365"/>
      <c r="T61" s="365"/>
      <c r="U61" s="365"/>
      <c r="V61" s="365"/>
      <c r="W61" s="365"/>
      <c r="X61" s="365"/>
      <c r="Z61" s="365"/>
      <c r="AN61" s="190"/>
      <c r="AP61" s="115"/>
    </row>
    <row r="62" spans="1:43">
      <c r="A62" s="116" t="s">
        <v>187</v>
      </c>
      <c r="B62" s="116" t="s">
        <v>390</v>
      </c>
      <c r="C62" s="87">
        <v>9519975.3133147713</v>
      </c>
      <c r="D62" s="87">
        <v>7202752.7922184067</v>
      </c>
      <c r="E62" s="87">
        <v>16722728.10553317</v>
      </c>
      <c r="F62" s="87">
        <v>4074503.7175811119</v>
      </c>
      <c r="G62" s="87">
        <v>2239593.1517546731</v>
      </c>
      <c r="H62" s="87">
        <v>6314096.8693357818</v>
      </c>
      <c r="I62" s="87">
        <v>540390.4737771689</v>
      </c>
      <c r="J62" s="87">
        <v>218112.30851522306</v>
      </c>
      <c r="K62" s="87">
        <v>758502.78229239804</v>
      </c>
      <c r="L62" s="87">
        <v>1110142.690833766</v>
      </c>
      <c r="M62" s="87">
        <v>1176377.0378962287</v>
      </c>
      <c r="N62" s="87">
        <v>2286519.7287299945</v>
      </c>
      <c r="O62" s="87">
        <v>1816919.5234203283</v>
      </c>
      <c r="P62" s="87">
        <v>1460268.2210853796</v>
      </c>
      <c r="Q62" s="87">
        <v>3277187.744505703</v>
      </c>
      <c r="R62" s="87">
        <v>102136.24111645199</v>
      </c>
      <c r="S62" s="87">
        <v>305069.14670956094</v>
      </c>
      <c r="T62" s="87">
        <v>390611.28888479888</v>
      </c>
      <c r="U62" s="87">
        <v>695680.43559435918</v>
      </c>
      <c r="V62" s="87">
        <v>1672949.7609928334</v>
      </c>
      <c r="W62" s="87">
        <v>1717790.7840821019</v>
      </c>
      <c r="X62" s="87">
        <v>3390740.5450749369</v>
      </c>
      <c r="Y62" s="87">
        <v>13230570.502602531</v>
      </c>
      <c r="Z62" s="87">
        <v>14493652.64488733</v>
      </c>
      <c r="AA62" s="131">
        <v>0.37757576571771151</v>
      </c>
      <c r="AB62" s="351">
        <v>4.5357598204411799E-2</v>
      </c>
      <c r="AC62" s="351">
        <v>0.19597207607659162</v>
      </c>
      <c r="AD62" s="351">
        <v>0.24132967428100341</v>
      </c>
      <c r="AE62" s="351">
        <v>4.1600893777862379E-2</v>
      </c>
      <c r="AF62" s="351"/>
      <c r="AN62" s="190"/>
      <c r="AP62" s="115"/>
    </row>
    <row r="63" spans="1:43">
      <c r="C63" s="351">
        <v>0.56928362724290349</v>
      </c>
      <c r="D63" s="351">
        <v>0.43071637275709695</v>
      </c>
      <c r="E63" s="351">
        <v>1.0000000000000004</v>
      </c>
      <c r="F63" s="351"/>
      <c r="G63" s="351"/>
      <c r="H63" s="351">
        <v>0.37757576571771151</v>
      </c>
      <c r="I63" s="351"/>
      <c r="J63" s="351"/>
      <c r="K63" s="351">
        <v>4.5357598204411799E-2</v>
      </c>
      <c r="L63" s="351"/>
      <c r="M63" s="351"/>
      <c r="N63" s="351">
        <v>0.13673126264448665</v>
      </c>
      <c r="O63" s="351"/>
      <c r="P63" s="351"/>
      <c r="Q63" s="351">
        <v>0.19597207607659162</v>
      </c>
      <c r="R63" s="351"/>
      <c r="S63" s="351"/>
      <c r="T63" s="351"/>
      <c r="U63" s="376">
        <v>4.1600893777862379E-2</v>
      </c>
      <c r="V63" s="351"/>
      <c r="W63" s="351"/>
      <c r="X63" s="351">
        <v>0.20276240357893627</v>
      </c>
      <c r="Y63" s="351">
        <v>0.79117297244250695</v>
      </c>
      <c r="Z63" s="351">
        <v>0.86670383883666147</v>
      </c>
      <c r="AB63" s="351">
        <v>0.18794869855746615</v>
      </c>
      <c r="AC63" s="351">
        <v>0.8120513014425339</v>
      </c>
      <c r="AN63" s="190"/>
      <c r="AP63" s="115"/>
    </row>
    <row r="64" spans="1:43">
      <c r="C64" s="356"/>
      <c r="D64" s="356"/>
      <c r="E64" s="87"/>
      <c r="F64" s="356"/>
      <c r="G64" s="356"/>
      <c r="H64" s="356"/>
      <c r="I64" s="356"/>
      <c r="J64" s="356"/>
      <c r="K64" s="356"/>
      <c r="L64" s="356"/>
      <c r="M64" s="356"/>
      <c r="N64" s="356"/>
      <c r="O64" s="356"/>
      <c r="P64" s="356"/>
      <c r="Q64" s="356"/>
      <c r="R64" s="356"/>
      <c r="S64" s="356"/>
      <c r="T64" s="356"/>
      <c r="U64" s="356"/>
      <c r="V64" s="356"/>
      <c r="W64" s="356"/>
      <c r="X64" s="356"/>
      <c r="Y64" s="356"/>
      <c r="Z64" s="356"/>
      <c r="AA64" s="356"/>
      <c r="AN64" s="190"/>
      <c r="AP64" s="115"/>
    </row>
    <row r="65" spans="1:40">
      <c r="C65" s="365"/>
      <c r="D65" s="365"/>
      <c r="E65" s="365"/>
      <c r="F65" s="365"/>
      <c r="G65" s="365"/>
      <c r="H65" s="365"/>
      <c r="I65" s="365"/>
      <c r="J65" s="365"/>
      <c r="K65" s="365"/>
      <c r="L65" s="365"/>
      <c r="M65" s="365"/>
      <c r="N65" s="365"/>
      <c r="O65" s="365"/>
      <c r="P65" s="365"/>
      <c r="Q65" s="365"/>
      <c r="R65" s="365"/>
      <c r="S65" s="365"/>
      <c r="T65" s="365"/>
      <c r="U65" s="365"/>
      <c r="V65" s="365"/>
      <c r="W65" s="365"/>
      <c r="X65" s="365"/>
      <c r="Y65" s="365"/>
      <c r="Z65" s="365"/>
      <c r="AA65" s="365"/>
      <c r="AN65" s="190"/>
    </row>
    <row r="66" spans="1:40">
      <c r="AN66" s="377"/>
    </row>
    <row r="67" spans="1:40">
      <c r="A67" s="356"/>
      <c r="C67" s="356"/>
      <c r="D67" s="356"/>
      <c r="E67" s="356"/>
      <c r="F67" s="356"/>
      <c r="G67" s="356"/>
      <c r="H67" s="356"/>
      <c r="I67" s="356"/>
      <c r="J67" s="356"/>
      <c r="K67" s="356"/>
      <c r="L67" s="356"/>
      <c r="M67" s="356"/>
      <c r="N67" s="356"/>
      <c r="O67" s="356"/>
      <c r="P67" s="356"/>
      <c r="Q67" s="356"/>
      <c r="R67" s="356"/>
      <c r="S67" s="356"/>
      <c r="T67" s="356"/>
      <c r="U67" s="356"/>
      <c r="V67" s="356"/>
      <c r="W67" s="356"/>
      <c r="X67" s="356"/>
      <c r="Y67" s="356"/>
      <c r="Z67" s="356"/>
      <c r="AA67" s="356"/>
    </row>
    <row r="69" spans="1:40">
      <c r="A69" s="381"/>
      <c r="B69" s="381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B69" s="351"/>
      <c r="AC69" s="351"/>
    </row>
    <row r="70" spans="1:40">
      <c r="A70" s="363"/>
      <c r="B70" s="363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8"/>
      <c r="AB70" s="351"/>
      <c r="AC70" s="351"/>
      <c r="AD70" s="351"/>
      <c r="AE70" s="351"/>
      <c r="AF70" s="365"/>
      <c r="AG70" s="365"/>
      <c r="AH70" s="365"/>
      <c r="AI70" s="365"/>
      <c r="AJ70" s="365"/>
      <c r="AK70" s="365"/>
      <c r="AL70" s="365"/>
      <c r="AM70" s="365"/>
    </row>
    <row r="71" spans="1:40">
      <c r="J71" s="351"/>
      <c r="K71" s="351"/>
      <c r="L71" s="351"/>
      <c r="Q71" s="351"/>
      <c r="AB71" s="351"/>
      <c r="AC71" s="351"/>
    </row>
    <row r="72" spans="1:40">
      <c r="C72" s="365"/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N72" s="365"/>
      <c r="O72" s="365"/>
      <c r="P72" s="365"/>
      <c r="Q72" s="351"/>
      <c r="R72" s="365"/>
      <c r="S72" s="365"/>
      <c r="T72" s="365"/>
      <c r="U72" s="365"/>
      <c r="V72" s="365"/>
      <c r="W72" s="365"/>
      <c r="X72" s="365"/>
      <c r="Y72" s="365"/>
      <c r="Z72" s="365"/>
    </row>
    <row r="73" spans="1:40">
      <c r="C73" s="365"/>
      <c r="D73" s="365"/>
      <c r="E73" s="365"/>
      <c r="F73" s="365"/>
      <c r="G73" s="365"/>
      <c r="H73" s="365"/>
      <c r="I73" s="365"/>
      <c r="J73" s="365"/>
      <c r="K73" s="365"/>
      <c r="L73" s="365"/>
      <c r="M73" s="365"/>
      <c r="N73" s="365"/>
      <c r="O73" s="365"/>
      <c r="P73" s="365"/>
      <c r="Q73" s="365"/>
      <c r="R73" s="365"/>
      <c r="S73" s="365"/>
      <c r="T73" s="365"/>
      <c r="U73" s="365"/>
      <c r="V73" s="365"/>
      <c r="W73" s="365"/>
      <c r="X73" s="365"/>
      <c r="Y73" s="365"/>
      <c r="Z73" s="365"/>
    </row>
    <row r="74" spans="1:40">
      <c r="K74" s="351"/>
      <c r="Q74" s="351"/>
    </row>
    <row r="75" spans="1:40">
      <c r="Q75" s="351"/>
    </row>
    <row r="76" spans="1:40">
      <c r="C76" s="365"/>
      <c r="D76" s="365"/>
      <c r="E76" s="365"/>
      <c r="F76" s="365"/>
      <c r="G76" s="365"/>
      <c r="H76" s="365"/>
      <c r="I76" s="365"/>
      <c r="J76" s="365"/>
      <c r="K76" s="365"/>
      <c r="L76" s="365"/>
      <c r="M76" s="365"/>
      <c r="N76" s="365"/>
      <c r="O76" s="365"/>
      <c r="P76" s="365"/>
      <c r="Q76" s="365"/>
      <c r="R76" s="365"/>
      <c r="S76" s="365"/>
      <c r="T76" s="365"/>
      <c r="U76" s="365"/>
      <c r="V76" s="365"/>
      <c r="W76" s="365"/>
      <c r="X76" s="365"/>
      <c r="Y76" s="365"/>
      <c r="Z76" s="36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CE130"/>
  <sheetViews>
    <sheetView zoomScale="87" zoomScaleNormal="87" workbookViewId="0">
      <pane xSplit="2" ySplit="8" topLeftCell="C57" activePane="bottomRight" state="frozen"/>
      <selection pane="topRight" activeCell="C1" sqref="C1"/>
      <selection pane="bottomLeft" activeCell="A9" sqref="A9"/>
      <selection pane="bottomRight"/>
    </sheetView>
  </sheetViews>
  <sheetFormatPr defaultColWidth="9.84375" defaultRowHeight="15.5"/>
  <cols>
    <col min="1" max="1" width="7.07421875" style="116" bestFit="1" customWidth="1"/>
    <col min="2" max="2" width="17.84375" style="116" customWidth="1"/>
    <col min="3" max="31" width="9.84375" style="116" customWidth="1"/>
    <col min="32" max="32" width="11.84375" style="116" customWidth="1"/>
    <col min="33" max="33" width="9.84375" style="116" customWidth="1"/>
    <col min="34" max="34" width="10.84375" style="116" customWidth="1"/>
    <col min="35" max="37" width="9.84375" style="116" customWidth="1"/>
    <col min="38" max="38" width="10.84375" style="116" customWidth="1"/>
    <col min="39" max="39" width="9.84375" style="116" customWidth="1"/>
    <col min="40" max="40" width="10.84375" style="116" customWidth="1"/>
    <col min="41" max="42" width="9.84375" style="116" customWidth="1"/>
    <col min="43" max="43" width="10.84375" style="116" customWidth="1"/>
    <col min="44" max="44" width="9.84375" style="116" customWidth="1"/>
    <col min="45" max="45" width="10.84375" style="116" customWidth="1"/>
    <col min="46" max="46" width="9.84375" style="116" customWidth="1"/>
    <col min="47" max="47" width="11.84375" style="116" customWidth="1"/>
    <col min="48" max="49" width="9.84375" style="116" customWidth="1"/>
    <col min="50" max="50" width="9.84375" style="116"/>
    <col min="51" max="51" width="10.84375" style="116" customWidth="1"/>
    <col min="52" max="52" width="11.07421875" style="116" customWidth="1"/>
    <col min="53" max="53" width="12.53515625" style="116" customWidth="1"/>
    <col min="54" max="256" width="9.84375" style="116"/>
    <col min="257" max="257" width="6.84375" style="116" customWidth="1"/>
    <col min="258" max="258" width="17.84375" style="116" customWidth="1"/>
    <col min="259" max="287" width="9.84375" style="116"/>
    <col min="288" max="288" width="11.84375" style="116" customWidth="1"/>
    <col min="289" max="289" width="9.84375" style="116"/>
    <col min="290" max="290" width="10.84375" style="116" customWidth="1"/>
    <col min="291" max="293" width="9.84375" style="116"/>
    <col min="294" max="294" width="10.84375" style="116" customWidth="1"/>
    <col min="295" max="295" width="9.84375" style="116"/>
    <col min="296" max="296" width="10.84375" style="116" customWidth="1"/>
    <col min="297" max="298" width="9.84375" style="116"/>
    <col min="299" max="299" width="10.84375" style="116" customWidth="1"/>
    <col min="300" max="300" width="9.84375" style="116"/>
    <col min="301" max="301" width="10.84375" style="116" customWidth="1"/>
    <col min="302" max="302" width="9.84375" style="116"/>
    <col min="303" max="303" width="11.84375" style="116" customWidth="1"/>
    <col min="304" max="306" width="9.84375" style="116"/>
    <col min="307" max="307" width="10.84375" style="116" customWidth="1"/>
    <col min="308" max="308" width="11.07421875" style="116" customWidth="1"/>
    <col min="309" max="309" width="12.53515625" style="116" customWidth="1"/>
    <col min="310" max="512" width="9.84375" style="116"/>
    <col min="513" max="513" width="6.84375" style="116" customWidth="1"/>
    <col min="514" max="514" width="17.84375" style="116" customWidth="1"/>
    <col min="515" max="543" width="9.84375" style="116"/>
    <col min="544" max="544" width="11.84375" style="116" customWidth="1"/>
    <col min="545" max="545" width="9.84375" style="116"/>
    <col min="546" max="546" width="10.84375" style="116" customWidth="1"/>
    <col min="547" max="549" width="9.84375" style="116"/>
    <col min="550" max="550" width="10.84375" style="116" customWidth="1"/>
    <col min="551" max="551" width="9.84375" style="116"/>
    <col min="552" max="552" width="10.84375" style="116" customWidth="1"/>
    <col min="553" max="554" width="9.84375" style="116"/>
    <col min="555" max="555" width="10.84375" style="116" customWidth="1"/>
    <col min="556" max="556" width="9.84375" style="116"/>
    <col min="557" max="557" width="10.84375" style="116" customWidth="1"/>
    <col min="558" max="558" width="9.84375" style="116"/>
    <col min="559" max="559" width="11.84375" style="116" customWidth="1"/>
    <col min="560" max="562" width="9.84375" style="116"/>
    <col min="563" max="563" width="10.84375" style="116" customWidth="1"/>
    <col min="564" max="564" width="11.07421875" style="116" customWidth="1"/>
    <col min="565" max="565" width="12.53515625" style="116" customWidth="1"/>
    <col min="566" max="768" width="9.84375" style="116"/>
    <col min="769" max="769" width="6.84375" style="116" customWidth="1"/>
    <col min="770" max="770" width="17.84375" style="116" customWidth="1"/>
    <col min="771" max="799" width="9.84375" style="116"/>
    <col min="800" max="800" width="11.84375" style="116" customWidth="1"/>
    <col min="801" max="801" width="9.84375" style="116"/>
    <col min="802" max="802" width="10.84375" style="116" customWidth="1"/>
    <col min="803" max="805" width="9.84375" style="116"/>
    <col min="806" max="806" width="10.84375" style="116" customWidth="1"/>
    <col min="807" max="807" width="9.84375" style="116"/>
    <col min="808" max="808" width="10.84375" style="116" customWidth="1"/>
    <col min="809" max="810" width="9.84375" style="116"/>
    <col min="811" max="811" width="10.84375" style="116" customWidth="1"/>
    <col min="812" max="812" width="9.84375" style="116"/>
    <col min="813" max="813" width="10.84375" style="116" customWidth="1"/>
    <col min="814" max="814" width="9.84375" style="116"/>
    <col min="815" max="815" width="11.84375" style="116" customWidth="1"/>
    <col min="816" max="818" width="9.84375" style="116"/>
    <col min="819" max="819" width="10.84375" style="116" customWidth="1"/>
    <col min="820" max="820" width="11.07421875" style="116" customWidth="1"/>
    <col min="821" max="821" width="12.53515625" style="116" customWidth="1"/>
    <col min="822" max="1024" width="9.84375" style="116"/>
    <col min="1025" max="1025" width="6.84375" style="116" customWidth="1"/>
    <col min="1026" max="1026" width="17.84375" style="116" customWidth="1"/>
    <col min="1027" max="1055" width="9.84375" style="116"/>
    <col min="1056" max="1056" width="11.84375" style="116" customWidth="1"/>
    <col min="1057" max="1057" width="9.84375" style="116"/>
    <col min="1058" max="1058" width="10.84375" style="116" customWidth="1"/>
    <col min="1059" max="1061" width="9.84375" style="116"/>
    <col min="1062" max="1062" width="10.84375" style="116" customWidth="1"/>
    <col min="1063" max="1063" width="9.84375" style="116"/>
    <col min="1064" max="1064" width="10.84375" style="116" customWidth="1"/>
    <col min="1065" max="1066" width="9.84375" style="116"/>
    <col min="1067" max="1067" width="10.84375" style="116" customWidth="1"/>
    <col min="1068" max="1068" width="9.84375" style="116"/>
    <col min="1069" max="1069" width="10.84375" style="116" customWidth="1"/>
    <col min="1070" max="1070" width="9.84375" style="116"/>
    <col min="1071" max="1071" width="11.84375" style="116" customWidth="1"/>
    <col min="1072" max="1074" width="9.84375" style="116"/>
    <col min="1075" max="1075" width="10.84375" style="116" customWidth="1"/>
    <col min="1076" max="1076" width="11.07421875" style="116" customWidth="1"/>
    <col min="1077" max="1077" width="12.53515625" style="116" customWidth="1"/>
    <col min="1078" max="1280" width="9.84375" style="116"/>
    <col min="1281" max="1281" width="6.84375" style="116" customWidth="1"/>
    <col min="1282" max="1282" width="17.84375" style="116" customWidth="1"/>
    <col min="1283" max="1311" width="9.84375" style="116"/>
    <col min="1312" max="1312" width="11.84375" style="116" customWidth="1"/>
    <col min="1313" max="1313" width="9.84375" style="116"/>
    <col min="1314" max="1314" width="10.84375" style="116" customWidth="1"/>
    <col min="1315" max="1317" width="9.84375" style="116"/>
    <col min="1318" max="1318" width="10.84375" style="116" customWidth="1"/>
    <col min="1319" max="1319" width="9.84375" style="116"/>
    <col min="1320" max="1320" width="10.84375" style="116" customWidth="1"/>
    <col min="1321" max="1322" width="9.84375" style="116"/>
    <col min="1323" max="1323" width="10.84375" style="116" customWidth="1"/>
    <col min="1324" max="1324" width="9.84375" style="116"/>
    <col min="1325" max="1325" width="10.84375" style="116" customWidth="1"/>
    <col min="1326" max="1326" width="9.84375" style="116"/>
    <col min="1327" max="1327" width="11.84375" style="116" customWidth="1"/>
    <col min="1328" max="1330" width="9.84375" style="116"/>
    <col min="1331" max="1331" width="10.84375" style="116" customWidth="1"/>
    <col min="1332" max="1332" width="11.07421875" style="116" customWidth="1"/>
    <col min="1333" max="1333" width="12.53515625" style="116" customWidth="1"/>
    <col min="1334" max="1536" width="9.84375" style="116"/>
    <col min="1537" max="1537" width="6.84375" style="116" customWidth="1"/>
    <col min="1538" max="1538" width="17.84375" style="116" customWidth="1"/>
    <col min="1539" max="1567" width="9.84375" style="116"/>
    <col min="1568" max="1568" width="11.84375" style="116" customWidth="1"/>
    <col min="1569" max="1569" width="9.84375" style="116"/>
    <col min="1570" max="1570" width="10.84375" style="116" customWidth="1"/>
    <col min="1571" max="1573" width="9.84375" style="116"/>
    <col min="1574" max="1574" width="10.84375" style="116" customWidth="1"/>
    <col min="1575" max="1575" width="9.84375" style="116"/>
    <col min="1576" max="1576" width="10.84375" style="116" customWidth="1"/>
    <col min="1577" max="1578" width="9.84375" style="116"/>
    <col min="1579" max="1579" width="10.84375" style="116" customWidth="1"/>
    <col min="1580" max="1580" width="9.84375" style="116"/>
    <col min="1581" max="1581" width="10.84375" style="116" customWidth="1"/>
    <col min="1582" max="1582" width="9.84375" style="116"/>
    <col min="1583" max="1583" width="11.84375" style="116" customWidth="1"/>
    <col min="1584" max="1586" width="9.84375" style="116"/>
    <col min="1587" max="1587" width="10.84375" style="116" customWidth="1"/>
    <col min="1588" max="1588" width="11.07421875" style="116" customWidth="1"/>
    <col min="1589" max="1589" width="12.53515625" style="116" customWidth="1"/>
    <col min="1590" max="1792" width="9.84375" style="116"/>
    <col min="1793" max="1793" width="6.84375" style="116" customWidth="1"/>
    <col min="1794" max="1794" width="17.84375" style="116" customWidth="1"/>
    <col min="1795" max="1823" width="9.84375" style="116"/>
    <col min="1824" max="1824" width="11.84375" style="116" customWidth="1"/>
    <col min="1825" max="1825" width="9.84375" style="116"/>
    <col min="1826" max="1826" width="10.84375" style="116" customWidth="1"/>
    <col min="1827" max="1829" width="9.84375" style="116"/>
    <col min="1830" max="1830" width="10.84375" style="116" customWidth="1"/>
    <col min="1831" max="1831" width="9.84375" style="116"/>
    <col min="1832" max="1832" width="10.84375" style="116" customWidth="1"/>
    <col min="1833" max="1834" width="9.84375" style="116"/>
    <col min="1835" max="1835" width="10.84375" style="116" customWidth="1"/>
    <col min="1836" max="1836" width="9.84375" style="116"/>
    <col min="1837" max="1837" width="10.84375" style="116" customWidth="1"/>
    <col min="1838" max="1838" width="9.84375" style="116"/>
    <col min="1839" max="1839" width="11.84375" style="116" customWidth="1"/>
    <col min="1840" max="1842" width="9.84375" style="116"/>
    <col min="1843" max="1843" width="10.84375" style="116" customWidth="1"/>
    <col min="1844" max="1844" width="11.07421875" style="116" customWidth="1"/>
    <col min="1845" max="1845" width="12.53515625" style="116" customWidth="1"/>
    <col min="1846" max="2048" width="9.84375" style="116"/>
    <col min="2049" max="2049" width="6.84375" style="116" customWidth="1"/>
    <col min="2050" max="2050" width="17.84375" style="116" customWidth="1"/>
    <col min="2051" max="2079" width="9.84375" style="116"/>
    <col min="2080" max="2080" width="11.84375" style="116" customWidth="1"/>
    <col min="2081" max="2081" width="9.84375" style="116"/>
    <col min="2082" max="2082" width="10.84375" style="116" customWidth="1"/>
    <col min="2083" max="2085" width="9.84375" style="116"/>
    <col min="2086" max="2086" width="10.84375" style="116" customWidth="1"/>
    <col min="2087" max="2087" width="9.84375" style="116"/>
    <col min="2088" max="2088" width="10.84375" style="116" customWidth="1"/>
    <col min="2089" max="2090" width="9.84375" style="116"/>
    <col min="2091" max="2091" width="10.84375" style="116" customWidth="1"/>
    <col min="2092" max="2092" width="9.84375" style="116"/>
    <col min="2093" max="2093" width="10.84375" style="116" customWidth="1"/>
    <col min="2094" max="2094" width="9.84375" style="116"/>
    <col min="2095" max="2095" width="11.84375" style="116" customWidth="1"/>
    <col min="2096" max="2098" width="9.84375" style="116"/>
    <col min="2099" max="2099" width="10.84375" style="116" customWidth="1"/>
    <col min="2100" max="2100" width="11.07421875" style="116" customWidth="1"/>
    <col min="2101" max="2101" width="12.53515625" style="116" customWidth="1"/>
    <col min="2102" max="2304" width="9.84375" style="116"/>
    <col min="2305" max="2305" width="6.84375" style="116" customWidth="1"/>
    <col min="2306" max="2306" width="17.84375" style="116" customWidth="1"/>
    <col min="2307" max="2335" width="9.84375" style="116"/>
    <col min="2336" max="2336" width="11.84375" style="116" customWidth="1"/>
    <col min="2337" max="2337" width="9.84375" style="116"/>
    <col min="2338" max="2338" width="10.84375" style="116" customWidth="1"/>
    <col min="2339" max="2341" width="9.84375" style="116"/>
    <col min="2342" max="2342" width="10.84375" style="116" customWidth="1"/>
    <col min="2343" max="2343" width="9.84375" style="116"/>
    <col min="2344" max="2344" width="10.84375" style="116" customWidth="1"/>
    <col min="2345" max="2346" width="9.84375" style="116"/>
    <col min="2347" max="2347" width="10.84375" style="116" customWidth="1"/>
    <col min="2348" max="2348" width="9.84375" style="116"/>
    <col min="2349" max="2349" width="10.84375" style="116" customWidth="1"/>
    <col min="2350" max="2350" width="9.84375" style="116"/>
    <col min="2351" max="2351" width="11.84375" style="116" customWidth="1"/>
    <col min="2352" max="2354" width="9.84375" style="116"/>
    <col min="2355" max="2355" width="10.84375" style="116" customWidth="1"/>
    <col min="2356" max="2356" width="11.07421875" style="116" customWidth="1"/>
    <col min="2357" max="2357" width="12.53515625" style="116" customWidth="1"/>
    <col min="2358" max="2560" width="9.84375" style="116"/>
    <col min="2561" max="2561" width="6.84375" style="116" customWidth="1"/>
    <col min="2562" max="2562" width="17.84375" style="116" customWidth="1"/>
    <col min="2563" max="2591" width="9.84375" style="116"/>
    <col min="2592" max="2592" width="11.84375" style="116" customWidth="1"/>
    <col min="2593" max="2593" width="9.84375" style="116"/>
    <col min="2594" max="2594" width="10.84375" style="116" customWidth="1"/>
    <col min="2595" max="2597" width="9.84375" style="116"/>
    <col min="2598" max="2598" width="10.84375" style="116" customWidth="1"/>
    <col min="2599" max="2599" width="9.84375" style="116"/>
    <col min="2600" max="2600" width="10.84375" style="116" customWidth="1"/>
    <col min="2601" max="2602" width="9.84375" style="116"/>
    <col min="2603" max="2603" width="10.84375" style="116" customWidth="1"/>
    <col min="2604" max="2604" width="9.84375" style="116"/>
    <col min="2605" max="2605" width="10.84375" style="116" customWidth="1"/>
    <col min="2606" max="2606" width="9.84375" style="116"/>
    <col min="2607" max="2607" width="11.84375" style="116" customWidth="1"/>
    <col min="2608" max="2610" width="9.84375" style="116"/>
    <col min="2611" max="2611" width="10.84375" style="116" customWidth="1"/>
    <col min="2612" max="2612" width="11.07421875" style="116" customWidth="1"/>
    <col min="2613" max="2613" width="12.53515625" style="116" customWidth="1"/>
    <col min="2614" max="2816" width="9.84375" style="116"/>
    <col min="2817" max="2817" width="6.84375" style="116" customWidth="1"/>
    <col min="2818" max="2818" width="17.84375" style="116" customWidth="1"/>
    <col min="2819" max="2847" width="9.84375" style="116"/>
    <col min="2848" max="2848" width="11.84375" style="116" customWidth="1"/>
    <col min="2849" max="2849" width="9.84375" style="116"/>
    <col min="2850" max="2850" width="10.84375" style="116" customWidth="1"/>
    <col min="2851" max="2853" width="9.84375" style="116"/>
    <col min="2854" max="2854" width="10.84375" style="116" customWidth="1"/>
    <col min="2855" max="2855" width="9.84375" style="116"/>
    <col min="2856" max="2856" width="10.84375" style="116" customWidth="1"/>
    <col min="2857" max="2858" width="9.84375" style="116"/>
    <col min="2859" max="2859" width="10.84375" style="116" customWidth="1"/>
    <col min="2860" max="2860" width="9.84375" style="116"/>
    <col min="2861" max="2861" width="10.84375" style="116" customWidth="1"/>
    <col min="2862" max="2862" width="9.84375" style="116"/>
    <col min="2863" max="2863" width="11.84375" style="116" customWidth="1"/>
    <col min="2864" max="2866" width="9.84375" style="116"/>
    <col min="2867" max="2867" width="10.84375" style="116" customWidth="1"/>
    <col min="2868" max="2868" width="11.07421875" style="116" customWidth="1"/>
    <col min="2869" max="2869" width="12.53515625" style="116" customWidth="1"/>
    <col min="2870" max="3072" width="9.84375" style="116"/>
    <col min="3073" max="3073" width="6.84375" style="116" customWidth="1"/>
    <col min="3074" max="3074" width="17.84375" style="116" customWidth="1"/>
    <col min="3075" max="3103" width="9.84375" style="116"/>
    <col min="3104" max="3104" width="11.84375" style="116" customWidth="1"/>
    <col min="3105" max="3105" width="9.84375" style="116"/>
    <col min="3106" max="3106" width="10.84375" style="116" customWidth="1"/>
    <col min="3107" max="3109" width="9.84375" style="116"/>
    <col min="3110" max="3110" width="10.84375" style="116" customWidth="1"/>
    <col min="3111" max="3111" width="9.84375" style="116"/>
    <col min="3112" max="3112" width="10.84375" style="116" customWidth="1"/>
    <col min="3113" max="3114" width="9.84375" style="116"/>
    <col min="3115" max="3115" width="10.84375" style="116" customWidth="1"/>
    <col min="3116" max="3116" width="9.84375" style="116"/>
    <col min="3117" max="3117" width="10.84375" style="116" customWidth="1"/>
    <col min="3118" max="3118" width="9.84375" style="116"/>
    <col min="3119" max="3119" width="11.84375" style="116" customWidth="1"/>
    <col min="3120" max="3122" width="9.84375" style="116"/>
    <col min="3123" max="3123" width="10.84375" style="116" customWidth="1"/>
    <col min="3124" max="3124" width="11.07421875" style="116" customWidth="1"/>
    <col min="3125" max="3125" width="12.53515625" style="116" customWidth="1"/>
    <col min="3126" max="3328" width="9.84375" style="116"/>
    <col min="3329" max="3329" width="6.84375" style="116" customWidth="1"/>
    <col min="3330" max="3330" width="17.84375" style="116" customWidth="1"/>
    <col min="3331" max="3359" width="9.84375" style="116"/>
    <col min="3360" max="3360" width="11.84375" style="116" customWidth="1"/>
    <col min="3361" max="3361" width="9.84375" style="116"/>
    <col min="3362" max="3362" width="10.84375" style="116" customWidth="1"/>
    <col min="3363" max="3365" width="9.84375" style="116"/>
    <col min="3366" max="3366" width="10.84375" style="116" customWidth="1"/>
    <col min="3367" max="3367" width="9.84375" style="116"/>
    <col min="3368" max="3368" width="10.84375" style="116" customWidth="1"/>
    <col min="3369" max="3370" width="9.84375" style="116"/>
    <col min="3371" max="3371" width="10.84375" style="116" customWidth="1"/>
    <col min="3372" max="3372" width="9.84375" style="116"/>
    <col min="3373" max="3373" width="10.84375" style="116" customWidth="1"/>
    <col min="3374" max="3374" width="9.84375" style="116"/>
    <col min="3375" max="3375" width="11.84375" style="116" customWidth="1"/>
    <col min="3376" max="3378" width="9.84375" style="116"/>
    <col min="3379" max="3379" width="10.84375" style="116" customWidth="1"/>
    <col min="3380" max="3380" width="11.07421875" style="116" customWidth="1"/>
    <col min="3381" max="3381" width="12.53515625" style="116" customWidth="1"/>
    <col min="3382" max="3584" width="9.84375" style="116"/>
    <col min="3585" max="3585" width="6.84375" style="116" customWidth="1"/>
    <col min="3586" max="3586" width="17.84375" style="116" customWidth="1"/>
    <col min="3587" max="3615" width="9.84375" style="116"/>
    <col min="3616" max="3616" width="11.84375" style="116" customWidth="1"/>
    <col min="3617" max="3617" width="9.84375" style="116"/>
    <col min="3618" max="3618" width="10.84375" style="116" customWidth="1"/>
    <col min="3619" max="3621" width="9.84375" style="116"/>
    <col min="3622" max="3622" width="10.84375" style="116" customWidth="1"/>
    <col min="3623" max="3623" width="9.84375" style="116"/>
    <col min="3624" max="3624" width="10.84375" style="116" customWidth="1"/>
    <col min="3625" max="3626" width="9.84375" style="116"/>
    <col min="3627" max="3627" width="10.84375" style="116" customWidth="1"/>
    <col min="3628" max="3628" width="9.84375" style="116"/>
    <col min="3629" max="3629" width="10.84375" style="116" customWidth="1"/>
    <col min="3630" max="3630" width="9.84375" style="116"/>
    <col min="3631" max="3631" width="11.84375" style="116" customWidth="1"/>
    <col min="3632" max="3634" width="9.84375" style="116"/>
    <col min="3635" max="3635" width="10.84375" style="116" customWidth="1"/>
    <col min="3636" max="3636" width="11.07421875" style="116" customWidth="1"/>
    <col min="3637" max="3637" width="12.53515625" style="116" customWidth="1"/>
    <col min="3638" max="3840" width="9.84375" style="116"/>
    <col min="3841" max="3841" width="6.84375" style="116" customWidth="1"/>
    <col min="3842" max="3842" width="17.84375" style="116" customWidth="1"/>
    <col min="3843" max="3871" width="9.84375" style="116"/>
    <col min="3872" max="3872" width="11.84375" style="116" customWidth="1"/>
    <col min="3873" max="3873" width="9.84375" style="116"/>
    <col min="3874" max="3874" width="10.84375" style="116" customWidth="1"/>
    <col min="3875" max="3877" width="9.84375" style="116"/>
    <col min="3878" max="3878" width="10.84375" style="116" customWidth="1"/>
    <col min="3879" max="3879" width="9.84375" style="116"/>
    <col min="3880" max="3880" width="10.84375" style="116" customWidth="1"/>
    <col min="3881" max="3882" width="9.84375" style="116"/>
    <col min="3883" max="3883" width="10.84375" style="116" customWidth="1"/>
    <col min="3884" max="3884" width="9.84375" style="116"/>
    <col min="3885" max="3885" width="10.84375" style="116" customWidth="1"/>
    <col min="3886" max="3886" width="9.84375" style="116"/>
    <col min="3887" max="3887" width="11.84375" style="116" customWidth="1"/>
    <col min="3888" max="3890" width="9.84375" style="116"/>
    <col min="3891" max="3891" width="10.84375" style="116" customWidth="1"/>
    <col min="3892" max="3892" width="11.07421875" style="116" customWidth="1"/>
    <col min="3893" max="3893" width="12.53515625" style="116" customWidth="1"/>
    <col min="3894" max="4096" width="9.84375" style="116"/>
    <col min="4097" max="4097" width="6.84375" style="116" customWidth="1"/>
    <col min="4098" max="4098" width="17.84375" style="116" customWidth="1"/>
    <col min="4099" max="4127" width="9.84375" style="116"/>
    <col min="4128" max="4128" width="11.84375" style="116" customWidth="1"/>
    <col min="4129" max="4129" width="9.84375" style="116"/>
    <col min="4130" max="4130" width="10.84375" style="116" customWidth="1"/>
    <col min="4131" max="4133" width="9.84375" style="116"/>
    <col min="4134" max="4134" width="10.84375" style="116" customWidth="1"/>
    <col min="4135" max="4135" width="9.84375" style="116"/>
    <col min="4136" max="4136" width="10.84375" style="116" customWidth="1"/>
    <col min="4137" max="4138" width="9.84375" style="116"/>
    <col min="4139" max="4139" width="10.84375" style="116" customWidth="1"/>
    <col min="4140" max="4140" width="9.84375" style="116"/>
    <col min="4141" max="4141" width="10.84375" style="116" customWidth="1"/>
    <col min="4142" max="4142" width="9.84375" style="116"/>
    <col min="4143" max="4143" width="11.84375" style="116" customWidth="1"/>
    <col min="4144" max="4146" width="9.84375" style="116"/>
    <col min="4147" max="4147" width="10.84375" style="116" customWidth="1"/>
    <col min="4148" max="4148" width="11.07421875" style="116" customWidth="1"/>
    <col min="4149" max="4149" width="12.53515625" style="116" customWidth="1"/>
    <col min="4150" max="4352" width="9.84375" style="116"/>
    <col min="4353" max="4353" width="6.84375" style="116" customWidth="1"/>
    <col min="4354" max="4354" width="17.84375" style="116" customWidth="1"/>
    <col min="4355" max="4383" width="9.84375" style="116"/>
    <col min="4384" max="4384" width="11.84375" style="116" customWidth="1"/>
    <col min="4385" max="4385" width="9.84375" style="116"/>
    <col min="4386" max="4386" width="10.84375" style="116" customWidth="1"/>
    <col min="4387" max="4389" width="9.84375" style="116"/>
    <col min="4390" max="4390" width="10.84375" style="116" customWidth="1"/>
    <col min="4391" max="4391" width="9.84375" style="116"/>
    <col min="4392" max="4392" width="10.84375" style="116" customWidth="1"/>
    <col min="4393" max="4394" width="9.84375" style="116"/>
    <col min="4395" max="4395" width="10.84375" style="116" customWidth="1"/>
    <col min="4396" max="4396" width="9.84375" style="116"/>
    <col min="4397" max="4397" width="10.84375" style="116" customWidth="1"/>
    <col min="4398" max="4398" width="9.84375" style="116"/>
    <col min="4399" max="4399" width="11.84375" style="116" customWidth="1"/>
    <col min="4400" max="4402" width="9.84375" style="116"/>
    <col min="4403" max="4403" width="10.84375" style="116" customWidth="1"/>
    <col min="4404" max="4404" width="11.07421875" style="116" customWidth="1"/>
    <col min="4405" max="4405" width="12.53515625" style="116" customWidth="1"/>
    <col min="4406" max="4608" width="9.84375" style="116"/>
    <col min="4609" max="4609" width="6.84375" style="116" customWidth="1"/>
    <col min="4610" max="4610" width="17.84375" style="116" customWidth="1"/>
    <col min="4611" max="4639" width="9.84375" style="116"/>
    <col min="4640" max="4640" width="11.84375" style="116" customWidth="1"/>
    <col min="4641" max="4641" width="9.84375" style="116"/>
    <col min="4642" max="4642" width="10.84375" style="116" customWidth="1"/>
    <col min="4643" max="4645" width="9.84375" style="116"/>
    <col min="4646" max="4646" width="10.84375" style="116" customWidth="1"/>
    <col min="4647" max="4647" width="9.84375" style="116"/>
    <col min="4648" max="4648" width="10.84375" style="116" customWidth="1"/>
    <col min="4649" max="4650" width="9.84375" style="116"/>
    <col min="4651" max="4651" width="10.84375" style="116" customWidth="1"/>
    <col min="4652" max="4652" width="9.84375" style="116"/>
    <col min="4653" max="4653" width="10.84375" style="116" customWidth="1"/>
    <col min="4654" max="4654" width="9.84375" style="116"/>
    <col min="4655" max="4655" width="11.84375" style="116" customWidth="1"/>
    <col min="4656" max="4658" width="9.84375" style="116"/>
    <col min="4659" max="4659" width="10.84375" style="116" customWidth="1"/>
    <col min="4660" max="4660" width="11.07421875" style="116" customWidth="1"/>
    <col min="4661" max="4661" width="12.53515625" style="116" customWidth="1"/>
    <col min="4662" max="4864" width="9.84375" style="116"/>
    <col min="4865" max="4865" width="6.84375" style="116" customWidth="1"/>
    <col min="4866" max="4866" width="17.84375" style="116" customWidth="1"/>
    <col min="4867" max="4895" width="9.84375" style="116"/>
    <col min="4896" max="4896" width="11.84375" style="116" customWidth="1"/>
    <col min="4897" max="4897" width="9.84375" style="116"/>
    <col min="4898" max="4898" width="10.84375" style="116" customWidth="1"/>
    <col min="4899" max="4901" width="9.84375" style="116"/>
    <col min="4902" max="4902" width="10.84375" style="116" customWidth="1"/>
    <col min="4903" max="4903" width="9.84375" style="116"/>
    <col min="4904" max="4904" width="10.84375" style="116" customWidth="1"/>
    <col min="4905" max="4906" width="9.84375" style="116"/>
    <col min="4907" max="4907" width="10.84375" style="116" customWidth="1"/>
    <col min="4908" max="4908" width="9.84375" style="116"/>
    <col min="4909" max="4909" width="10.84375" style="116" customWidth="1"/>
    <col min="4910" max="4910" width="9.84375" style="116"/>
    <col min="4911" max="4911" width="11.84375" style="116" customWidth="1"/>
    <col min="4912" max="4914" width="9.84375" style="116"/>
    <col min="4915" max="4915" width="10.84375" style="116" customWidth="1"/>
    <col min="4916" max="4916" width="11.07421875" style="116" customWidth="1"/>
    <col min="4917" max="4917" width="12.53515625" style="116" customWidth="1"/>
    <col min="4918" max="5120" width="9.84375" style="116"/>
    <col min="5121" max="5121" width="6.84375" style="116" customWidth="1"/>
    <col min="5122" max="5122" width="17.84375" style="116" customWidth="1"/>
    <col min="5123" max="5151" width="9.84375" style="116"/>
    <col min="5152" max="5152" width="11.84375" style="116" customWidth="1"/>
    <col min="5153" max="5153" width="9.84375" style="116"/>
    <col min="5154" max="5154" width="10.84375" style="116" customWidth="1"/>
    <col min="5155" max="5157" width="9.84375" style="116"/>
    <col min="5158" max="5158" width="10.84375" style="116" customWidth="1"/>
    <col min="5159" max="5159" width="9.84375" style="116"/>
    <col min="5160" max="5160" width="10.84375" style="116" customWidth="1"/>
    <col min="5161" max="5162" width="9.84375" style="116"/>
    <col min="5163" max="5163" width="10.84375" style="116" customWidth="1"/>
    <col min="5164" max="5164" width="9.84375" style="116"/>
    <col min="5165" max="5165" width="10.84375" style="116" customWidth="1"/>
    <col min="5166" max="5166" width="9.84375" style="116"/>
    <col min="5167" max="5167" width="11.84375" style="116" customWidth="1"/>
    <col min="5168" max="5170" width="9.84375" style="116"/>
    <col min="5171" max="5171" width="10.84375" style="116" customWidth="1"/>
    <col min="5172" max="5172" width="11.07421875" style="116" customWidth="1"/>
    <col min="5173" max="5173" width="12.53515625" style="116" customWidth="1"/>
    <col min="5174" max="5376" width="9.84375" style="116"/>
    <col min="5377" max="5377" width="6.84375" style="116" customWidth="1"/>
    <col min="5378" max="5378" width="17.84375" style="116" customWidth="1"/>
    <col min="5379" max="5407" width="9.84375" style="116"/>
    <col min="5408" max="5408" width="11.84375" style="116" customWidth="1"/>
    <col min="5409" max="5409" width="9.84375" style="116"/>
    <col min="5410" max="5410" width="10.84375" style="116" customWidth="1"/>
    <col min="5411" max="5413" width="9.84375" style="116"/>
    <col min="5414" max="5414" width="10.84375" style="116" customWidth="1"/>
    <col min="5415" max="5415" width="9.84375" style="116"/>
    <col min="5416" max="5416" width="10.84375" style="116" customWidth="1"/>
    <col min="5417" max="5418" width="9.84375" style="116"/>
    <col min="5419" max="5419" width="10.84375" style="116" customWidth="1"/>
    <col min="5420" max="5420" width="9.84375" style="116"/>
    <col min="5421" max="5421" width="10.84375" style="116" customWidth="1"/>
    <col min="5422" max="5422" width="9.84375" style="116"/>
    <col min="5423" max="5423" width="11.84375" style="116" customWidth="1"/>
    <col min="5424" max="5426" width="9.84375" style="116"/>
    <col min="5427" max="5427" width="10.84375" style="116" customWidth="1"/>
    <col min="5428" max="5428" width="11.07421875" style="116" customWidth="1"/>
    <col min="5429" max="5429" width="12.53515625" style="116" customWidth="1"/>
    <col min="5430" max="5632" width="9.84375" style="116"/>
    <col min="5633" max="5633" width="6.84375" style="116" customWidth="1"/>
    <col min="5634" max="5634" width="17.84375" style="116" customWidth="1"/>
    <col min="5635" max="5663" width="9.84375" style="116"/>
    <col min="5664" max="5664" width="11.84375" style="116" customWidth="1"/>
    <col min="5665" max="5665" width="9.84375" style="116"/>
    <col min="5666" max="5666" width="10.84375" style="116" customWidth="1"/>
    <col min="5667" max="5669" width="9.84375" style="116"/>
    <col min="5670" max="5670" width="10.84375" style="116" customWidth="1"/>
    <col min="5671" max="5671" width="9.84375" style="116"/>
    <col min="5672" max="5672" width="10.84375" style="116" customWidth="1"/>
    <col min="5673" max="5674" width="9.84375" style="116"/>
    <col min="5675" max="5675" width="10.84375" style="116" customWidth="1"/>
    <col min="5676" max="5676" width="9.84375" style="116"/>
    <col min="5677" max="5677" width="10.84375" style="116" customWidth="1"/>
    <col min="5678" max="5678" width="9.84375" style="116"/>
    <col min="5679" max="5679" width="11.84375" style="116" customWidth="1"/>
    <col min="5680" max="5682" width="9.84375" style="116"/>
    <col min="5683" max="5683" width="10.84375" style="116" customWidth="1"/>
    <col min="5684" max="5684" width="11.07421875" style="116" customWidth="1"/>
    <col min="5685" max="5685" width="12.53515625" style="116" customWidth="1"/>
    <col min="5686" max="5888" width="9.84375" style="116"/>
    <col min="5889" max="5889" width="6.84375" style="116" customWidth="1"/>
    <col min="5890" max="5890" width="17.84375" style="116" customWidth="1"/>
    <col min="5891" max="5919" width="9.84375" style="116"/>
    <col min="5920" max="5920" width="11.84375" style="116" customWidth="1"/>
    <col min="5921" max="5921" width="9.84375" style="116"/>
    <col min="5922" max="5922" width="10.84375" style="116" customWidth="1"/>
    <col min="5923" max="5925" width="9.84375" style="116"/>
    <col min="5926" max="5926" width="10.84375" style="116" customWidth="1"/>
    <col min="5927" max="5927" width="9.84375" style="116"/>
    <col min="5928" max="5928" width="10.84375" style="116" customWidth="1"/>
    <col min="5929" max="5930" width="9.84375" style="116"/>
    <col min="5931" max="5931" width="10.84375" style="116" customWidth="1"/>
    <col min="5932" max="5932" width="9.84375" style="116"/>
    <col min="5933" max="5933" width="10.84375" style="116" customWidth="1"/>
    <col min="5934" max="5934" width="9.84375" style="116"/>
    <col min="5935" max="5935" width="11.84375" style="116" customWidth="1"/>
    <col min="5936" max="5938" width="9.84375" style="116"/>
    <col min="5939" max="5939" width="10.84375" style="116" customWidth="1"/>
    <col min="5940" max="5940" width="11.07421875" style="116" customWidth="1"/>
    <col min="5941" max="5941" width="12.53515625" style="116" customWidth="1"/>
    <col min="5942" max="6144" width="9.84375" style="116"/>
    <col min="6145" max="6145" width="6.84375" style="116" customWidth="1"/>
    <col min="6146" max="6146" width="17.84375" style="116" customWidth="1"/>
    <col min="6147" max="6175" width="9.84375" style="116"/>
    <col min="6176" max="6176" width="11.84375" style="116" customWidth="1"/>
    <col min="6177" max="6177" width="9.84375" style="116"/>
    <col min="6178" max="6178" width="10.84375" style="116" customWidth="1"/>
    <col min="6179" max="6181" width="9.84375" style="116"/>
    <col min="6182" max="6182" width="10.84375" style="116" customWidth="1"/>
    <col min="6183" max="6183" width="9.84375" style="116"/>
    <col min="6184" max="6184" width="10.84375" style="116" customWidth="1"/>
    <col min="6185" max="6186" width="9.84375" style="116"/>
    <col min="6187" max="6187" width="10.84375" style="116" customWidth="1"/>
    <col min="6188" max="6188" width="9.84375" style="116"/>
    <col min="6189" max="6189" width="10.84375" style="116" customWidth="1"/>
    <col min="6190" max="6190" width="9.84375" style="116"/>
    <col min="6191" max="6191" width="11.84375" style="116" customWidth="1"/>
    <col min="6192" max="6194" width="9.84375" style="116"/>
    <col min="6195" max="6195" width="10.84375" style="116" customWidth="1"/>
    <col min="6196" max="6196" width="11.07421875" style="116" customWidth="1"/>
    <col min="6197" max="6197" width="12.53515625" style="116" customWidth="1"/>
    <col min="6198" max="6400" width="9.84375" style="116"/>
    <col min="6401" max="6401" width="6.84375" style="116" customWidth="1"/>
    <col min="6402" max="6402" width="17.84375" style="116" customWidth="1"/>
    <col min="6403" max="6431" width="9.84375" style="116"/>
    <col min="6432" max="6432" width="11.84375" style="116" customWidth="1"/>
    <col min="6433" max="6433" width="9.84375" style="116"/>
    <col min="6434" max="6434" width="10.84375" style="116" customWidth="1"/>
    <col min="6435" max="6437" width="9.84375" style="116"/>
    <col min="6438" max="6438" width="10.84375" style="116" customWidth="1"/>
    <col min="6439" max="6439" width="9.84375" style="116"/>
    <col min="6440" max="6440" width="10.84375" style="116" customWidth="1"/>
    <col min="6441" max="6442" width="9.84375" style="116"/>
    <col min="6443" max="6443" width="10.84375" style="116" customWidth="1"/>
    <col min="6444" max="6444" width="9.84375" style="116"/>
    <col min="6445" max="6445" width="10.84375" style="116" customWidth="1"/>
    <col min="6446" max="6446" width="9.84375" style="116"/>
    <col min="6447" max="6447" width="11.84375" style="116" customWidth="1"/>
    <col min="6448" max="6450" width="9.84375" style="116"/>
    <col min="6451" max="6451" width="10.84375" style="116" customWidth="1"/>
    <col min="6452" max="6452" width="11.07421875" style="116" customWidth="1"/>
    <col min="6453" max="6453" width="12.53515625" style="116" customWidth="1"/>
    <col min="6454" max="6656" width="9.84375" style="116"/>
    <col min="6657" max="6657" width="6.84375" style="116" customWidth="1"/>
    <col min="6658" max="6658" width="17.84375" style="116" customWidth="1"/>
    <col min="6659" max="6687" width="9.84375" style="116"/>
    <col min="6688" max="6688" width="11.84375" style="116" customWidth="1"/>
    <col min="6689" max="6689" width="9.84375" style="116"/>
    <col min="6690" max="6690" width="10.84375" style="116" customWidth="1"/>
    <col min="6691" max="6693" width="9.84375" style="116"/>
    <col min="6694" max="6694" width="10.84375" style="116" customWidth="1"/>
    <col min="6695" max="6695" width="9.84375" style="116"/>
    <col min="6696" max="6696" width="10.84375" style="116" customWidth="1"/>
    <col min="6697" max="6698" width="9.84375" style="116"/>
    <col min="6699" max="6699" width="10.84375" style="116" customWidth="1"/>
    <col min="6700" max="6700" width="9.84375" style="116"/>
    <col min="6701" max="6701" width="10.84375" style="116" customWidth="1"/>
    <col min="6702" max="6702" width="9.84375" style="116"/>
    <col min="6703" max="6703" width="11.84375" style="116" customWidth="1"/>
    <col min="6704" max="6706" width="9.84375" style="116"/>
    <col min="6707" max="6707" width="10.84375" style="116" customWidth="1"/>
    <col min="6708" max="6708" width="11.07421875" style="116" customWidth="1"/>
    <col min="6709" max="6709" width="12.53515625" style="116" customWidth="1"/>
    <col min="6710" max="6912" width="9.84375" style="116"/>
    <col min="6913" max="6913" width="6.84375" style="116" customWidth="1"/>
    <col min="6914" max="6914" width="17.84375" style="116" customWidth="1"/>
    <col min="6915" max="6943" width="9.84375" style="116"/>
    <col min="6944" max="6944" width="11.84375" style="116" customWidth="1"/>
    <col min="6945" max="6945" width="9.84375" style="116"/>
    <col min="6946" max="6946" width="10.84375" style="116" customWidth="1"/>
    <col min="6947" max="6949" width="9.84375" style="116"/>
    <col min="6950" max="6950" width="10.84375" style="116" customWidth="1"/>
    <col min="6951" max="6951" width="9.84375" style="116"/>
    <col min="6952" max="6952" width="10.84375" style="116" customWidth="1"/>
    <col min="6953" max="6954" width="9.84375" style="116"/>
    <col min="6955" max="6955" width="10.84375" style="116" customWidth="1"/>
    <col min="6956" max="6956" width="9.84375" style="116"/>
    <col min="6957" max="6957" width="10.84375" style="116" customWidth="1"/>
    <col min="6958" max="6958" width="9.84375" style="116"/>
    <col min="6959" max="6959" width="11.84375" style="116" customWidth="1"/>
    <col min="6960" max="6962" width="9.84375" style="116"/>
    <col min="6963" max="6963" width="10.84375" style="116" customWidth="1"/>
    <col min="6964" max="6964" width="11.07421875" style="116" customWidth="1"/>
    <col min="6965" max="6965" width="12.53515625" style="116" customWidth="1"/>
    <col min="6966" max="7168" width="9.84375" style="116"/>
    <col min="7169" max="7169" width="6.84375" style="116" customWidth="1"/>
    <col min="7170" max="7170" width="17.84375" style="116" customWidth="1"/>
    <col min="7171" max="7199" width="9.84375" style="116"/>
    <col min="7200" max="7200" width="11.84375" style="116" customWidth="1"/>
    <col min="7201" max="7201" width="9.84375" style="116"/>
    <col min="7202" max="7202" width="10.84375" style="116" customWidth="1"/>
    <col min="7203" max="7205" width="9.84375" style="116"/>
    <col min="7206" max="7206" width="10.84375" style="116" customWidth="1"/>
    <col min="7207" max="7207" width="9.84375" style="116"/>
    <col min="7208" max="7208" width="10.84375" style="116" customWidth="1"/>
    <col min="7209" max="7210" width="9.84375" style="116"/>
    <col min="7211" max="7211" width="10.84375" style="116" customWidth="1"/>
    <col min="7212" max="7212" width="9.84375" style="116"/>
    <col min="7213" max="7213" width="10.84375" style="116" customWidth="1"/>
    <col min="7214" max="7214" width="9.84375" style="116"/>
    <col min="7215" max="7215" width="11.84375" style="116" customWidth="1"/>
    <col min="7216" max="7218" width="9.84375" style="116"/>
    <col min="7219" max="7219" width="10.84375" style="116" customWidth="1"/>
    <col min="7220" max="7220" width="11.07421875" style="116" customWidth="1"/>
    <col min="7221" max="7221" width="12.53515625" style="116" customWidth="1"/>
    <col min="7222" max="7424" width="9.84375" style="116"/>
    <col min="7425" max="7425" width="6.84375" style="116" customWidth="1"/>
    <col min="7426" max="7426" width="17.84375" style="116" customWidth="1"/>
    <col min="7427" max="7455" width="9.84375" style="116"/>
    <col min="7456" max="7456" width="11.84375" style="116" customWidth="1"/>
    <col min="7457" max="7457" width="9.84375" style="116"/>
    <col min="7458" max="7458" width="10.84375" style="116" customWidth="1"/>
    <col min="7459" max="7461" width="9.84375" style="116"/>
    <col min="7462" max="7462" width="10.84375" style="116" customWidth="1"/>
    <col min="7463" max="7463" width="9.84375" style="116"/>
    <col min="7464" max="7464" width="10.84375" style="116" customWidth="1"/>
    <col min="7465" max="7466" width="9.84375" style="116"/>
    <col min="7467" max="7467" width="10.84375" style="116" customWidth="1"/>
    <col min="7468" max="7468" width="9.84375" style="116"/>
    <col min="7469" max="7469" width="10.84375" style="116" customWidth="1"/>
    <col min="7470" max="7470" width="9.84375" style="116"/>
    <col min="7471" max="7471" width="11.84375" style="116" customWidth="1"/>
    <col min="7472" max="7474" width="9.84375" style="116"/>
    <col min="7475" max="7475" width="10.84375" style="116" customWidth="1"/>
    <col min="7476" max="7476" width="11.07421875" style="116" customWidth="1"/>
    <col min="7477" max="7477" width="12.53515625" style="116" customWidth="1"/>
    <col min="7478" max="7680" width="9.84375" style="116"/>
    <col min="7681" max="7681" width="6.84375" style="116" customWidth="1"/>
    <col min="7682" max="7682" width="17.84375" style="116" customWidth="1"/>
    <col min="7683" max="7711" width="9.84375" style="116"/>
    <col min="7712" max="7712" width="11.84375" style="116" customWidth="1"/>
    <col min="7713" max="7713" width="9.84375" style="116"/>
    <col min="7714" max="7714" width="10.84375" style="116" customWidth="1"/>
    <col min="7715" max="7717" width="9.84375" style="116"/>
    <col min="7718" max="7718" width="10.84375" style="116" customWidth="1"/>
    <col min="7719" max="7719" width="9.84375" style="116"/>
    <col min="7720" max="7720" width="10.84375" style="116" customWidth="1"/>
    <col min="7721" max="7722" width="9.84375" style="116"/>
    <col min="7723" max="7723" width="10.84375" style="116" customWidth="1"/>
    <col min="7724" max="7724" width="9.84375" style="116"/>
    <col min="7725" max="7725" width="10.84375" style="116" customWidth="1"/>
    <col min="7726" max="7726" width="9.84375" style="116"/>
    <col min="7727" max="7727" width="11.84375" style="116" customWidth="1"/>
    <col min="7728" max="7730" width="9.84375" style="116"/>
    <col min="7731" max="7731" width="10.84375" style="116" customWidth="1"/>
    <col min="7732" max="7732" width="11.07421875" style="116" customWidth="1"/>
    <col min="7733" max="7733" width="12.53515625" style="116" customWidth="1"/>
    <col min="7734" max="7936" width="9.84375" style="116"/>
    <col min="7937" max="7937" width="6.84375" style="116" customWidth="1"/>
    <col min="7938" max="7938" width="17.84375" style="116" customWidth="1"/>
    <col min="7939" max="7967" width="9.84375" style="116"/>
    <col min="7968" max="7968" width="11.84375" style="116" customWidth="1"/>
    <col min="7969" max="7969" width="9.84375" style="116"/>
    <col min="7970" max="7970" width="10.84375" style="116" customWidth="1"/>
    <col min="7971" max="7973" width="9.84375" style="116"/>
    <col min="7974" max="7974" width="10.84375" style="116" customWidth="1"/>
    <col min="7975" max="7975" width="9.84375" style="116"/>
    <col min="7976" max="7976" width="10.84375" style="116" customWidth="1"/>
    <col min="7977" max="7978" width="9.84375" style="116"/>
    <col min="7979" max="7979" width="10.84375" style="116" customWidth="1"/>
    <col min="7980" max="7980" width="9.84375" style="116"/>
    <col min="7981" max="7981" width="10.84375" style="116" customWidth="1"/>
    <col min="7982" max="7982" width="9.84375" style="116"/>
    <col min="7983" max="7983" width="11.84375" style="116" customWidth="1"/>
    <col min="7984" max="7986" width="9.84375" style="116"/>
    <col min="7987" max="7987" width="10.84375" style="116" customWidth="1"/>
    <col min="7988" max="7988" width="11.07421875" style="116" customWidth="1"/>
    <col min="7989" max="7989" width="12.53515625" style="116" customWidth="1"/>
    <col min="7990" max="8192" width="9.84375" style="116"/>
    <col min="8193" max="8193" width="6.84375" style="116" customWidth="1"/>
    <col min="8194" max="8194" width="17.84375" style="116" customWidth="1"/>
    <col min="8195" max="8223" width="9.84375" style="116"/>
    <col min="8224" max="8224" width="11.84375" style="116" customWidth="1"/>
    <col min="8225" max="8225" width="9.84375" style="116"/>
    <col min="8226" max="8226" width="10.84375" style="116" customWidth="1"/>
    <col min="8227" max="8229" width="9.84375" style="116"/>
    <col min="8230" max="8230" width="10.84375" style="116" customWidth="1"/>
    <col min="8231" max="8231" width="9.84375" style="116"/>
    <col min="8232" max="8232" width="10.84375" style="116" customWidth="1"/>
    <col min="8233" max="8234" width="9.84375" style="116"/>
    <col min="8235" max="8235" width="10.84375" style="116" customWidth="1"/>
    <col min="8236" max="8236" width="9.84375" style="116"/>
    <col min="8237" max="8237" width="10.84375" style="116" customWidth="1"/>
    <col min="8238" max="8238" width="9.84375" style="116"/>
    <col min="8239" max="8239" width="11.84375" style="116" customWidth="1"/>
    <col min="8240" max="8242" width="9.84375" style="116"/>
    <col min="8243" max="8243" width="10.84375" style="116" customWidth="1"/>
    <col min="8244" max="8244" width="11.07421875" style="116" customWidth="1"/>
    <col min="8245" max="8245" width="12.53515625" style="116" customWidth="1"/>
    <col min="8246" max="8448" width="9.84375" style="116"/>
    <col min="8449" max="8449" width="6.84375" style="116" customWidth="1"/>
    <col min="8450" max="8450" width="17.84375" style="116" customWidth="1"/>
    <col min="8451" max="8479" width="9.84375" style="116"/>
    <col min="8480" max="8480" width="11.84375" style="116" customWidth="1"/>
    <col min="8481" max="8481" width="9.84375" style="116"/>
    <col min="8482" max="8482" width="10.84375" style="116" customWidth="1"/>
    <col min="8483" max="8485" width="9.84375" style="116"/>
    <col min="8486" max="8486" width="10.84375" style="116" customWidth="1"/>
    <col min="8487" max="8487" width="9.84375" style="116"/>
    <col min="8488" max="8488" width="10.84375" style="116" customWidth="1"/>
    <col min="8489" max="8490" width="9.84375" style="116"/>
    <col min="8491" max="8491" width="10.84375" style="116" customWidth="1"/>
    <col min="8492" max="8492" width="9.84375" style="116"/>
    <col min="8493" max="8493" width="10.84375" style="116" customWidth="1"/>
    <col min="8494" max="8494" width="9.84375" style="116"/>
    <col min="8495" max="8495" width="11.84375" style="116" customWidth="1"/>
    <col min="8496" max="8498" width="9.84375" style="116"/>
    <col min="8499" max="8499" width="10.84375" style="116" customWidth="1"/>
    <col min="8500" max="8500" width="11.07421875" style="116" customWidth="1"/>
    <col min="8501" max="8501" width="12.53515625" style="116" customWidth="1"/>
    <col min="8502" max="8704" width="9.84375" style="116"/>
    <col min="8705" max="8705" width="6.84375" style="116" customWidth="1"/>
    <col min="8706" max="8706" width="17.84375" style="116" customWidth="1"/>
    <col min="8707" max="8735" width="9.84375" style="116"/>
    <col min="8736" max="8736" width="11.84375" style="116" customWidth="1"/>
    <col min="8737" max="8737" width="9.84375" style="116"/>
    <col min="8738" max="8738" width="10.84375" style="116" customWidth="1"/>
    <col min="8739" max="8741" width="9.84375" style="116"/>
    <col min="8742" max="8742" width="10.84375" style="116" customWidth="1"/>
    <col min="8743" max="8743" width="9.84375" style="116"/>
    <col min="8744" max="8744" width="10.84375" style="116" customWidth="1"/>
    <col min="8745" max="8746" width="9.84375" style="116"/>
    <col min="8747" max="8747" width="10.84375" style="116" customWidth="1"/>
    <col min="8748" max="8748" width="9.84375" style="116"/>
    <col min="8749" max="8749" width="10.84375" style="116" customWidth="1"/>
    <col min="8750" max="8750" width="9.84375" style="116"/>
    <col min="8751" max="8751" width="11.84375" style="116" customWidth="1"/>
    <col min="8752" max="8754" width="9.84375" style="116"/>
    <col min="8755" max="8755" width="10.84375" style="116" customWidth="1"/>
    <col min="8756" max="8756" width="11.07421875" style="116" customWidth="1"/>
    <col min="8757" max="8757" width="12.53515625" style="116" customWidth="1"/>
    <col min="8758" max="8960" width="9.84375" style="116"/>
    <col min="8961" max="8961" width="6.84375" style="116" customWidth="1"/>
    <col min="8962" max="8962" width="17.84375" style="116" customWidth="1"/>
    <col min="8963" max="8991" width="9.84375" style="116"/>
    <col min="8992" max="8992" width="11.84375" style="116" customWidth="1"/>
    <col min="8993" max="8993" width="9.84375" style="116"/>
    <col min="8994" max="8994" width="10.84375" style="116" customWidth="1"/>
    <col min="8995" max="8997" width="9.84375" style="116"/>
    <col min="8998" max="8998" width="10.84375" style="116" customWidth="1"/>
    <col min="8999" max="8999" width="9.84375" style="116"/>
    <col min="9000" max="9000" width="10.84375" style="116" customWidth="1"/>
    <col min="9001" max="9002" width="9.84375" style="116"/>
    <col min="9003" max="9003" width="10.84375" style="116" customWidth="1"/>
    <col min="9004" max="9004" width="9.84375" style="116"/>
    <col min="9005" max="9005" width="10.84375" style="116" customWidth="1"/>
    <col min="9006" max="9006" width="9.84375" style="116"/>
    <col min="9007" max="9007" width="11.84375" style="116" customWidth="1"/>
    <col min="9008" max="9010" width="9.84375" style="116"/>
    <col min="9011" max="9011" width="10.84375" style="116" customWidth="1"/>
    <col min="9012" max="9012" width="11.07421875" style="116" customWidth="1"/>
    <col min="9013" max="9013" width="12.53515625" style="116" customWidth="1"/>
    <col min="9014" max="9216" width="9.84375" style="116"/>
    <col min="9217" max="9217" width="6.84375" style="116" customWidth="1"/>
    <col min="9218" max="9218" width="17.84375" style="116" customWidth="1"/>
    <col min="9219" max="9247" width="9.84375" style="116"/>
    <col min="9248" max="9248" width="11.84375" style="116" customWidth="1"/>
    <col min="9249" max="9249" width="9.84375" style="116"/>
    <col min="9250" max="9250" width="10.84375" style="116" customWidth="1"/>
    <col min="9251" max="9253" width="9.84375" style="116"/>
    <col min="9254" max="9254" width="10.84375" style="116" customWidth="1"/>
    <col min="9255" max="9255" width="9.84375" style="116"/>
    <col min="9256" max="9256" width="10.84375" style="116" customWidth="1"/>
    <col min="9257" max="9258" width="9.84375" style="116"/>
    <col min="9259" max="9259" width="10.84375" style="116" customWidth="1"/>
    <col min="9260" max="9260" width="9.84375" style="116"/>
    <col min="9261" max="9261" width="10.84375" style="116" customWidth="1"/>
    <col min="9262" max="9262" width="9.84375" style="116"/>
    <col min="9263" max="9263" width="11.84375" style="116" customWidth="1"/>
    <col min="9264" max="9266" width="9.84375" style="116"/>
    <col min="9267" max="9267" width="10.84375" style="116" customWidth="1"/>
    <col min="9268" max="9268" width="11.07421875" style="116" customWidth="1"/>
    <col min="9269" max="9269" width="12.53515625" style="116" customWidth="1"/>
    <col min="9270" max="9472" width="9.84375" style="116"/>
    <col min="9473" max="9473" width="6.84375" style="116" customWidth="1"/>
    <col min="9474" max="9474" width="17.84375" style="116" customWidth="1"/>
    <col min="9475" max="9503" width="9.84375" style="116"/>
    <col min="9504" max="9504" width="11.84375" style="116" customWidth="1"/>
    <col min="9505" max="9505" width="9.84375" style="116"/>
    <col min="9506" max="9506" width="10.84375" style="116" customWidth="1"/>
    <col min="9507" max="9509" width="9.84375" style="116"/>
    <col min="9510" max="9510" width="10.84375" style="116" customWidth="1"/>
    <col min="9511" max="9511" width="9.84375" style="116"/>
    <col min="9512" max="9512" width="10.84375" style="116" customWidth="1"/>
    <col min="9513" max="9514" width="9.84375" style="116"/>
    <col min="9515" max="9515" width="10.84375" style="116" customWidth="1"/>
    <col min="9516" max="9516" width="9.84375" style="116"/>
    <col min="9517" max="9517" width="10.84375" style="116" customWidth="1"/>
    <col min="9518" max="9518" width="9.84375" style="116"/>
    <col min="9519" max="9519" width="11.84375" style="116" customWidth="1"/>
    <col min="9520" max="9522" width="9.84375" style="116"/>
    <col min="9523" max="9523" width="10.84375" style="116" customWidth="1"/>
    <col min="9524" max="9524" width="11.07421875" style="116" customWidth="1"/>
    <col min="9525" max="9525" width="12.53515625" style="116" customWidth="1"/>
    <col min="9526" max="9728" width="9.84375" style="116"/>
    <col min="9729" max="9729" width="6.84375" style="116" customWidth="1"/>
    <col min="9730" max="9730" width="17.84375" style="116" customWidth="1"/>
    <col min="9731" max="9759" width="9.84375" style="116"/>
    <col min="9760" max="9760" width="11.84375" style="116" customWidth="1"/>
    <col min="9761" max="9761" width="9.84375" style="116"/>
    <col min="9762" max="9762" width="10.84375" style="116" customWidth="1"/>
    <col min="9763" max="9765" width="9.84375" style="116"/>
    <col min="9766" max="9766" width="10.84375" style="116" customWidth="1"/>
    <col min="9767" max="9767" width="9.84375" style="116"/>
    <col min="9768" max="9768" width="10.84375" style="116" customWidth="1"/>
    <col min="9769" max="9770" width="9.84375" style="116"/>
    <col min="9771" max="9771" width="10.84375" style="116" customWidth="1"/>
    <col min="9772" max="9772" width="9.84375" style="116"/>
    <col min="9773" max="9773" width="10.84375" style="116" customWidth="1"/>
    <col min="9774" max="9774" width="9.84375" style="116"/>
    <col min="9775" max="9775" width="11.84375" style="116" customWidth="1"/>
    <col min="9776" max="9778" width="9.84375" style="116"/>
    <col min="9779" max="9779" width="10.84375" style="116" customWidth="1"/>
    <col min="9780" max="9780" width="11.07421875" style="116" customWidth="1"/>
    <col min="9781" max="9781" width="12.53515625" style="116" customWidth="1"/>
    <col min="9782" max="9984" width="9.84375" style="116"/>
    <col min="9985" max="9985" width="6.84375" style="116" customWidth="1"/>
    <col min="9986" max="9986" width="17.84375" style="116" customWidth="1"/>
    <col min="9987" max="10015" width="9.84375" style="116"/>
    <col min="10016" max="10016" width="11.84375" style="116" customWidth="1"/>
    <col min="10017" max="10017" width="9.84375" style="116"/>
    <col min="10018" max="10018" width="10.84375" style="116" customWidth="1"/>
    <col min="10019" max="10021" width="9.84375" style="116"/>
    <col min="10022" max="10022" width="10.84375" style="116" customWidth="1"/>
    <col min="10023" max="10023" width="9.84375" style="116"/>
    <col min="10024" max="10024" width="10.84375" style="116" customWidth="1"/>
    <col min="10025" max="10026" width="9.84375" style="116"/>
    <col min="10027" max="10027" width="10.84375" style="116" customWidth="1"/>
    <col min="10028" max="10028" width="9.84375" style="116"/>
    <col min="10029" max="10029" width="10.84375" style="116" customWidth="1"/>
    <col min="10030" max="10030" width="9.84375" style="116"/>
    <col min="10031" max="10031" width="11.84375" style="116" customWidth="1"/>
    <col min="10032" max="10034" width="9.84375" style="116"/>
    <col min="10035" max="10035" width="10.84375" style="116" customWidth="1"/>
    <col min="10036" max="10036" width="11.07421875" style="116" customWidth="1"/>
    <col min="10037" max="10037" width="12.53515625" style="116" customWidth="1"/>
    <col min="10038" max="10240" width="9.84375" style="116"/>
    <col min="10241" max="10241" width="6.84375" style="116" customWidth="1"/>
    <col min="10242" max="10242" width="17.84375" style="116" customWidth="1"/>
    <col min="10243" max="10271" width="9.84375" style="116"/>
    <col min="10272" max="10272" width="11.84375" style="116" customWidth="1"/>
    <col min="10273" max="10273" width="9.84375" style="116"/>
    <col min="10274" max="10274" width="10.84375" style="116" customWidth="1"/>
    <col min="10275" max="10277" width="9.84375" style="116"/>
    <col min="10278" max="10278" width="10.84375" style="116" customWidth="1"/>
    <col min="10279" max="10279" width="9.84375" style="116"/>
    <col min="10280" max="10280" width="10.84375" style="116" customWidth="1"/>
    <col min="10281" max="10282" width="9.84375" style="116"/>
    <col min="10283" max="10283" width="10.84375" style="116" customWidth="1"/>
    <col min="10284" max="10284" width="9.84375" style="116"/>
    <col min="10285" max="10285" width="10.84375" style="116" customWidth="1"/>
    <col min="10286" max="10286" width="9.84375" style="116"/>
    <col min="10287" max="10287" width="11.84375" style="116" customWidth="1"/>
    <col min="10288" max="10290" width="9.84375" style="116"/>
    <col min="10291" max="10291" width="10.84375" style="116" customWidth="1"/>
    <col min="10292" max="10292" width="11.07421875" style="116" customWidth="1"/>
    <col min="10293" max="10293" width="12.53515625" style="116" customWidth="1"/>
    <col min="10294" max="10496" width="9.84375" style="116"/>
    <col min="10497" max="10497" width="6.84375" style="116" customWidth="1"/>
    <col min="10498" max="10498" width="17.84375" style="116" customWidth="1"/>
    <col min="10499" max="10527" width="9.84375" style="116"/>
    <col min="10528" max="10528" width="11.84375" style="116" customWidth="1"/>
    <col min="10529" max="10529" width="9.84375" style="116"/>
    <col min="10530" max="10530" width="10.84375" style="116" customWidth="1"/>
    <col min="10531" max="10533" width="9.84375" style="116"/>
    <col min="10534" max="10534" width="10.84375" style="116" customWidth="1"/>
    <col min="10535" max="10535" width="9.84375" style="116"/>
    <col min="10536" max="10536" width="10.84375" style="116" customWidth="1"/>
    <col min="10537" max="10538" width="9.84375" style="116"/>
    <col min="10539" max="10539" width="10.84375" style="116" customWidth="1"/>
    <col min="10540" max="10540" width="9.84375" style="116"/>
    <col min="10541" max="10541" width="10.84375" style="116" customWidth="1"/>
    <col min="10542" max="10542" width="9.84375" style="116"/>
    <col min="10543" max="10543" width="11.84375" style="116" customWidth="1"/>
    <col min="10544" max="10546" width="9.84375" style="116"/>
    <col min="10547" max="10547" width="10.84375" style="116" customWidth="1"/>
    <col min="10548" max="10548" width="11.07421875" style="116" customWidth="1"/>
    <col min="10549" max="10549" width="12.53515625" style="116" customWidth="1"/>
    <col min="10550" max="10752" width="9.84375" style="116"/>
    <col min="10753" max="10753" width="6.84375" style="116" customWidth="1"/>
    <col min="10754" max="10754" width="17.84375" style="116" customWidth="1"/>
    <col min="10755" max="10783" width="9.84375" style="116"/>
    <col min="10784" max="10784" width="11.84375" style="116" customWidth="1"/>
    <col min="10785" max="10785" width="9.84375" style="116"/>
    <col min="10786" max="10786" width="10.84375" style="116" customWidth="1"/>
    <col min="10787" max="10789" width="9.84375" style="116"/>
    <col min="10790" max="10790" width="10.84375" style="116" customWidth="1"/>
    <col min="10791" max="10791" width="9.84375" style="116"/>
    <col min="10792" max="10792" width="10.84375" style="116" customWidth="1"/>
    <col min="10793" max="10794" width="9.84375" style="116"/>
    <col min="10795" max="10795" width="10.84375" style="116" customWidth="1"/>
    <col min="10796" max="10796" width="9.84375" style="116"/>
    <col min="10797" max="10797" width="10.84375" style="116" customWidth="1"/>
    <col min="10798" max="10798" width="9.84375" style="116"/>
    <col min="10799" max="10799" width="11.84375" style="116" customWidth="1"/>
    <col min="10800" max="10802" width="9.84375" style="116"/>
    <col min="10803" max="10803" width="10.84375" style="116" customWidth="1"/>
    <col min="10804" max="10804" width="11.07421875" style="116" customWidth="1"/>
    <col min="10805" max="10805" width="12.53515625" style="116" customWidth="1"/>
    <col min="10806" max="11008" width="9.84375" style="116"/>
    <col min="11009" max="11009" width="6.84375" style="116" customWidth="1"/>
    <col min="11010" max="11010" width="17.84375" style="116" customWidth="1"/>
    <col min="11011" max="11039" width="9.84375" style="116"/>
    <col min="11040" max="11040" width="11.84375" style="116" customWidth="1"/>
    <col min="11041" max="11041" width="9.84375" style="116"/>
    <col min="11042" max="11042" width="10.84375" style="116" customWidth="1"/>
    <col min="11043" max="11045" width="9.84375" style="116"/>
    <col min="11046" max="11046" width="10.84375" style="116" customWidth="1"/>
    <col min="11047" max="11047" width="9.84375" style="116"/>
    <col min="11048" max="11048" width="10.84375" style="116" customWidth="1"/>
    <col min="11049" max="11050" width="9.84375" style="116"/>
    <col min="11051" max="11051" width="10.84375" style="116" customWidth="1"/>
    <col min="11052" max="11052" width="9.84375" style="116"/>
    <col min="11053" max="11053" width="10.84375" style="116" customWidth="1"/>
    <col min="11054" max="11054" width="9.84375" style="116"/>
    <col min="11055" max="11055" width="11.84375" style="116" customWidth="1"/>
    <col min="11056" max="11058" width="9.84375" style="116"/>
    <col min="11059" max="11059" width="10.84375" style="116" customWidth="1"/>
    <col min="11060" max="11060" width="11.07421875" style="116" customWidth="1"/>
    <col min="11061" max="11061" width="12.53515625" style="116" customWidth="1"/>
    <col min="11062" max="11264" width="9.84375" style="116"/>
    <col min="11265" max="11265" width="6.84375" style="116" customWidth="1"/>
    <col min="11266" max="11266" width="17.84375" style="116" customWidth="1"/>
    <col min="11267" max="11295" width="9.84375" style="116"/>
    <col min="11296" max="11296" width="11.84375" style="116" customWidth="1"/>
    <col min="11297" max="11297" width="9.84375" style="116"/>
    <col min="11298" max="11298" width="10.84375" style="116" customWidth="1"/>
    <col min="11299" max="11301" width="9.84375" style="116"/>
    <col min="11302" max="11302" width="10.84375" style="116" customWidth="1"/>
    <col min="11303" max="11303" width="9.84375" style="116"/>
    <col min="11304" max="11304" width="10.84375" style="116" customWidth="1"/>
    <col min="11305" max="11306" width="9.84375" style="116"/>
    <col min="11307" max="11307" width="10.84375" style="116" customWidth="1"/>
    <col min="11308" max="11308" width="9.84375" style="116"/>
    <col min="11309" max="11309" width="10.84375" style="116" customWidth="1"/>
    <col min="11310" max="11310" width="9.84375" style="116"/>
    <col min="11311" max="11311" width="11.84375" style="116" customWidth="1"/>
    <col min="11312" max="11314" width="9.84375" style="116"/>
    <col min="11315" max="11315" width="10.84375" style="116" customWidth="1"/>
    <col min="11316" max="11316" width="11.07421875" style="116" customWidth="1"/>
    <col min="11317" max="11317" width="12.53515625" style="116" customWidth="1"/>
    <col min="11318" max="11520" width="9.84375" style="116"/>
    <col min="11521" max="11521" width="6.84375" style="116" customWidth="1"/>
    <col min="11522" max="11522" width="17.84375" style="116" customWidth="1"/>
    <col min="11523" max="11551" width="9.84375" style="116"/>
    <col min="11552" max="11552" width="11.84375" style="116" customWidth="1"/>
    <col min="11553" max="11553" width="9.84375" style="116"/>
    <col min="11554" max="11554" width="10.84375" style="116" customWidth="1"/>
    <col min="11555" max="11557" width="9.84375" style="116"/>
    <col min="11558" max="11558" width="10.84375" style="116" customWidth="1"/>
    <col min="11559" max="11559" width="9.84375" style="116"/>
    <col min="11560" max="11560" width="10.84375" style="116" customWidth="1"/>
    <col min="11561" max="11562" width="9.84375" style="116"/>
    <col min="11563" max="11563" width="10.84375" style="116" customWidth="1"/>
    <col min="11564" max="11564" width="9.84375" style="116"/>
    <col min="11565" max="11565" width="10.84375" style="116" customWidth="1"/>
    <col min="11566" max="11566" width="9.84375" style="116"/>
    <col min="11567" max="11567" width="11.84375" style="116" customWidth="1"/>
    <col min="11568" max="11570" width="9.84375" style="116"/>
    <col min="11571" max="11571" width="10.84375" style="116" customWidth="1"/>
    <col min="11572" max="11572" width="11.07421875" style="116" customWidth="1"/>
    <col min="11573" max="11573" width="12.53515625" style="116" customWidth="1"/>
    <col min="11574" max="11776" width="9.84375" style="116"/>
    <col min="11777" max="11777" width="6.84375" style="116" customWidth="1"/>
    <col min="11778" max="11778" width="17.84375" style="116" customWidth="1"/>
    <col min="11779" max="11807" width="9.84375" style="116"/>
    <col min="11808" max="11808" width="11.84375" style="116" customWidth="1"/>
    <col min="11809" max="11809" width="9.84375" style="116"/>
    <col min="11810" max="11810" width="10.84375" style="116" customWidth="1"/>
    <col min="11811" max="11813" width="9.84375" style="116"/>
    <col min="11814" max="11814" width="10.84375" style="116" customWidth="1"/>
    <col min="11815" max="11815" width="9.84375" style="116"/>
    <col min="11816" max="11816" width="10.84375" style="116" customWidth="1"/>
    <col min="11817" max="11818" width="9.84375" style="116"/>
    <col min="11819" max="11819" width="10.84375" style="116" customWidth="1"/>
    <col min="11820" max="11820" width="9.84375" style="116"/>
    <col min="11821" max="11821" width="10.84375" style="116" customWidth="1"/>
    <col min="11822" max="11822" width="9.84375" style="116"/>
    <col min="11823" max="11823" width="11.84375" style="116" customWidth="1"/>
    <col min="11824" max="11826" width="9.84375" style="116"/>
    <col min="11827" max="11827" width="10.84375" style="116" customWidth="1"/>
    <col min="11828" max="11828" width="11.07421875" style="116" customWidth="1"/>
    <col min="11829" max="11829" width="12.53515625" style="116" customWidth="1"/>
    <col min="11830" max="12032" width="9.84375" style="116"/>
    <col min="12033" max="12033" width="6.84375" style="116" customWidth="1"/>
    <col min="12034" max="12034" width="17.84375" style="116" customWidth="1"/>
    <col min="12035" max="12063" width="9.84375" style="116"/>
    <col min="12064" max="12064" width="11.84375" style="116" customWidth="1"/>
    <col min="12065" max="12065" width="9.84375" style="116"/>
    <col min="12066" max="12066" width="10.84375" style="116" customWidth="1"/>
    <col min="12067" max="12069" width="9.84375" style="116"/>
    <col min="12070" max="12070" width="10.84375" style="116" customWidth="1"/>
    <col min="12071" max="12071" width="9.84375" style="116"/>
    <col min="12072" max="12072" width="10.84375" style="116" customWidth="1"/>
    <col min="12073" max="12074" width="9.84375" style="116"/>
    <col min="12075" max="12075" width="10.84375" style="116" customWidth="1"/>
    <col min="12076" max="12076" width="9.84375" style="116"/>
    <col min="12077" max="12077" width="10.84375" style="116" customWidth="1"/>
    <col min="12078" max="12078" width="9.84375" style="116"/>
    <col min="12079" max="12079" width="11.84375" style="116" customWidth="1"/>
    <col min="12080" max="12082" width="9.84375" style="116"/>
    <col min="12083" max="12083" width="10.84375" style="116" customWidth="1"/>
    <col min="12084" max="12084" width="11.07421875" style="116" customWidth="1"/>
    <col min="12085" max="12085" width="12.53515625" style="116" customWidth="1"/>
    <col min="12086" max="12288" width="9.84375" style="116"/>
    <col min="12289" max="12289" width="6.84375" style="116" customWidth="1"/>
    <col min="12290" max="12290" width="17.84375" style="116" customWidth="1"/>
    <col min="12291" max="12319" width="9.84375" style="116"/>
    <col min="12320" max="12320" width="11.84375" style="116" customWidth="1"/>
    <col min="12321" max="12321" width="9.84375" style="116"/>
    <col min="12322" max="12322" width="10.84375" style="116" customWidth="1"/>
    <col min="12323" max="12325" width="9.84375" style="116"/>
    <col min="12326" max="12326" width="10.84375" style="116" customWidth="1"/>
    <col min="12327" max="12327" width="9.84375" style="116"/>
    <col min="12328" max="12328" width="10.84375" style="116" customWidth="1"/>
    <col min="12329" max="12330" width="9.84375" style="116"/>
    <col min="12331" max="12331" width="10.84375" style="116" customWidth="1"/>
    <col min="12332" max="12332" width="9.84375" style="116"/>
    <col min="12333" max="12333" width="10.84375" style="116" customWidth="1"/>
    <col min="12334" max="12334" width="9.84375" style="116"/>
    <col min="12335" max="12335" width="11.84375" style="116" customWidth="1"/>
    <col min="12336" max="12338" width="9.84375" style="116"/>
    <col min="12339" max="12339" width="10.84375" style="116" customWidth="1"/>
    <col min="12340" max="12340" width="11.07421875" style="116" customWidth="1"/>
    <col min="12341" max="12341" width="12.53515625" style="116" customWidth="1"/>
    <col min="12342" max="12544" width="9.84375" style="116"/>
    <col min="12545" max="12545" width="6.84375" style="116" customWidth="1"/>
    <col min="12546" max="12546" width="17.84375" style="116" customWidth="1"/>
    <col min="12547" max="12575" width="9.84375" style="116"/>
    <col min="12576" max="12576" width="11.84375" style="116" customWidth="1"/>
    <col min="12577" max="12577" width="9.84375" style="116"/>
    <col min="12578" max="12578" width="10.84375" style="116" customWidth="1"/>
    <col min="12579" max="12581" width="9.84375" style="116"/>
    <col min="12582" max="12582" width="10.84375" style="116" customWidth="1"/>
    <col min="12583" max="12583" width="9.84375" style="116"/>
    <col min="12584" max="12584" width="10.84375" style="116" customWidth="1"/>
    <col min="12585" max="12586" width="9.84375" style="116"/>
    <col min="12587" max="12587" width="10.84375" style="116" customWidth="1"/>
    <col min="12588" max="12588" width="9.84375" style="116"/>
    <col min="12589" max="12589" width="10.84375" style="116" customWidth="1"/>
    <col min="12590" max="12590" width="9.84375" style="116"/>
    <col min="12591" max="12591" width="11.84375" style="116" customWidth="1"/>
    <col min="12592" max="12594" width="9.84375" style="116"/>
    <col min="12595" max="12595" width="10.84375" style="116" customWidth="1"/>
    <col min="12596" max="12596" width="11.07421875" style="116" customWidth="1"/>
    <col min="12597" max="12597" width="12.53515625" style="116" customWidth="1"/>
    <col min="12598" max="12800" width="9.84375" style="116"/>
    <col min="12801" max="12801" width="6.84375" style="116" customWidth="1"/>
    <col min="12802" max="12802" width="17.84375" style="116" customWidth="1"/>
    <col min="12803" max="12831" width="9.84375" style="116"/>
    <col min="12832" max="12832" width="11.84375" style="116" customWidth="1"/>
    <col min="12833" max="12833" width="9.84375" style="116"/>
    <col min="12834" max="12834" width="10.84375" style="116" customWidth="1"/>
    <col min="12835" max="12837" width="9.84375" style="116"/>
    <col min="12838" max="12838" width="10.84375" style="116" customWidth="1"/>
    <col min="12839" max="12839" width="9.84375" style="116"/>
    <col min="12840" max="12840" width="10.84375" style="116" customWidth="1"/>
    <col min="12841" max="12842" width="9.84375" style="116"/>
    <col min="12843" max="12843" width="10.84375" style="116" customWidth="1"/>
    <col min="12844" max="12844" width="9.84375" style="116"/>
    <col min="12845" max="12845" width="10.84375" style="116" customWidth="1"/>
    <col min="12846" max="12846" width="9.84375" style="116"/>
    <col min="12847" max="12847" width="11.84375" style="116" customWidth="1"/>
    <col min="12848" max="12850" width="9.84375" style="116"/>
    <col min="12851" max="12851" width="10.84375" style="116" customWidth="1"/>
    <col min="12852" max="12852" width="11.07421875" style="116" customWidth="1"/>
    <col min="12853" max="12853" width="12.53515625" style="116" customWidth="1"/>
    <col min="12854" max="13056" width="9.84375" style="116"/>
    <col min="13057" max="13057" width="6.84375" style="116" customWidth="1"/>
    <col min="13058" max="13058" width="17.84375" style="116" customWidth="1"/>
    <col min="13059" max="13087" width="9.84375" style="116"/>
    <col min="13088" max="13088" width="11.84375" style="116" customWidth="1"/>
    <col min="13089" max="13089" width="9.84375" style="116"/>
    <col min="13090" max="13090" width="10.84375" style="116" customWidth="1"/>
    <col min="13091" max="13093" width="9.84375" style="116"/>
    <col min="13094" max="13094" width="10.84375" style="116" customWidth="1"/>
    <col min="13095" max="13095" width="9.84375" style="116"/>
    <col min="13096" max="13096" width="10.84375" style="116" customWidth="1"/>
    <col min="13097" max="13098" width="9.84375" style="116"/>
    <col min="13099" max="13099" width="10.84375" style="116" customWidth="1"/>
    <col min="13100" max="13100" width="9.84375" style="116"/>
    <col min="13101" max="13101" width="10.84375" style="116" customWidth="1"/>
    <col min="13102" max="13102" width="9.84375" style="116"/>
    <col min="13103" max="13103" width="11.84375" style="116" customWidth="1"/>
    <col min="13104" max="13106" width="9.84375" style="116"/>
    <col min="13107" max="13107" width="10.84375" style="116" customWidth="1"/>
    <col min="13108" max="13108" width="11.07421875" style="116" customWidth="1"/>
    <col min="13109" max="13109" width="12.53515625" style="116" customWidth="1"/>
    <col min="13110" max="13312" width="9.84375" style="116"/>
    <col min="13313" max="13313" width="6.84375" style="116" customWidth="1"/>
    <col min="13314" max="13314" width="17.84375" style="116" customWidth="1"/>
    <col min="13315" max="13343" width="9.84375" style="116"/>
    <col min="13344" max="13344" width="11.84375" style="116" customWidth="1"/>
    <col min="13345" max="13345" width="9.84375" style="116"/>
    <col min="13346" max="13346" width="10.84375" style="116" customWidth="1"/>
    <col min="13347" max="13349" width="9.84375" style="116"/>
    <col min="13350" max="13350" width="10.84375" style="116" customWidth="1"/>
    <col min="13351" max="13351" width="9.84375" style="116"/>
    <col min="13352" max="13352" width="10.84375" style="116" customWidth="1"/>
    <col min="13353" max="13354" width="9.84375" style="116"/>
    <col min="13355" max="13355" width="10.84375" style="116" customWidth="1"/>
    <col min="13356" max="13356" width="9.84375" style="116"/>
    <col min="13357" max="13357" width="10.84375" style="116" customWidth="1"/>
    <col min="13358" max="13358" width="9.84375" style="116"/>
    <col min="13359" max="13359" width="11.84375" style="116" customWidth="1"/>
    <col min="13360" max="13362" width="9.84375" style="116"/>
    <col min="13363" max="13363" width="10.84375" style="116" customWidth="1"/>
    <col min="13364" max="13364" width="11.07421875" style="116" customWidth="1"/>
    <col min="13365" max="13365" width="12.53515625" style="116" customWidth="1"/>
    <col min="13366" max="13568" width="9.84375" style="116"/>
    <col min="13569" max="13569" width="6.84375" style="116" customWidth="1"/>
    <col min="13570" max="13570" width="17.84375" style="116" customWidth="1"/>
    <col min="13571" max="13599" width="9.84375" style="116"/>
    <col min="13600" max="13600" width="11.84375" style="116" customWidth="1"/>
    <col min="13601" max="13601" width="9.84375" style="116"/>
    <col min="13602" max="13602" width="10.84375" style="116" customWidth="1"/>
    <col min="13603" max="13605" width="9.84375" style="116"/>
    <col min="13606" max="13606" width="10.84375" style="116" customWidth="1"/>
    <col min="13607" max="13607" width="9.84375" style="116"/>
    <col min="13608" max="13608" width="10.84375" style="116" customWidth="1"/>
    <col min="13609" max="13610" width="9.84375" style="116"/>
    <col min="13611" max="13611" width="10.84375" style="116" customWidth="1"/>
    <col min="13612" max="13612" width="9.84375" style="116"/>
    <col min="13613" max="13613" width="10.84375" style="116" customWidth="1"/>
    <col min="13614" max="13614" width="9.84375" style="116"/>
    <col min="13615" max="13615" width="11.84375" style="116" customWidth="1"/>
    <col min="13616" max="13618" width="9.84375" style="116"/>
    <col min="13619" max="13619" width="10.84375" style="116" customWidth="1"/>
    <col min="13620" max="13620" width="11.07421875" style="116" customWidth="1"/>
    <col min="13621" max="13621" width="12.53515625" style="116" customWidth="1"/>
    <col min="13622" max="13824" width="9.84375" style="116"/>
    <col min="13825" max="13825" width="6.84375" style="116" customWidth="1"/>
    <col min="13826" max="13826" width="17.84375" style="116" customWidth="1"/>
    <col min="13827" max="13855" width="9.84375" style="116"/>
    <col min="13856" max="13856" width="11.84375" style="116" customWidth="1"/>
    <col min="13857" max="13857" width="9.84375" style="116"/>
    <col min="13858" max="13858" width="10.84375" style="116" customWidth="1"/>
    <col min="13859" max="13861" width="9.84375" style="116"/>
    <col min="13862" max="13862" width="10.84375" style="116" customWidth="1"/>
    <col min="13863" max="13863" width="9.84375" style="116"/>
    <col min="13864" max="13864" width="10.84375" style="116" customWidth="1"/>
    <col min="13865" max="13866" width="9.84375" style="116"/>
    <col min="13867" max="13867" width="10.84375" style="116" customWidth="1"/>
    <col min="13868" max="13868" width="9.84375" style="116"/>
    <col min="13869" max="13869" width="10.84375" style="116" customWidth="1"/>
    <col min="13870" max="13870" width="9.84375" style="116"/>
    <col min="13871" max="13871" width="11.84375" style="116" customWidth="1"/>
    <col min="13872" max="13874" width="9.84375" style="116"/>
    <col min="13875" max="13875" width="10.84375" style="116" customWidth="1"/>
    <col min="13876" max="13876" width="11.07421875" style="116" customWidth="1"/>
    <col min="13877" max="13877" width="12.53515625" style="116" customWidth="1"/>
    <col min="13878" max="14080" width="9.84375" style="116"/>
    <col min="14081" max="14081" width="6.84375" style="116" customWidth="1"/>
    <col min="14082" max="14082" width="17.84375" style="116" customWidth="1"/>
    <col min="14083" max="14111" width="9.84375" style="116"/>
    <col min="14112" max="14112" width="11.84375" style="116" customWidth="1"/>
    <col min="14113" max="14113" width="9.84375" style="116"/>
    <col min="14114" max="14114" width="10.84375" style="116" customWidth="1"/>
    <col min="14115" max="14117" width="9.84375" style="116"/>
    <col min="14118" max="14118" width="10.84375" style="116" customWidth="1"/>
    <col min="14119" max="14119" width="9.84375" style="116"/>
    <col min="14120" max="14120" width="10.84375" style="116" customWidth="1"/>
    <col min="14121" max="14122" width="9.84375" style="116"/>
    <col min="14123" max="14123" width="10.84375" style="116" customWidth="1"/>
    <col min="14124" max="14124" width="9.84375" style="116"/>
    <col min="14125" max="14125" width="10.84375" style="116" customWidth="1"/>
    <col min="14126" max="14126" width="9.84375" style="116"/>
    <col min="14127" max="14127" width="11.84375" style="116" customWidth="1"/>
    <col min="14128" max="14130" width="9.84375" style="116"/>
    <col min="14131" max="14131" width="10.84375" style="116" customWidth="1"/>
    <col min="14132" max="14132" width="11.07421875" style="116" customWidth="1"/>
    <col min="14133" max="14133" width="12.53515625" style="116" customWidth="1"/>
    <col min="14134" max="14336" width="9.84375" style="116"/>
    <col min="14337" max="14337" width="6.84375" style="116" customWidth="1"/>
    <col min="14338" max="14338" width="17.84375" style="116" customWidth="1"/>
    <col min="14339" max="14367" width="9.84375" style="116"/>
    <col min="14368" max="14368" width="11.84375" style="116" customWidth="1"/>
    <col min="14369" max="14369" width="9.84375" style="116"/>
    <col min="14370" max="14370" width="10.84375" style="116" customWidth="1"/>
    <col min="14371" max="14373" width="9.84375" style="116"/>
    <col min="14374" max="14374" width="10.84375" style="116" customWidth="1"/>
    <col min="14375" max="14375" width="9.84375" style="116"/>
    <col min="14376" max="14376" width="10.84375" style="116" customWidth="1"/>
    <col min="14377" max="14378" width="9.84375" style="116"/>
    <col min="14379" max="14379" width="10.84375" style="116" customWidth="1"/>
    <col min="14380" max="14380" width="9.84375" style="116"/>
    <col min="14381" max="14381" width="10.84375" style="116" customWidth="1"/>
    <col min="14382" max="14382" width="9.84375" style="116"/>
    <col min="14383" max="14383" width="11.84375" style="116" customWidth="1"/>
    <col min="14384" max="14386" width="9.84375" style="116"/>
    <col min="14387" max="14387" width="10.84375" style="116" customWidth="1"/>
    <col min="14388" max="14388" width="11.07421875" style="116" customWidth="1"/>
    <col min="14389" max="14389" width="12.53515625" style="116" customWidth="1"/>
    <col min="14390" max="14592" width="9.84375" style="116"/>
    <col min="14593" max="14593" width="6.84375" style="116" customWidth="1"/>
    <col min="14594" max="14594" width="17.84375" style="116" customWidth="1"/>
    <col min="14595" max="14623" width="9.84375" style="116"/>
    <col min="14624" max="14624" width="11.84375" style="116" customWidth="1"/>
    <col min="14625" max="14625" width="9.84375" style="116"/>
    <col min="14626" max="14626" width="10.84375" style="116" customWidth="1"/>
    <col min="14627" max="14629" width="9.84375" style="116"/>
    <col min="14630" max="14630" width="10.84375" style="116" customWidth="1"/>
    <col min="14631" max="14631" width="9.84375" style="116"/>
    <col min="14632" max="14632" width="10.84375" style="116" customWidth="1"/>
    <col min="14633" max="14634" width="9.84375" style="116"/>
    <col min="14635" max="14635" width="10.84375" style="116" customWidth="1"/>
    <col min="14636" max="14636" width="9.84375" style="116"/>
    <col min="14637" max="14637" width="10.84375" style="116" customWidth="1"/>
    <col min="14638" max="14638" width="9.84375" style="116"/>
    <col min="14639" max="14639" width="11.84375" style="116" customWidth="1"/>
    <col min="14640" max="14642" width="9.84375" style="116"/>
    <col min="14643" max="14643" width="10.84375" style="116" customWidth="1"/>
    <col min="14644" max="14644" width="11.07421875" style="116" customWidth="1"/>
    <col min="14645" max="14645" width="12.53515625" style="116" customWidth="1"/>
    <col min="14646" max="14848" width="9.84375" style="116"/>
    <col min="14849" max="14849" width="6.84375" style="116" customWidth="1"/>
    <col min="14850" max="14850" width="17.84375" style="116" customWidth="1"/>
    <col min="14851" max="14879" width="9.84375" style="116"/>
    <col min="14880" max="14880" width="11.84375" style="116" customWidth="1"/>
    <col min="14881" max="14881" width="9.84375" style="116"/>
    <col min="14882" max="14882" width="10.84375" style="116" customWidth="1"/>
    <col min="14883" max="14885" width="9.84375" style="116"/>
    <col min="14886" max="14886" width="10.84375" style="116" customWidth="1"/>
    <col min="14887" max="14887" width="9.84375" style="116"/>
    <col min="14888" max="14888" width="10.84375" style="116" customWidth="1"/>
    <col min="14889" max="14890" width="9.84375" style="116"/>
    <col min="14891" max="14891" width="10.84375" style="116" customWidth="1"/>
    <col min="14892" max="14892" width="9.84375" style="116"/>
    <col min="14893" max="14893" width="10.84375" style="116" customWidth="1"/>
    <col min="14894" max="14894" width="9.84375" style="116"/>
    <col min="14895" max="14895" width="11.84375" style="116" customWidth="1"/>
    <col min="14896" max="14898" width="9.84375" style="116"/>
    <col min="14899" max="14899" width="10.84375" style="116" customWidth="1"/>
    <col min="14900" max="14900" width="11.07421875" style="116" customWidth="1"/>
    <col min="14901" max="14901" width="12.53515625" style="116" customWidth="1"/>
    <col min="14902" max="15104" width="9.84375" style="116"/>
    <col min="15105" max="15105" width="6.84375" style="116" customWidth="1"/>
    <col min="15106" max="15106" width="17.84375" style="116" customWidth="1"/>
    <col min="15107" max="15135" width="9.84375" style="116"/>
    <col min="15136" max="15136" width="11.84375" style="116" customWidth="1"/>
    <col min="15137" max="15137" width="9.84375" style="116"/>
    <col min="15138" max="15138" width="10.84375" style="116" customWidth="1"/>
    <col min="15139" max="15141" width="9.84375" style="116"/>
    <col min="15142" max="15142" width="10.84375" style="116" customWidth="1"/>
    <col min="15143" max="15143" width="9.84375" style="116"/>
    <col min="15144" max="15144" width="10.84375" style="116" customWidth="1"/>
    <col min="15145" max="15146" width="9.84375" style="116"/>
    <col min="15147" max="15147" width="10.84375" style="116" customWidth="1"/>
    <col min="15148" max="15148" width="9.84375" style="116"/>
    <col min="15149" max="15149" width="10.84375" style="116" customWidth="1"/>
    <col min="15150" max="15150" width="9.84375" style="116"/>
    <col min="15151" max="15151" width="11.84375" style="116" customWidth="1"/>
    <col min="15152" max="15154" width="9.84375" style="116"/>
    <col min="15155" max="15155" width="10.84375" style="116" customWidth="1"/>
    <col min="15156" max="15156" width="11.07421875" style="116" customWidth="1"/>
    <col min="15157" max="15157" width="12.53515625" style="116" customWidth="1"/>
    <col min="15158" max="15360" width="9.84375" style="116"/>
    <col min="15361" max="15361" width="6.84375" style="116" customWidth="1"/>
    <col min="15362" max="15362" width="17.84375" style="116" customWidth="1"/>
    <col min="15363" max="15391" width="9.84375" style="116"/>
    <col min="15392" max="15392" width="11.84375" style="116" customWidth="1"/>
    <col min="15393" max="15393" width="9.84375" style="116"/>
    <col min="15394" max="15394" width="10.84375" style="116" customWidth="1"/>
    <col min="15395" max="15397" width="9.84375" style="116"/>
    <col min="15398" max="15398" width="10.84375" style="116" customWidth="1"/>
    <col min="15399" max="15399" width="9.84375" style="116"/>
    <col min="15400" max="15400" width="10.84375" style="116" customWidth="1"/>
    <col min="15401" max="15402" width="9.84375" style="116"/>
    <col min="15403" max="15403" width="10.84375" style="116" customWidth="1"/>
    <col min="15404" max="15404" width="9.84375" style="116"/>
    <col min="15405" max="15405" width="10.84375" style="116" customWidth="1"/>
    <col min="15406" max="15406" width="9.84375" style="116"/>
    <col min="15407" max="15407" width="11.84375" style="116" customWidth="1"/>
    <col min="15408" max="15410" width="9.84375" style="116"/>
    <col min="15411" max="15411" width="10.84375" style="116" customWidth="1"/>
    <col min="15412" max="15412" width="11.07421875" style="116" customWidth="1"/>
    <col min="15413" max="15413" width="12.53515625" style="116" customWidth="1"/>
    <col min="15414" max="15616" width="9.84375" style="116"/>
    <col min="15617" max="15617" width="6.84375" style="116" customWidth="1"/>
    <col min="15618" max="15618" width="17.84375" style="116" customWidth="1"/>
    <col min="15619" max="15647" width="9.84375" style="116"/>
    <col min="15648" max="15648" width="11.84375" style="116" customWidth="1"/>
    <col min="15649" max="15649" width="9.84375" style="116"/>
    <col min="15650" max="15650" width="10.84375" style="116" customWidth="1"/>
    <col min="15651" max="15653" width="9.84375" style="116"/>
    <col min="15654" max="15654" width="10.84375" style="116" customWidth="1"/>
    <col min="15655" max="15655" width="9.84375" style="116"/>
    <col min="15656" max="15656" width="10.84375" style="116" customWidth="1"/>
    <col min="15657" max="15658" width="9.84375" style="116"/>
    <col min="15659" max="15659" width="10.84375" style="116" customWidth="1"/>
    <col min="15660" max="15660" width="9.84375" style="116"/>
    <col min="15661" max="15661" width="10.84375" style="116" customWidth="1"/>
    <col min="15662" max="15662" width="9.84375" style="116"/>
    <col min="15663" max="15663" width="11.84375" style="116" customWidth="1"/>
    <col min="15664" max="15666" width="9.84375" style="116"/>
    <col min="15667" max="15667" width="10.84375" style="116" customWidth="1"/>
    <col min="15668" max="15668" width="11.07421875" style="116" customWidth="1"/>
    <col min="15669" max="15669" width="12.53515625" style="116" customWidth="1"/>
    <col min="15670" max="15872" width="9.84375" style="116"/>
    <col min="15873" max="15873" width="6.84375" style="116" customWidth="1"/>
    <col min="15874" max="15874" width="17.84375" style="116" customWidth="1"/>
    <col min="15875" max="15903" width="9.84375" style="116"/>
    <col min="15904" max="15904" width="11.84375" style="116" customWidth="1"/>
    <col min="15905" max="15905" width="9.84375" style="116"/>
    <col min="15906" max="15906" width="10.84375" style="116" customWidth="1"/>
    <col min="15907" max="15909" width="9.84375" style="116"/>
    <col min="15910" max="15910" width="10.84375" style="116" customWidth="1"/>
    <col min="15911" max="15911" width="9.84375" style="116"/>
    <col min="15912" max="15912" width="10.84375" style="116" customWidth="1"/>
    <col min="15913" max="15914" width="9.84375" style="116"/>
    <col min="15915" max="15915" width="10.84375" style="116" customWidth="1"/>
    <col min="15916" max="15916" width="9.84375" style="116"/>
    <col min="15917" max="15917" width="10.84375" style="116" customWidth="1"/>
    <col min="15918" max="15918" width="9.84375" style="116"/>
    <col min="15919" max="15919" width="11.84375" style="116" customWidth="1"/>
    <col min="15920" max="15922" width="9.84375" style="116"/>
    <col min="15923" max="15923" width="10.84375" style="116" customWidth="1"/>
    <col min="15924" max="15924" width="11.07421875" style="116" customWidth="1"/>
    <col min="15925" max="15925" width="12.53515625" style="116" customWidth="1"/>
    <col min="15926" max="16128" width="9.84375" style="116"/>
    <col min="16129" max="16129" width="6.84375" style="116" customWidth="1"/>
    <col min="16130" max="16130" width="17.84375" style="116" customWidth="1"/>
    <col min="16131" max="16159" width="9.84375" style="116"/>
    <col min="16160" max="16160" width="11.84375" style="116" customWidth="1"/>
    <col min="16161" max="16161" width="9.84375" style="116"/>
    <col min="16162" max="16162" width="10.84375" style="116" customWidth="1"/>
    <col min="16163" max="16165" width="9.84375" style="116"/>
    <col min="16166" max="16166" width="10.84375" style="116" customWidth="1"/>
    <col min="16167" max="16167" width="9.84375" style="116"/>
    <col min="16168" max="16168" width="10.84375" style="116" customWidth="1"/>
    <col min="16169" max="16170" width="9.84375" style="116"/>
    <col min="16171" max="16171" width="10.84375" style="116" customWidth="1"/>
    <col min="16172" max="16172" width="9.84375" style="116"/>
    <col min="16173" max="16173" width="10.84375" style="116" customWidth="1"/>
    <col min="16174" max="16174" width="9.84375" style="116"/>
    <col min="16175" max="16175" width="11.84375" style="116" customWidth="1"/>
    <col min="16176" max="16178" width="9.84375" style="116"/>
    <col min="16179" max="16179" width="10.84375" style="116" customWidth="1"/>
    <col min="16180" max="16180" width="11.07421875" style="116" customWidth="1"/>
    <col min="16181" max="16181" width="12.53515625" style="116" customWidth="1"/>
    <col min="16182" max="16384" width="9.84375" style="116"/>
  </cols>
  <sheetData>
    <row r="1" spans="1:83" ht="18.5">
      <c r="A1" s="116" t="s">
        <v>186</v>
      </c>
      <c r="AX1" s="354"/>
    </row>
    <row r="2" spans="1:83">
      <c r="C2" s="116" t="s">
        <v>188</v>
      </c>
      <c r="D2" s="116" t="s">
        <v>191</v>
      </c>
      <c r="E2" s="116" t="s">
        <v>193</v>
      </c>
      <c r="F2" s="116" t="s">
        <v>195</v>
      </c>
      <c r="G2" s="116" t="s">
        <v>198</v>
      </c>
      <c r="H2" s="116" t="s">
        <v>200</v>
      </c>
      <c r="I2" s="116" t="s">
        <v>202</v>
      </c>
      <c r="J2" s="116" t="s">
        <v>204</v>
      </c>
      <c r="K2" s="116" t="s">
        <v>206</v>
      </c>
      <c r="L2" s="116" t="s">
        <v>208</v>
      </c>
      <c r="M2" s="116" t="s">
        <v>211</v>
      </c>
      <c r="N2" s="116" t="s">
        <v>213</v>
      </c>
      <c r="O2" s="116" t="s">
        <v>215</v>
      </c>
      <c r="P2" s="116" t="s">
        <v>217</v>
      </c>
      <c r="Q2" s="116" t="s">
        <v>219</v>
      </c>
      <c r="R2" s="116" t="s">
        <v>221</v>
      </c>
      <c r="S2" s="116" t="s">
        <v>225</v>
      </c>
      <c r="T2" s="116" t="s">
        <v>227</v>
      </c>
      <c r="U2" s="116" t="s">
        <v>229</v>
      </c>
      <c r="V2" s="116" t="s">
        <v>231</v>
      </c>
      <c r="W2" s="116" t="s">
        <v>234</v>
      </c>
      <c r="X2" s="116" t="s">
        <v>236</v>
      </c>
      <c r="Y2" s="116" t="s">
        <v>238</v>
      </c>
      <c r="Z2" s="116" t="s">
        <v>242</v>
      </c>
      <c r="AA2" s="116" t="s">
        <v>245</v>
      </c>
      <c r="AX2" s="355"/>
    </row>
    <row r="3" spans="1:83">
      <c r="A3" s="356"/>
      <c r="B3" s="356"/>
      <c r="C3" s="116" t="s">
        <v>189</v>
      </c>
      <c r="D3" s="116" t="s">
        <v>192</v>
      </c>
      <c r="E3" s="116" t="s">
        <v>194</v>
      </c>
      <c r="F3" s="116" t="s">
        <v>196</v>
      </c>
      <c r="G3" s="116" t="s">
        <v>199</v>
      </c>
      <c r="H3" s="116" t="s">
        <v>201</v>
      </c>
      <c r="I3" s="116" t="s">
        <v>203</v>
      </c>
      <c r="J3" s="116" t="s">
        <v>205</v>
      </c>
      <c r="K3" s="116" t="s">
        <v>207</v>
      </c>
      <c r="L3" s="116" t="s">
        <v>209</v>
      </c>
      <c r="M3" s="116" t="s">
        <v>212</v>
      </c>
      <c r="N3" s="116" t="s">
        <v>214</v>
      </c>
      <c r="O3" s="116" t="s">
        <v>216</v>
      </c>
      <c r="P3" s="116" t="s">
        <v>218</v>
      </c>
      <c r="Q3" s="116" t="s">
        <v>220</v>
      </c>
      <c r="R3" s="116" t="s">
        <v>222</v>
      </c>
      <c r="S3" s="116" t="s">
        <v>226</v>
      </c>
      <c r="T3" s="116" t="s">
        <v>228</v>
      </c>
      <c r="U3" s="116" t="s">
        <v>230</v>
      </c>
      <c r="V3" s="116" t="s">
        <v>232</v>
      </c>
      <c r="W3" s="116" t="s">
        <v>235</v>
      </c>
      <c r="X3" s="116" t="s">
        <v>237</v>
      </c>
      <c r="Y3" s="116" t="s">
        <v>239</v>
      </c>
      <c r="Z3" s="116" t="s">
        <v>243</v>
      </c>
      <c r="AA3" s="116" t="s">
        <v>246</v>
      </c>
      <c r="AC3" s="229" t="s">
        <v>197</v>
      </c>
    </row>
    <row r="4" spans="1:83">
      <c r="A4" s="356"/>
      <c r="B4" s="356"/>
      <c r="AC4" s="229" t="s">
        <v>259</v>
      </c>
    </row>
    <row r="5" spans="1:83">
      <c r="A5" s="116" t="s">
        <v>186</v>
      </c>
      <c r="B5" s="356"/>
      <c r="C5" s="266" t="s">
        <v>190</v>
      </c>
      <c r="D5" s="266" t="s">
        <v>190</v>
      </c>
      <c r="E5" s="266" t="s">
        <v>190</v>
      </c>
      <c r="F5" s="266" t="s">
        <v>197</v>
      </c>
      <c r="G5" s="266" t="s">
        <v>197</v>
      </c>
      <c r="H5" s="266" t="s">
        <v>197</v>
      </c>
      <c r="I5" s="266" t="s">
        <v>94</v>
      </c>
      <c r="J5" s="266" t="s">
        <v>94</v>
      </c>
      <c r="K5" s="266" t="s">
        <v>94</v>
      </c>
      <c r="L5" s="266" t="s">
        <v>210</v>
      </c>
      <c r="M5" s="266" t="s">
        <v>210</v>
      </c>
      <c r="N5" s="266" t="s">
        <v>210</v>
      </c>
      <c r="O5" s="266" t="s">
        <v>84</v>
      </c>
      <c r="P5" s="266" t="s">
        <v>84</v>
      </c>
      <c r="Q5" s="266" t="s">
        <v>84</v>
      </c>
      <c r="R5" s="266" t="s">
        <v>223</v>
      </c>
      <c r="S5" s="266" t="s">
        <v>100</v>
      </c>
      <c r="T5" s="266" t="s">
        <v>100</v>
      </c>
      <c r="U5" s="266" t="s">
        <v>100</v>
      </c>
      <c r="V5" s="266" t="s">
        <v>233</v>
      </c>
      <c r="W5" s="266" t="s">
        <v>233</v>
      </c>
      <c r="X5" s="266" t="s">
        <v>233</v>
      </c>
      <c r="Y5" s="266"/>
      <c r="Z5" s="266" t="s">
        <v>244</v>
      </c>
      <c r="AA5" s="357" t="s">
        <v>293</v>
      </c>
      <c r="AB5" s="266" t="s">
        <v>148</v>
      </c>
      <c r="AC5" s="266" t="s">
        <v>148</v>
      </c>
      <c r="AD5" s="266" t="s">
        <v>56</v>
      </c>
      <c r="AE5" s="116" t="s">
        <v>249</v>
      </c>
    </row>
    <row r="6" spans="1:83">
      <c r="A6" s="116" t="s">
        <v>445</v>
      </c>
      <c r="B6" s="356"/>
      <c r="C6" s="266" t="s">
        <v>55</v>
      </c>
      <c r="D6" s="266" t="s">
        <v>54</v>
      </c>
      <c r="E6" s="266" t="s">
        <v>56</v>
      </c>
      <c r="F6" s="266" t="s">
        <v>55</v>
      </c>
      <c r="G6" s="266" t="s">
        <v>54</v>
      </c>
      <c r="H6" s="266" t="s">
        <v>56</v>
      </c>
      <c r="I6" s="266" t="s">
        <v>55</v>
      </c>
      <c r="J6" s="266" t="s">
        <v>54</v>
      </c>
      <c r="K6" s="266" t="s">
        <v>56</v>
      </c>
      <c r="L6" s="266" t="s">
        <v>55</v>
      </c>
      <c r="M6" s="266" t="s">
        <v>54</v>
      </c>
      <c r="N6" s="266" t="s">
        <v>56</v>
      </c>
      <c r="O6" s="266" t="s">
        <v>55</v>
      </c>
      <c r="P6" s="266" t="s">
        <v>54</v>
      </c>
      <c r="Q6" s="266" t="s">
        <v>56</v>
      </c>
      <c r="R6" s="266" t="s">
        <v>224</v>
      </c>
      <c r="S6" s="266" t="s">
        <v>55</v>
      </c>
      <c r="T6" s="266" t="s">
        <v>54</v>
      </c>
      <c r="U6" s="266" t="s">
        <v>56</v>
      </c>
      <c r="V6" s="266" t="s">
        <v>55</v>
      </c>
      <c r="W6" s="266" t="s">
        <v>54</v>
      </c>
      <c r="X6" s="266" t="s">
        <v>56</v>
      </c>
      <c r="Y6" s="266" t="s">
        <v>240</v>
      </c>
      <c r="Z6" s="266" t="s">
        <v>190</v>
      </c>
      <c r="AA6" s="357"/>
      <c r="AB6" s="266" t="s">
        <v>247</v>
      </c>
      <c r="AC6" s="266" t="s">
        <v>248</v>
      </c>
      <c r="AD6" s="266" t="s">
        <v>94</v>
      </c>
      <c r="AE6" s="266" t="s">
        <v>149</v>
      </c>
    </row>
    <row r="7" spans="1:83">
      <c r="A7" s="229" t="s">
        <v>260</v>
      </c>
      <c r="B7" s="356"/>
      <c r="C7" s="266" t="s">
        <v>53</v>
      </c>
      <c r="D7" s="266" t="s">
        <v>53</v>
      </c>
      <c r="E7" s="266" t="s">
        <v>53</v>
      </c>
      <c r="F7" s="266" t="s">
        <v>53</v>
      </c>
      <c r="G7" s="266" t="s">
        <v>53</v>
      </c>
      <c r="H7" s="266" t="s">
        <v>53</v>
      </c>
      <c r="I7" s="266" t="s">
        <v>53</v>
      </c>
      <c r="J7" s="266" t="s">
        <v>53</v>
      </c>
      <c r="K7" s="266" t="s">
        <v>53</v>
      </c>
      <c r="L7" s="266" t="s">
        <v>53</v>
      </c>
      <c r="M7" s="266" t="s">
        <v>53</v>
      </c>
      <c r="N7" s="266" t="s">
        <v>53</v>
      </c>
      <c r="O7" s="266" t="s">
        <v>53</v>
      </c>
      <c r="P7" s="266" t="s">
        <v>53</v>
      </c>
      <c r="Q7" s="266" t="s">
        <v>53</v>
      </c>
      <c r="R7" s="266" t="s">
        <v>94</v>
      </c>
      <c r="S7" s="266" t="s">
        <v>53</v>
      </c>
      <c r="T7" s="266" t="s">
        <v>53</v>
      </c>
      <c r="U7" s="266" t="s">
        <v>53</v>
      </c>
      <c r="V7" s="266" t="s">
        <v>53</v>
      </c>
      <c r="W7" s="266" t="s">
        <v>53</v>
      </c>
      <c r="X7" s="266" t="s">
        <v>53</v>
      </c>
      <c r="Y7" s="266" t="s">
        <v>241</v>
      </c>
      <c r="Z7" s="266" t="s">
        <v>53</v>
      </c>
      <c r="AA7" s="357"/>
      <c r="AB7" s="266"/>
      <c r="AC7" s="266"/>
      <c r="AD7" s="266" t="s">
        <v>149</v>
      </c>
      <c r="AF7" s="358" t="s">
        <v>250</v>
      </c>
      <c r="AG7" s="359"/>
      <c r="AH7" s="359"/>
      <c r="AI7" s="359"/>
      <c r="AJ7" s="359"/>
      <c r="AK7" s="359"/>
      <c r="AL7" s="359"/>
      <c r="AM7" s="359"/>
      <c r="AN7" s="359"/>
      <c r="AO7" s="359"/>
      <c r="AP7" s="359"/>
      <c r="AQ7" s="359"/>
      <c r="AR7" s="359"/>
      <c r="AS7" s="359"/>
      <c r="AT7" s="359"/>
      <c r="AU7" s="359"/>
      <c r="AV7" s="359"/>
      <c r="AW7" s="360"/>
    </row>
    <row r="8" spans="1:83">
      <c r="A8" s="229" t="s">
        <v>261</v>
      </c>
      <c r="B8" s="356"/>
      <c r="F8" s="266"/>
      <c r="G8" s="26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266"/>
      <c r="Z8" s="266"/>
      <c r="AA8" s="357"/>
      <c r="AB8" s="266"/>
      <c r="AC8" s="266"/>
      <c r="AD8" s="266"/>
      <c r="AF8" s="361"/>
      <c r="AW8" s="362"/>
      <c r="AY8" s="116" t="s">
        <v>438</v>
      </c>
      <c r="AZ8" s="116" t="s">
        <v>439</v>
      </c>
      <c r="BA8" s="116" t="s">
        <v>440</v>
      </c>
      <c r="BB8" s="116" t="s">
        <v>188</v>
      </c>
      <c r="BC8" s="116" t="s">
        <v>191</v>
      </c>
      <c r="BD8" s="116" t="s">
        <v>193</v>
      </c>
      <c r="BE8" s="116" t="s">
        <v>195</v>
      </c>
      <c r="BF8" s="116" t="s">
        <v>198</v>
      </c>
      <c r="BG8" s="116" t="s">
        <v>200</v>
      </c>
      <c r="BH8" s="116" t="s">
        <v>202</v>
      </c>
      <c r="BI8" s="116" t="s">
        <v>204</v>
      </c>
      <c r="BJ8" s="116" t="s">
        <v>206</v>
      </c>
      <c r="BK8" s="116" t="s">
        <v>208</v>
      </c>
      <c r="BL8" s="116" t="s">
        <v>211</v>
      </c>
      <c r="BM8" s="116" t="s">
        <v>213</v>
      </c>
      <c r="BN8" s="116" t="s">
        <v>215</v>
      </c>
      <c r="BO8" s="116" t="s">
        <v>217</v>
      </c>
      <c r="BP8" s="116" t="s">
        <v>219</v>
      </c>
      <c r="BQ8" s="116" t="s">
        <v>221</v>
      </c>
      <c r="BR8" s="116" t="s">
        <v>225</v>
      </c>
      <c r="BS8" s="116" t="s">
        <v>227</v>
      </c>
      <c r="BT8" s="116" t="s">
        <v>229</v>
      </c>
      <c r="BU8" s="116" t="s">
        <v>231</v>
      </c>
      <c r="BV8" s="116" t="s">
        <v>234</v>
      </c>
      <c r="BW8" s="116" t="s">
        <v>236</v>
      </c>
      <c r="BX8" s="116" t="s">
        <v>238</v>
      </c>
      <c r="BY8" s="116" t="s">
        <v>242</v>
      </c>
      <c r="BZ8" s="116" t="s">
        <v>245</v>
      </c>
      <c r="CA8" s="116" t="s">
        <v>436</v>
      </c>
    </row>
    <row r="9" spans="1:83">
      <c r="A9" s="363">
        <v>210001</v>
      </c>
      <c r="B9" s="363" t="s">
        <v>336</v>
      </c>
      <c r="C9" s="87">
        <v>192822.3</v>
      </c>
      <c r="D9" s="87">
        <v>133130.79999999999</v>
      </c>
      <c r="E9" s="87">
        <v>325953.09999999998</v>
      </c>
      <c r="F9" s="87">
        <v>95867.620580000003</v>
      </c>
      <c r="G9" s="87">
        <v>41081.633240000003</v>
      </c>
      <c r="H9" s="87">
        <v>136949.25382000001</v>
      </c>
      <c r="I9" s="87">
        <v>6379.2406499999997</v>
      </c>
      <c r="J9" s="87">
        <v>3116.5112199999999</v>
      </c>
      <c r="K9" s="87">
        <v>9495.7518700000001</v>
      </c>
      <c r="L9" s="87">
        <v>3530.1981300000002</v>
      </c>
      <c r="M9" s="87">
        <v>3862.5732899999998</v>
      </c>
      <c r="N9" s="87">
        <v>7392.77142</v>
      </c>
      <c r="O9" s="87">
        <v>42908.9</v>
      </c>
      <c r="P9" s="87">
        <v>35245.599999999999</v>
      </c>
      <c r="Q9" s="87">
        <v>78154.5</v>
      </c>
      <c r="R9" s="87">
        <v>0</v>
      </c>
      <c r="S9" s="87">
        <v>5214.5405899999996</v>
      </c>
      <c r="T9" s="87">
        <v>8749.2000000000007</v>
      </c>
      <c r="U9" s="87">
        <v>13963.740589999999</v>
      </c>
      <c r="V9" s="87">
        <v>38921.800049999998</v>
      </c>
      <c r="W9" s="87">
        <v>41075.282249999997</v>
      </c>
      <c r="X9" s="87">
        <v>79997.082299999995</v>
      </c>
      <c r="Y9" s="87">
        <v>252745.41072538501</v>
      </c>
      <c r="Z9" s="87">
        <v>277611.69899734901</v>
      </c>
      <c r="AA9" s="131">
        <f t="shared" ref="AA9:AA57" si="0">H9/E9</f>
        <v>0.42015018056278658</v>
      </c>
      <c r="AB9" s="351">
        <f t="shared" ref="AB9:AB57" si="1">K9/E9</f>
        <v>2.9132264334961074E-2</v>
      </c>
      <c r="AC9" s="351">
        <f t="shared" ref="AC9:AC57" si="2">Q9/E9</f>
        <v>0.2397722248998399</v>
      </c>
      <c r="AD9" s="351">
        <f t="shared" ref="AD9:AD57" si="3">(K9+Q9)/E9</f>
        <v>0.26890448923480098</v>
      </c>
      <c r="AE9" s="351">
        <f t="shared" ref="AE9:AE57" si="4">U9/E9</f>
        <v>4.2839723230121148E-2</v>
      </c>
      <c r="AF9" s="364">
        <f t="shared" ref="AF9:AF57" si="5">C9+D9</f>
        <v>325953.09999999998</v>
      </c>
      <c r="AG9" s="365">
        <f t="shared" ref="AG9:AG57" si="6">E9-AF9</f>
        <v>0</v>
      </c>
      <c r="AH9" s="365">
        <f t="shared" ref="AH9:AH57" si="7">F9+G9</f>
        <v>136949.25382000001</v>
      </c>
      <c r="AI9" s="365">
        <f t="shared" ref="AI9:AI57" si="8">AH9-H9</f>
        <v>0</v>
      </c>
      <c r="AJ9" s="365">
        <f t="shared" ref="AJ9:AJ57" si="9">I9+J9</f>
        <v>9495.7518700000001</v>
      </c>
      <c r="AK9" s="365">
        <f t="shared" ref="AK9:AK57" si="10">AJ9-K9</f>
        <v>0</v>
      </c>
      <c r="AL9" s="365">
        <f t="shared" ref="AL9:AL57" si="11">L9+M9</f>
        <v>7392.77142</v>
      </c>
      <c r="AM9" s="365">
        <f t="shared" ref="AM9:AM57" si="12">AL9-N9</f>
        <v>0</v>
      </c>
      <c r="AN9" s="365">
        <f t="shared" ref="AN9:AN57" si="13">O9+P9</f>
        <v>78154.5</v>
      </c>
      <c r="AO9" s="365">
        <f t="shared" ref="AO9:AO57" si="14">AN9-Q9</f>
        <v>0</v>
      </c>
      <c r="AP9" s="365">
        <f t="shared" ref="AP9:AP57" si="15">R9</f>
        <v>0</v>
      </c>
      <c r="AQ9" s="365">
        <f t="shared" ref="AQ9:AQ57" si="16">S9+T9</f>
        <v>13963.740590000001</v>
      </c>
      <c r="AR9" s="365">
        <f t="shared" ref="AR9:AR57" si="17">AQ9-U9</f>
        <v>0</v>
      </c>
      <c r="AS9" s="365">
        <f t="shared" ref="AS9:AS57" si="18">V9+W9</f>
        <v>79997.082299999995</v>
      </c>
      <c r="AT9" s="365">
        <f t="shared" ref="AT9:AT57" si="19">AS9-X9</f>
        <v>0</v>
      </c>
      <c r="AU9" s="365">
        <f t="shared" ref="AU9:AU57" si="20">SUM(AH9:AT9)</f>
        <v>325953.10000000003</v>
      </c>
      <c r="AV9" s="365">
        <f t="shared" ref="AV9:AV57" si="21">AU9-AF9</f>
        <v>0</v>
      </c>
      <c r="AW9" s="366">
        <f t="shared" ref="AW9:AW57" si="22">AP9-AV9</f>
        <v>0</v>
      </c>
      <c r="AX9" s="116">
        <f>+AY9-A9</f>
        <v>0</v>
      </c>
      <c r="AY9" s="190">
        <v>210001</v>
      </c>
      <c r="AZ9" s="190" t="s">
        <v>336</v>
      </c>
      <c r="BA9" s="190" t="s">
        <v>187</v>
      </c>
      <c r="BB9" s="367">
        <v>192822.3</v>
      </c>
      <c r="BC9" s="367">
        <v>133130.79999999999</v>
      </c>
      <c r="BD9" s="367">
        <v>325953.09999999998</v>
      </c>
      <c r="BE9" s="367">
        <v>95867.620580000003</v>
      </c>
      <c r="BF9" s="367">
        <v>41081.633240000003</v>
      </c>
      <c r="BG9" s="367">
        <v>136949.25382000001</v>
      </c>
      <c r="BH9" s="367">
        <v>6379.2406499999997</v>
      </c>
      <c r="BI9" s="367">
        <v>3116.5112199999999</v>
      </c>
      <c r="BJ9" s="367">
        <v>9495.7518700000001</v>
      </c>
      <c r="BK9" s="367">
        <v>3530.1981300000002</v>
      </c>
      <c r="BL9" s="367">
        <v>3862.5732899999998</v>
      </c>
      <c r="BM9" s="367">
        <v>7392.77142</v>
      </c>
      <c r="BN9" s="367">
        <v>42908.9</v>
      </c>
      <c r="BO9" s="367">
        <v>35245.599999999999</v>
      </c>
      <c r="BP9" s="367">
        <v>78154.5</v>
      </c>
      <c r="BQ9" s="367">
        <v>0</v>
      </c>
      <c r="BR9" s="367">
        <v>5214.5405899999996</v>
      </c>
      <c r="BS9" s="367">
        <v>8749.2000000000007</v>
      </c>
      <c r="BT9" s="367">
        <v>13963.740589999999</v>
      </c>
      <c r="BU9" s="367">
        <v>38921.800049999998</v>
      </c>
      <c r="BV9" s="367">
        <v>41075.282249999997</v>
      </c>
      <c r="BW9" s="367">
        <v>79997.082299999995</v>
      </c>
      <c r="BX9" s="367">
        <v>252745.41072538501</v>
      </c>
      <c r="BY9" s="367">
        <v>277611.69899734901</v>
      </c>
      <c r="BZ9" s="368">
        <v>9.8384727000000005E-2</v>
      </c>
      <c r="CA9" s="367" t="s">
        <v>446</v>
      </c>
      <c r="CB9" s="190"/>
      <c r="CC9" s="369">
        <f>(BJ9+BP9)/BD9</f>
        <v>0.26890448923480098</v>
      </c>
      <c r="CE9" s="370">
        <f>+U9/E9</f>
        <v>4.2839723230121148E-2</v>
      </c>
    </row>
    <row r="10" spans="1:83">
      <c r="A10" s="363">
        <v>210002</v>
      </c>
      <c r="B10" s="363" t="s">
        <v>337</v>
      </c>
      <c r="C10" s="87">
        <v>912970.04599999997</v>
      </c>
      <c r="D10" s="87">
        <v>477022.94500000001</v>
      </c>
      <c r="E10" s="87">
        <v>1389992.9909999999</v>
      </c>
      <c r="F10" s="87">
        <v>288898.782086502</v>
      </c>
      <c r="G10" s="87">
        <v>150948.36171983299</v>
      </c>
      <c r="H10" s="87">
        <v>439847.14380633499</v>
      </c>
      <c r="I10" s="87">
        <v>57030.853419968</v>
      </c>
      <c r="J10" s="87">
        <v>29798.373773173</v>
      </c>
      <c r="K10" s="87">
        <v>86829.227193141996</v>
      </c>
      <c r="L10" s="87">
        <v>138110.76782511201</v>
      </c>
      <c r="M10" s="87">
        <v>72162.277696367993</v>
      </c>
      <c r="N10" s="87">
        <v>210273.04552148</v>
      </c>
      <c r="O10" s="87">
        <v>253959.02329554301</v>
      </c>
      <c r="P10" s="87">
        <v>132692.48916027899</v>
      </c>
      <c r="Q10" s="87">
        <v>386651.51245582203</v>
      </c>
      <c r="R10" s="87">
        <v>2148.1616560890002</v>
      </c>
      <c r="S10" s="87">
        <v>31326.175932995</v>
      </c>
      <c r="T10" s="87">
        <v>25257.114377005</v>
      </c>
      <c r="U10" s="87">
        <v>56583.290309999997</v>
      </c>
      <c r="V10" s="87">
        <v>143644.44343988001</v>
      </c>
      <c r="W10" s="87">
        <v>66164.328273341001</v>
      </c>
      <c r="X10" s="87">
        <v>209808.77171322101</v>
      </c>
      <c r="Y10" s="87">
        <v>1184664.2903581031</v>
      </c>
      <c r="Z10" s="87">
        <v>1296778.176617119</v>
      </c>
      <c r="AA10" s="131">
        <f t="shared" si="0"/>
        <v>0.31643838972878319</v>
      </c>
      <c r="AB10" s="351">
        <f t="shared" si="1"/>
        <v>6.2467384911541614E-2</v>
      </c>
      <c r="AC10" s="351">
        <f t="shared" si="2"/>
        <v>0.27816795837053399</v>
      </c>
      <c r="AD10" s="351">
        <f t="shared" si="3"/>
        <v>0.34063534328207562</v>
      </c>
      <c r="AE10" s="351">
        <f t="shared" si="4"/>
        <v>4.0707608366638157E-2</v>
      </c>
      <c r="AF10" s="364">
        <f t="shared" si="5"/>
        <v>1389992.9909999999</v>
      </c>
      <c r="AG10" s="365">
        <f t="shared" si="6"/>
        <v>0</v>
      </c>
      <c r="AH10" s="365">
        <f t="shared" si="7"/>
        <v>439847.14380633499</v>
      </c>
      <c r="AI10" s="365">
        <f t="shared" si="8"/>
        <v>0</v>
      </c>
      <c r="AJ10" s="365">
        <f t="shared" si="9"/>
        <v>86829.227193141007</v>
      </c>
      <c r="AK10" s="365">
        <f t="shared" si="10"/>
        <v>-9.8953023552894592E-10</v>
      </c>
      <c r="AL10" s="365">
        <f t="shared" si="11"/>
        <v>210273.04552148</v>
      </c>
      <c r="AM10" s="365">
        <f t="shared" si="12"/>
        <v>0</v>
      </c>
      <c r="AN10" s="365">
        <f t="shared" si="13"/>
        <v>386651.51245582197</v>
      </c>
      <c r="AO10" s="365">
        <f t="shared" si="14"/>
        <v>0</v>
      </c>
      <c r="AP10" s="365">
        <f t="shared" si="15"/>
        <v>2148.1616560890002</v>
      </c>
      <c r="AQ10" s="365">
        <f t="shared" si="16"/>
        <v>56583.290309999997</v>
      </c>
      <c r="AR10" s="365">
        <f t="shared" si="17"/>
        <v>0</v>
      </c>
      <c r="AS10" s="365">
        <f t="shared" si="18"/>
        <v>209808.77171322101</v>
      </c>
      <c r="AT10" s="365">
        <f t="shared" si="19"/>
        <v>0</v>
      </c>
      <c r="AU10" s="365">
        <f t="shared" si="20"/>
        <v>1392141.152656087</v>
      </c>
      <c r="AV10" s="365">
        <f t="shared" si="21"/>
        <v>2148.1616560870316</v>
      </c>
      <c r="AW10" s="366">
        <f t="shared" si="22"/>
        <v>1.9686012819875032E-9</v>
      </c>
      <c r="AX10" s="116">
        <f t="shared" ref="AX10:AX57" si="23">+AY10-A10</f>
        <v>0</v>
      </c>
      <c r="AY10" s="190">
        <v>210002</v>
      </c>
      <c r="AZ10" s="190" t="s">
        <v>337</v>
      </c>
      <c r="BA10" s="190" t="s">
        <v>187</v>
      </c>
      <c r="BB10" s="367">
        <v>912970.04599999997</v>
      </c>
      <c r="BC10" s="367">
        <v>477022.94500000001</v>
      </c>
      <c r="BD10" s="367">
        <v>1389992.9909999999</v>
      </c>
      <c r="BE10" s="367">
        <v>288898.782086502</v>
      </c>
      <c r="BF10" s="367">
        <v>150948.36171983299</v>
      </c>
      <c r="BG10" s="367">
        <v>439847.14380633499</v>
      </c>
      <c r="BH10" s="367">
        <v>57030.853419968</v>
      </c>
      <c r="BI10" s="367">
        <v>29798.373773173</v>
      </c>
      <c r="BJ10" s="367">
        <v>86829.227193141996</v>
      </c>
      <c r="BK10" s="367">
        <v>138110.76782511201</v>
      </c>
      <c r="BL10" s="367">
        <v>72162.277696367993</v>
      </c>
      <c r="BM10" s="367">
        <v>210273.04552148</v>
      </c>
      <c r="BN10" s="367">
        <v>253959.02329554301</v>
      </c>
      <c r="BO10" s="367">
        <v>132692.48916027899</v>
      </c>
      <c r="BP10" s="367">
        <v>386651.51245582203</v>
      </c>
      <c r="BQ10" s="367">
        <v>2148.1616560890002</v>
      </c>
      <c r="BR10" s="367">
        <v>31326.175932995</v>
      </c>
      <c r="BS10" s="367">
        <v>25257.114377005</v>
      </c>
      <c r="BT10" s="367">
        <v>56583.290309999997</v>
      </c>
      <c r="BU10" s="367">
        <v>143644.44343988001</v>
      </c>
      <c r="BV10" s="367">
        <v>66164.328273341001</v>
      </c>
      <c r="BW10" s="367">
        <v>209808.77171322101</v>
      </c>
      <c r="BX10" s="367">
        <v>1184664.2903581031</v>
      </c>
      <c r="BY10" s="367">
        <v>1296778.176617119</v>
      </c>
      <c r="BZ10" s="368">
        <v>9.4637684999999999E-2</v>
      </c>
      <c r="CA10" s="367" t="s">
        <v>446</v>
      </c>
      <c r="CB10" s="190"/>
      <c r="CC10" s="369">
        <f t="shared" ref="CC10:CC56" si="24">(BJ10+BP10)/BD10</f>
        <v>0.34063534328207562</v>
      </c>
      <c r="CE10" s="370">
        <f t="shared" ref="CE10:CE59" si="25">+U10/E10</f>
        <v>4.0707608366638157E-2</v>
      </c>
    </row>
    <row r="11" spans="1:83">
      <c r="A11" s="363">
        <v>210003</v>
      </c>
      <c r="B11" s="363" t="s">
        <v>350</v>
      </c>
      <c r="C11" s="87">
        <v>219934.09289999999</v>
      </c>
      <c r="D11" s="87">
        <v>73588.602430000014</v>
      </c>
      <c r="E11" s="87">
        <v>293522.69533000002</v>
      </c>
      <c r="F11" s="87">
        <v>77105.657670000001</v>
      </c>
      <c r="G11" s="87">
        <v>11345.640880000001</v>
      </c>
      <c r="H11" s="87">
        <v>88451.298550000007</v>
      </c>
      <c r="I11" s="87">
        <v>34724.971799999999</v>
      </c>
      <c r="J11" s="87">
        <v>4076.08428</v>
      </c>
      <c r="K11" s="87">
        <v>38801.056080000002</v>
      </c>
      <c r="L11" s="87">
        <v>15012.99613</v>
      </c>
      <c r="M11" s="87">
        <v>7101.5253599999996</v>
      </c>
      <c r="N11" s="87">
        <v>22114.521489999999</v>
      </c>
      <c r="O11" s="87">
        <v>49750.774559999998</v>
      </c>
      <c r="P11" s="87">
        <v>22756.939720000002</v>
      </c>
      <c r="Q11" s="87">
        <v>72507.71428</v>
      </c>
      <c r="R11" s="87">
        <v>617.63127999999995</v>
      </c>
      <c r="S11" s="87">
        <v>9842.2231000000011</v>
      </c>
      <c r="T11" s="87">
        <v>15692.879379999998</v>
      </c>
      <c r="U11" s="87">
        <v>25535.102480000001</v>
      </c>
      <c r="V11" s="87">
        <v>33497.469640000003</v>
      </c>
      <c r="W11" s="87">
        <v>12615.532810000012</v>
      </c>
      <c r="X11" s="87">
        <v>46113.002450000015</v>
      </c>
      <c r="Y11" s="87">
        <v>239957.9932273333</v>
      </c>
      <c r="Z11" s="87">
        <v>290748.8451285623</v>
      </c>
      <c r="AA11" s="131">
        <f t="shared" si="0"/>
        <v>0.30134398449345284</v>
      </c>
      <c r="AB11" s="351">
        <f t="shared" si="1"/>
        <v>0.13219099135205534</v>
      </c>
      <c r="AC11" s="351">
        <f t="shared" si="2"/>
        <v>0.24702592144870242</v>
      </c>
      <c r="AD11" s="351">
        <f t="shared" si="3"/>
        <v>0.37921691280075775</v>
      </c>
      <c r="AE11" s="351">
        <f t="shared" si="4"/>
        <v>8.6995325698040291E-2</v>
      </c>
      <c r="AF11" s="364">
        <f t="shared" si="5"/>
        <v>293522.69533000002</v>
      </c>
      <c r="AG11" s="365">
        <f t="shared" si="6"/>
        <v>0</v>
      </c>
      <c r="AH11" s="365">
        <f t="shared" si="7"/>
        <v>88451.298550000007</v>
      </c>
      <c r="AI11" s="365">
        <f t="shared" si="8"/>
        <v>0</v>
      </c>
      <c r="AJ11" s="365">
        <f t="shared" si="9"/>
        <v>38801.056080000002</v>
      </c>
      <c r="AK11" s="365">
        <f t="shared" si="10"/>
        <v>0</v>
      </c>
      <c r="AL11" s="365">
        <f t="shared" si="11"/>
        <v>22114.521489999999</v>
      </c>
      <c r="AM11" s="365">
        <f t="shared" si="12"/>
        <v>0</v>
      </c>
      <c r="AN11" s="365">
        <f t="shared" si="13"/>
        <v>72507.71428</v>
      </c>
      <c r="AO11" s="365">
        <f t="shared" si="14"/>
        <v>0</v>
      </c>
      <c r="AP11" s="365">
        <f t="shared" si="15"/>
        <v>617.63127999999995</v>
      </c>
      <c r="AQ11" s="365">
        <f t="shared" si="16"/>
        <v>25535.102480000001</v>
      </c>
      <c r="AR11" s="365">
        <f t="shared" si="17"/>
        <v>0</v>
      </c>
      <c r="AS11" s="365">
        <f t="shared" si="18"/>
        <v>46113.002450000015</v>
      </c>
      <c r="AT11" s="365">
        <f t="shared" si="19"/>
        <v>0</v>
      </c>
      <c r="AU11" s="365">
        <f t="shared" si="20"/>
        <v>294140.32661000005</v>
      </c>
      <c r="AV11" s="365">
        <f t="shared" si="21"/>
        <v>617.63128000003053</v>
      </c>
      <c r="AW11" s="366">
        <f t="shared" si="22"/>
        <v>-3.0581759347114712E-11</v>
      </c>
      <c r="AX11" s="116">
        <f t="shared" si="23"/>
        <v>0</v>
      </c>
      <c r="AY11" s="190">
        <v>210003</v>
      </c>
      <c r="AZ11" s="190" t="s">
        <v>350</v>
      </c>
      <c r="BA11" s="190" t="s">
        <v>187</v>
      </c>
      <c r="BB11" s="367">
        <v>219934.09289999999</v>
      </c>
      <c r="BC11" s="367">
        <v>73588.602430000014</v>
      </c>
      <c r="BD11" s="367">
        <v>293522.69533000002</v>
      </c>
      <c r="BE11" s="367">
        <v>77105.657670000001</v>
      </c>
      <c r="BF11" s="367">
        <v>11345.640880000001</v>
      </c>
      <c r="BG11" s="367">
        <v>88451.298550000007</v>
      </c>
      <c r="BH11" s="367">
        <v>34724.971799999999</v>
      </c>
      <c r="BI11" s="367">
        <v>4076.08428</v>
      </c>
      <c r="BJ11" s="367">
        <v>38801.056080000002</v>
      </c>
      <c r="BK11" s="367">
        <v>15012.99613</v>
      </c>
      <c r="BL11" s="367">
        <v>7101.5253599999996</v>
      </c>
      <c r="BM11" s="367">
        <v>22114.521489999999</v>
      </c>
      <c r="BN11" s="367">
        <v>49750.774559999998</v>
      </c>
      <c r="BO11" s="367">
        <v>22756.939720000002</v>
      </c>
      <c r="BP11" s="367">
        <v>72507.71428</v>
      </c>
      <c r="BQ11" s="367">
        <v>617.63127999999995</v>
      </c>
      <c r="BR11" s="367">
        <v>9842.2231000000011</v>
      </c>
      <c r="BS11" s="367">
        <v>15692.879379999998</v>
      </c>
      <c r="BT11" s="367">
        <v>25535.102480000001</v>
      </c>
      <c r="BU11" s="367">
        <v>33497.469640000003</v>
      </c>
      <c r="BV11" s="367">
        <v>12615.532810000012</v>
      </c>
      <c r="BW11" s="367">
        <v>46113.002450000015</v>
      </c>
      <c r="BX11" s="367">
        <v>239957.9932273333</v>
      </c>
      <c r="BY11" s="367">
        <v>290748.8451285623</v>
      </c>
      <c r="BZ11" s="368">
        <v>0.21166559704102195</v>
      </c>
      <c r="CA11" s="367" t="s">
        <v>446</v>
      </c>
      <c r="CB11" s="190"/>
      <c r="CC11" s="369">
        <f t="shared" si="24"/>
        <v>0.37921691280075775</v>
      </c>
      <c r="CE11" s="370">
        <f t="shared" si="25"/>
        <v>8.6995325698040291E-2</v>
      </c>
    </row>
    <row r="12" spans="1:83">
      <c r="A12" s="363">
        <v>210004</v>
      </c>
      <c r="B12" s="363" t="s">
        <v>57</v>
      </c>
      <c r="C12" s="87">
        <v>350774.7</v>
      </c>
      <c r="D12" s="87">
        <v>153857.9</v>
      </c>
      <c r="E12" s="87">
        <v>504632.6</v>
      </c>
      <c r="F12" s="87">
        <v>130397.167136857</v>
      </c>
      <c r="G12" s="87">
        <v>33001.244586497</v>
      </c>
      <c r="H12" s="87">
        <v>163398.41172335399</v>
      </c>
      <c r="I12" s="87">
        <v>28645.443659863999</v>
      </c>
      <c r="J12" s="87">
        <v>5212.7936310750001</v>
      </c>
      <c r="K12" s="87">
        <v>33858.23729094</v>
      </c>
      <c r="L12" s="87">
        <v>39597.293344193997</v>
      </c>
      <c r="M12" s="87">
        <v>24145.396762508</v>
      </c>
      <c r="N12" s="87">
        <v>63742.690106702001</v>
      </c>
      <c r="O12" s="87">
        <v>58625.361212563999</v>
      </c>
      <c r="P12" s="87">
        <v>21510.507931958</v>
      </c>
      <c r="Q12" s="87">
        <v>80135.869144522003</v>
      </c>
      <c r="R12" s="87">
        <v>4856.2777500000002</v>
      </c>
      <c r="S12" s="87">
        <v>13625.877847067</v>
      </c>
      <c r="T12" s="87">
        <v>22678.891632932999</v>
      </c>
      <c r="U12" s="87">
        <v>36304.769480000003</v>
      </c>
      <c r="V12" s="87">
        <v>79883.556799452999</v>
      </c>
      <c r="W12" s="87">
        <v>47309.065455028998</v>
      </c>
      <c r="X12" s="87">
        <v>127192.622254482</v>
      </c>
      <c r="Y12" s="87">
        <v>382792.91304816201</v>
      </c>
      <c r="Z12" s="87">
        <v>431500.923452941</v>
      </c>
      <c r="AA12" s="131">
        <f t="shared" si="0"/>
        <v>0.32379678150669217</v>
      </c>
      <c r="AB12" s="351">
        <f t="shared" si="1"/>
        <v>6.7094827585336345E-2</v>
      </c>
      <c r="AC12" s="351">
        <f t="shared" si="2"/>
        <v>0.15880042063180622</v>
      </c>
      <c r="AD12" s="351">
        <f t="shared" si="3"/>
        <v>0.22589524821714255</v>
      </c>
      <c r="AE12" s="351">
        <f t="shared" si="4"/>
        <v>7.1942972927234589E-2</v>
      </c>
      <c r="AF12" s="364">
        <f t="shared" si="5"/>
        <v>504632.6</v>
      </c>
      <c r="AG12" s="365">
        <f t="shared" si="6"/>
        <v>0</v>
      </c>
      <c r="AH12" s="365">
        <f t="shared" si="7"/>
        <v>163398.41172335399</v>
      </c>
      <c r="AI12" s="365">
        <f t="shared" si="8"/>
        <v>0</v>
      </c>
      <c r="AJ12" s="365">
        <f t="shared" si="9"/>
        <v>33858.237290938996</v>
      </c>
      <c r="AK12" s="365">
        <f t="shared" si="10"/>
        <v>-1.0040821507573128E-9</v>
      </c>
      <c r="AL12" s="365">
        <f t="shared" si="11"/>
        <v>63742.690106701993</v>
      </c>
      <c r="AM12" s="365">
        <f t="shared" si="12"/>
        <v>0</v>
      </c>
      <c r="AN12" s="365">
        <f t="shared" si="13"/>
        <v>80135.869144522003</v>
      </c>
      <c r="AO12" s="365">
        <f t="shared" si="14"/>
        <v>0</v>
      </c>
      <c r="AP12" s="365">
        <f t="shared" si="15"/>
        <v>4856.2777500000002</v>
      </c>
      <c r="AQ12" s="365">
        <f t="shared" si="16"/>
        <v>36304.769480000003</v>
      </c>
      <c r="AR12" s="365">
        <f t="shared" si="17"/>
        <v>0</v>
      </c>
      <c r="AS12" s="365">
        <f t="shared" si="18"/>
        <v>127192.622254482</v>
      </c>
      <c r="AT12" s="365">
        <f t="shared" si="19"/>
        <v>0</v>
      </c>
      <c r="AU12" s="365">
        <f t="shared" si="20"/>
        <v>509488.87774999801</v>
      </c>
      <c r="AV12" s="365">
        <f t="shared" si="21"/>
        <v>4856.2777499980293</v>
      </c>
      <c r="AW12" s="366">
        <f t="shared" si="22"/>
        <v>1.9708750187419355E-9</v>
      </c>
      <c r="AX12" s="116">
        <f t="shared" si="23"/>
        <v>0</v>
      </c>
      <c r="AY12" s="190">
        <v>210004</v>
      </c>
      <c r="AZ12" s="190" t="s">
        <v>57</v>
      </c>
      <c r="BA12" s="190" t="s">
        <v>187</v>
      </c>
      <c r="BB12" s="367">
        <v>350774.7</v>
      </c>
      <c r="BC12" s="367">
        <v>153857.9</v>
      </c>
      <c r="BD12" s="367">
        <v>504632.6</v>
      </c>
      <c r="BE12" s="367">
        <v>130397.167136857</v>
      </c>
      <c r="BF12" s="367">
        <v>33001.244586497</v>
      </c>
      <c r="BG12" s="367">
        <v>163398.41172335399</v>
      </c>
      <c r="BH12" s="367">
        <v>28645.443659863999</v>
      </c>
      <c r="BI12" s="367">
        <v>5212.7936310750001</v>
      </c>
      <c r="BJ12" s="367">
        <v>33858.23729094</v>
      </c>
      <c r="BK12" s="367">
        <v>39597.293344193997</v>
      </c>
      <c r="BL12" s="367">
        <v>24145.396762508</v>
      </c>
      <c r="BM12" s="367">
        <v>63742.690106702001</v>
      </c>
      <c r="BN12" s="367">
        <v>58625.361212563999</v>
      </c>
      <c r="BO12" s="367">
        <v>21510.507931958</v>
      </c>
      <c r="BP12" s="367">
        <v>80135.869144522003</v>
      </c>
      <c r="BQ12" s="367">
        <v>4856.2777500000002</v>
      </c>
      <c r="BR12" s="367">
        <v>13625.877847067</v>
      </c>
      <c r="BS12" s="367">
        <v>22678.891632932999</v>
      </c>
      <c r="BT12" s="367">
        <v>36304.769480000003</v>
      </c>
      <c r="BU12" s="367">
        <v>79883.556799452999</v>
      </c>
      <c r="BV12" s="367">
        <v>47309.065455028998</v>
      </c>
      <c r="BW12" s="367">
        <v>127192.622254482</v>
      </c>
      <c r="BX12" s="367">
        <v>382792.91304816201</v>
      </c>
      <c r="BY12" s="367">
        <v>431500.923452941</v>
      </c>
      <c r="BZ12" s="368">
        <v>0.12724376200000001</v>
      </c>
      <c r="CA12" s="367" t="s">
        <v>446</v>
      </c>
      <c r="CB12" s="190"/>
      <c r="CC12" s="369">
        <f t="shared" si="24"/>
        <v>0.22589524821714255</v>
      </c>
      <c r="CE12" s="370">
        <f t="shared" si="25"/>
        <v>7.1942972927234589E-2</v>
      </c>
    </row>
    <row r="13" spans="1:83">
      <c r="A13" s="363">
        <v>210005</v>
      </c>
      <c r="B13" s="363" t="s">
        <v>338</v>
      </c>
      <c r="C13" s="87">
        <v>226219.1</v>
      </c>
      <c r="D13" s="87">
        <v>119894.3</v>
      </c>
      <c r="E13" s="87">
        <v>346113.4</v>
      </c>
      <c r="F13" s="87">
        <v>105135.984677239</v>
      </c>
      <c r="G13" s="87">
        <v>32403.240157081</v>
      </c>
      <c r="H13" s="87">
        <v>137539.224834319</v>
      </c>
      <c r="I13" s="87">
        <v>7590.9007707560004</v>
      </c>
      <c r="J13" s="87">
        <v>2197.0179112830001</v>
      </c>
      <c r="K13" s="87">
        <v>9787.9186820390005</v>
      </c>
      <c r="L13" s="87">
        <v>31675.298235350001</v>
      </c>
      <c r="M13" s="87">
        <v>22791.563103773999</v>
      </c>
      <c r="N13" s="87">
        <v>54466.861339124</v>
      </c>
      <c r="O13" s="87">
        <v>32582.471665443001</v>
      </c>
      <c r="P13" s="87">
        <v>20044.824897314</v>
      </c>
      <c r="Q13" s="87">
        <v>52627.296562757001</v>
      </c>
      <c r="R13" s="87">
        <v>1898.316</v>
      </c>
      <c r="S13" s="87">
        <v>6716.8600900000001</v>
      </c>
      <c r="T13" s="87">
        <v>8570.5110600000007</v>
      </c>
      <c r="U13" s="87">
        <v>15287.371150000001</v>
      </c>
      <c r="V13" s="87">
        <v>42517.584561213</v>
      </c>
      <c r="W13" s="87">
        <v>33887.142870549003</v>
      </c>
      <c r="X13" s="87">
        <v>76404.727431760999</v>
      </c>
      <c r="Y13" s="87">
        <v>258438.64772567799</v>
      </c>
      <c r="Z13" s="87">
        <v>282982.36986889801</v>
      </c>
      <c r="AA13" s="131">
        <f t="shared" si="0"/>
        <v>0.39738197028580513</v>
      </c>
      <c r="AB13" s="351">
        <f t="shared" si="1"/>
        <v>2.8279513829973065E-2</v>
      </c>
      <c r="AC13" s="351">
        <f t="shared" si="2"/>
        <v>0.1520521787447611</v>
      </c>
      <c r="AD13" s="351">
        <f t="shared" si="3"/>
        <v>0.18033169257473416</v>
      </c>
      <c r="AE13" s="351">
        <f t="shared" si="4"/>
        <v>4.4168677520142245E-2</v>
      </c>
      <c r="AF13" s="364">
        <f t="shared" si="5"/>
        <v>346113.4</v>
      </c>
      <c r="AG13" s="365">
        <f t="shared" si="6"/>
        <v>0</v>
      </c>
      <c r="AH13" s="365">
        <f t="shared" si="7"/>
        <v>137539.22483431999</v>
      </c>
      <c r="AI13" s="365">
        <f t="shared" si="8"/>
        <v>9.8953023552894592E-10</v>
      </c>
      <c r="AJ13" s="365">
        <f t="shared" si="9"/>
        <v>9787.9186820390005</v>
      </c>
      <c r="AK13" s="365">
        <f t="shared" si="10"/>
        <v>0</v>
      </c>
      <c r="AL13" s="365">
        <f t="shared" si="11"/>
        <v>54466.861339124</v>
      </c>
      <c r="AM13" s="365">
        <f t="shared" si="12"/>
        <v>0</v>
      </c>
      <c r="AN13" s="365">
        <f t="shared" si="13"/>
        <v>52627.296562757001</v>
      </c>
      <c r="AO13" s="365">
        <f t="shared" si="14"/>
        <v>0</v>
      </c>
      <c r="AP13" s="365">
        <f t="shared" si="15"/>
        <v>1898.316</v>
      </c>
      <c r="AQ13" s="365">
        <f t="shared" si="16"/>
        <v>15287.371150000001</v>
      </c>
      <c r="AR13" s="365">
        <f t="shared" si="17"/>
        <v>0</v>
      </c>
      <c r="AS13" s="365">
        <f t="shared" si="18"/>
        <v>76404.727431762003</v>
      </c>
      <c r="AT13" s="365">
        <f t="shared" si="19"/>
        <v>1.0040821507573128E-9</v>
      </c>
      <c r="AU13" s="365">
        <f t="shared" si="20"/>
        <v>348011.71600000391</v>
      </c>
      <c r="AV13" s="365">
        <f t="shared" si="21"/>
        <v>1898.3160000038915</v>
      </c>
      <c r="AW13" s="366">
        <f t="shared" si="22"/>
        <v>-3.8915004552109167E-9</v>
      </c>
      <c r="AX13" s="116">
        <f t="shared" si="23"/>
        <v>0</v>
      </c>
      <c r="AY13" s="190">
        <v>210005</v>
      </c>
      <c r="AZ13" s="190" t="s">
        <v>338</v>
      </c>
      <c r="BA13" s="190" t="s">
        <v>187</v>
      </c>
      <c r="BB13" s="367">
        <v>226219.1</v>
      </c>
      <c r="BC13" s="367">
        <v>119894.3</v>
      </c>
      <c r="BD13" s="367">
        <v>346113.4</v>
      </c>
      <c r="BE13" s="367">
        <v>105135.984677239</v>
      </c>
      <c r="BF13" s="367">
        <v>32403.240157081</v>
      </c>
      <c r="BG13" s="367">
        <v>137539.224834319</v>
      </c>
      <c r="BH13" s="367">
        <v>7590.9007707560004</v>
      </c>
      <c r="BI13" s="367">
        <v>2197.0179112830001</v>
      </c>
      <c r="BJ13" s="367">
        <v>9787.9186820390005</v>
      </c>
      <c r="BK13" s="367">
        <v>31675.298235350001</v>
      </c>
      <c r="BL13" s="367">
        <v>22791.563103773999</v>
      </c>
      <c r="BM13" s="367">
        <v>54466.861339124</v>
      </c>
      <c r="BN13" s="367">
        <v>32582.471665443001</v>
      </c>
      <c r="BO13" s="367">
        <v>20044.824897314</v>
      </c>
      <c r="BP13" s="367">
        <v>52627.296562757001</v>
      </c>
      <c r="BQ13" s="367">
        <v>1898.316</v>
      </c>
      <c r="BR13" s="367">
        <v>6716.8600900000001</v>
      </c>
      <c r="BS13" s="367">
        <v>8570.5110600000007</v>
      </c>
      <c r="BT13" s="367">
        <v>15287.371150000001</v>
      </c>
      <c r="BU13" s="367">
        <v>42517.584561213</v>
      </c>
      <c r="BV13" s="367">
        <v>33887.142870549003</v>
      </c>
      <c r="BW13" s="367">
        <v>76404.727431760999</v>
      </c>
      <c r="BX13" s="367">
        <v>258438.64772567799</v>
      </c>
      <c r="BY13" s="367">
        <v>282982.36986889801</v>
      </c>
      <c r="BZ13" s="368">
        <v>9.4969240999999996E-2</v>
      </c>
      <c r="CA13" s="367" t="s">
        <v>446</v>
      </c>
      <c r="CB13" s="190"/>
      <c r="CC13" s="369">
        <f t="shared" si="24"/>
        <v>0.18033169257473416</v>
      </c>
      <c r="CE13" s="370">
        <f t="shared" si="25"/>
        <v>4.4168677520142245E-2</v>
      </c>
    </row>
    <row r="14" spans="1:83">
      <c r="A14" s="363">
        <v>210006</v>
      </c>
      <c r="B14" s="363" t="s">
        <v>351</v>
      </c>
      <c r="C14" s="121">
        <v>49981.806259999998</v>
      </c>
      <c r="D14" s="121">
        <v>55333.032399999996</v>
      </c>
      <c r="E14" s="121">
        <v>105314.83865999999</v>
      </c>
      <c r="F14" s="121">
        <v>26037.275803224999</v>
      </c>
      <c r="G14" s="121">
        <v>16864.424674459999</v>
      </c>
      <c r="H14" s="121">
        <v>42901.700477683997</v>
      </c>
      <c r="I14" s="121">
        <v>5025.5634830179997</v>
      </c>
      <c r="J14" s="121">
        <v>3110.94439547</v>
      </c>
      <c r="K14" s="121">
        <v>8136.5078784879997</v>
      </c>
      <c r="L14" s="121">
        <v>2248.7831720129998</v>
      </c>
      <c r="M14" s="121">
        <v>6657.3543085210003</v>
      </c>
      <c r="N14" s="121">
        <v>8906.1374805350006</v>
      </c>
      <c r="O14" s="121">
        <v>5148.9735910680001</v>
      </c>
      <c r="P14" s="121">
        <v>10489.049577045</v>
      </c>
      <c r="Q14" s="121">
        <v>15638.023168113001</v>
      </c>
      <c r="R14" s="121">
        <v>0</v>
      </c>
      <c r="S14" s="121">
        <v>3385.7546609360002</v>
      </c>
      <c r="T14" s="121">
        <v>3748.2453390639998</v>
      </c>
      <c r="U14" s="121">
        <v>7134</v>
      </c>
      <c r="V14" s="121">
        <v>8135.4555497390002</v>
      </c>
      <c r="W14" s="121">
        <v>14463.014105439999</v>
      </c>
      <c r="X14" s="121">
        <v>22598.469655179</v>
      </c>
      <c r="Y14" s="121">
        <v>80675.689680836003</v>
      </c>
      <c r="Z14" s="121">
        <v>90826.747061784001</v>
      </c>
      <c r="AA14" s="131">
        <f t="shared" si="0"/>
        <v>0.40736615109090646</v>
      </c>
      <c r="AB14" s="351">
        <f t="shared" si="1"/>
        <v>7.7258893257730027E-2</v>
      </c>
      <c r="AC14" s="351">
        <f t="shared" si="2"/>
        <v>0.1484883171933542</v>
      </c>
      <c r="AD14" s="351">
        <f t="shared" si="3"/>
        <v>0.22574721045108423</v>
      </c>
      <c r="AE14" s="351">
        <f t="shared" si="4"/>
        <v>6.7739742003797898E-2</v>
      </c>
      <c r="AF14" s="364">
        <f t="shared" si="5"/>
        <v>105314.83865999999</v>
      </c>
      <c r="AG14" s="365">
        <f t="shared" si="6"/>
        <v>0</v>
      </c>
      <c r="AH14" s="365">
        <f t="shared" si="7"/>
        <v>42901.700477684994</v>
      </c>
      <c r="AI14" s="365">
        <f t="shared" si="8"/>
        <v>9.9680619314312935E-10</v>
      </c>
      <c r="AJ14" s="365">
        <f t="shared" si="9"/>
        <v>8136.5078784879997</v>
      </c>
      <c r="AK14" s="365">
        <f t="shared" si="10"/>
        <v>0</v>
      </c>
      <c r="AL14" s="365">
        <f t="shared" si="11"/>
        <v>8906.1374805340001</v>
      </c>
      <c r="AM14" s="365">
        <f t="shared" si="12"/>
        <v>-1.0004441719502211E-9</v>
      </c>
      <c r="AN14" s="365">
        <f t="shared" si="13"/>
        <v>15638.023168112999</v>
      </c>
      <c r="AO14" s="365">
        <f t="shared" si="14"/>
        <v>0</v>
      </c>
      <c r="AP14" s="365">
        <f t="shared" si="15"/>
        <v>0</v>
      </c>
      <c r="AQ14" s="365">
        <f t="shared" si="16"/>
        <v>7134</v>
      </c>
      <c r="AR14" s="365">
        <f t="shared" si="17"/>
        <v>0</v>
      </c>
      <c r="AS14" s="365">
        <f t="shared" si="18"/>
        <v>22598.469655179</v>
      </c>
      <c r="AT14" s="365">
        <f t="shared" si="19"/>
        <v>0</v>
      </c>
      <c r="AU14" s="365">
        <f t="shared" si="20"/>
        <v>105314.83865999899</v>
      </c>
      <c r="AV14" s="365">
        <f t="shared" si="21"/>
        <v>-1.0040821507573128E-9</v>
      </c>
      <c r="AW14" s="366">
        <f t="shared" si="22"/>
        <v>1.0040821507573128E-9</v>
      </c>
      <c r="AX14" s="116">
        <f t="shared" si="23"/>
        <v>0</v>
      </c>
      <c r="AY14" s="190">
        <v>210006</v>
      </c>
      <c r="AZ14" s="190" t="s">
        <v>351</v>
      </c>
      <c r="BA14" s="190" t="s">
        <v>187</v>
      </c>
      <c r="BB14" s="367">
        <v>49981.806259999998</v>
      </c>
      <c r="BC14" s="367">
        <v>55333.032399999996</v>
      </c>
      <c r="BD14" s="367">
        <v>105314.83865999999</v>
      </c>
      <c r="BE14" s="367">
        <v>26037.275803224999</v>
      </c>
      <c r="BF14" s="367">
        <v>16864.424674459999</v>
      </c>
      <c r="BG14" s="367">
        <v>42901.700477683997</v>
      </c>
      <c r="BH14" s="367">
        <v>5025.5634830179997</v>
      </c>
      <c r="BI14" s="367">
        <v>3110.94439547</v>
      </c>
      <c r="BJ14" s="367">
        <v>8136.5078784879997</v>
      </c>
      <c r="BK14" s="367">
        <v>2248.7831720129998</v>
      </c>
      <c r="BL14" s="367">
        <v>6657.3543085210003</v>
      </c>
      <c r="BM14" s="367">
        <v>8906.1374805350006</v>
      </c>
      <c r="BN14" s="367">
        <v>5148.9735910680001</v>
      </c>
      <c r="BO14" s="367">
        <v>10489.049577045</v>
      </c>
      <c r="BP14" s="367">
        <v>15638.023168113001</v>
      </c>
      <c r="BQ14" s="367">
        <v>0</v>
      </c>
      <c r="BR14" s="367">
        <v>3385.7546609360002</v>
      </c>
      <c r="BS14" s="367">
        <v>3748.2453390639998</v>
      </c>
      <c r="BT14" s="367">
        <v>7134</v>
      </c>
      <c r="BU14" s="367">
        <v>8135.4555497390002</v>
      </c>
      <c r="BV14" s="367">
        <v>14463.014105439999</v>
      </c>
      <c r="BW14" s="367">
        <v>22598.469655179</v>
      </c>
      <c r="BX14" s="367">
        <v>80675.689680836003</v>
      </c>
      <c r="BY14" s="367">
        <v>90826.747061784001</v>
      </c>
      <c r="BZ14" s="368">
        <v>0.12582547999999999</v>
      </c>
      <c r="CA14" s="367" t="s">
        <v>446</v>
      </c>
      <c r="CB14" s="190"/>
      <c r="CC14" s="369">
        <f t="shared" si="24"/>
        <v>0.22574721045108423</v>
      </c>
      <c r="CE14" s="370">
        <f t="shared" si="25"/>
        <v>6.7739742003797898E-2</v>
      </c>
    </row>
    <row r="15" spans="1:83">
      <c r="A15" s="363">
        <v>210008</v>
      </c>
      <c r="B15" s="363" t="s">
        <v>58</v>
      </c>
      <c r="C15" s="87">
        <v>227267.7</v>
      </c>
      <c r="D15" s="87">
        <v>296823.7</v>
      </c>
      <c r="E15" s="87">
        <v>524091.4</v>
      </c>
      <c r="F15" s="87">
        <v>87116.783606543002</v>
      </c>
      <c r="G15" s="87">
        <v>95120.772351856998</v>
      </c>
      <c r="H15" s="87">
        <v>182237.55595839999</v>
      </c>
      <c r="I15" s="87">
        <v>7776.0947255159999</v>
      </c>
      <c r="J15" s="87">
        <v>7293.6741084940004</v>
      </c>
      <c r="K15" s="87">
        <v>15069.768834009999</v>
      </c>
      <c r="L15" s="87">
        <v>47370.241956263002</v>
      </c>
      <c r="M15" s="87">
        <v>80071.752895323007</v>
      </c>
      <c r="N15" s="87">
        <v>127441.994851586</v>
      </c>
      <c r="O15" s="87">
        <v>49585.04503075</v>
      </c>
      <c r="P15" s="87">
        <v>51998.915881039997</v>
      </c>
      <c r="Q15" s="87">
        <v>101583.96091179</v>
      </c>
      <c r="R15" s="87">
        <v>9842.9210000000003</v>
      </c>
      <c r="S15" s="87">
        <v>7261.9365435560003</v>
      </c>
      <c r="T15" s="87">
        <v>15115.820456444</v>
      </c>
      <c r="U15" s="87">
        <v>22377.757000000001</v>
      </c>
      <c r="V15" s="87">
        <v>28157.598137371999</v>
      </c>
      <c r="W15" s="87">
        <v>47222.764306842</v>
      </c>
      <c r="X15" s="87">
        <v>75380.362444213999</v>
      </c>
      <c r="Y15" s="87">
        <v>434073.46722580103</v>
      </c>
      <c r="Z15" s="87">
        <v>474531.01506188599</v>
      </c>
      <c r="AA15" s="131">
        <f t="shared" si="0"/>
        <v>0.34772094325226471</v>
      </c>
      <c r="AB15" s="351">
        <f t="shared" si="1"/>
        <v>2.8754085325593967E-2</v>
      </c>
      <c r="AC15" s="351">
        <f t="shared" si="2"/>
        <v>0.19382871177010344</v>
      </c>
      <c r="AD15" s="351">
        <f t="shared" si="3"/>
        <v>0.22258279709569742</v>
      </c>
      <c r="AE15" s="351">
        <f t="shared" si="4"/>
        <v>4.2698195391109264E-2</v>
      </c>
      <c r="AF15" s="364">
        <f t="shared" si="5"/>
        <v>524091.4</v>
      </c>
      <c r="AG15" s="365">
        <f t="shared" si="6"/>
        <v>0</v>
      </c>
      <c r="AH15" s="365">
        <f t="shared" si="7"/>
        <v>182237.55595840001</v>
      </c>
      <c r="AI15" s="365">
        <f t="shared" si="8"/>
        <v>0</v>
      </c>
      <c r="AJ15" s="365">
        <f t="shared" si="9"/>
        <v>15069.768834009999</v>
      </c>
      <c r="AK15" s="365">
        <f t="shared" si="10"/>
        <v>0</v>
      </c>
      <c r="AL15" s="365">
        <f t="shared" si="11"/>
        <v>127441.994851586</v>
      </c>
      <c r="AM15" s="365">
        <f t="shared" si="12"/>
        <v>0</v>
      </c>
      <c r="AN15" s="365">
        <f t="shared" si="13"/>
        <v>101583.96091179</v>
      </c>
      <c r="AO15" s="365">
        <f t="shared" si="14"/>
        <v>0</v>
      </c>
      <c r="AP15" s="365">
        <f t="shared" si="15"/>
        <v>9842.9210000000003</v>
      </c>
      <c r="AQ15" s="365">
        <f t="shared" si="16"/>
        <v>22377.757000000001</v>
      </c>
      <c r="AR15" s="365">
        <f t="shared" si="17"/>
        <v>0</v>
      </c>
      <c r="AS15" s="365">
        <f t="shared" si="18"/>
        <v>75380.362444213999</v>
      </c>
      <c r="AT15" s="365">
        <f t="shared" si="19"/>
        <v>0</v>
      </c>
      <c r="AU15" s="365">
        <f t="shared" si="20"/>
        <v>533934.321</v>
      </c>
      <c r="AV15" s="365">
        <f t="shared" si="21"/>
        <v>9842.920999999973</v>
      </c>
      <c r="AW15" s="366">
        <f t="shared" si="22"/>
        <v>2.7284841053187847E-11</v>
      </c>
      <c r="AX15" s="116">
        <f t="shared" si="23"/>
        <v>0</v>
      </c>
      <c r="AY15" s="190">
        <v>210008</v>
      </c>
      <c r="AZ15" s="190" t="s">
        <v>58</v>
      </c>
      <c r="BA15" s="190" t="s">
        <v>187</v>
      </c>
      <c r="BB15" s="367">
        <v>227267.7</v>
      </c>
      <c r="BC15" s="367">
        <v>296823.7</v>
      </c>
      <c r="BD15" s="367">
        <v>524091.4</v>
      </c>
      <c r="BE15" s="367">
        <v>87116.783606543002</v>
      </c>
      <c r="BF15" s="367">
        <v>95120.772351856998</v>
      </c>
      <c r="BG15" s="367">
        <v>182237.55595839999</v>
      </c>
      <c r="BH15" s="367">
        <v>7776.0947255159999</v>
      </c>
      <c r="BI15" s="367">
        <v>7293.6741084940004</v>
      </c>
      <c r="BJ15" s="367">
        <v>15069.768834009999</v>
      </c>
      <c r="BK15" s="367">
        <v>47370.241956263002</v>
      </c>
      <c r="BL15" s="367">
        <v>80071.752895323007</v>
      </c>
      <c r="BM15" s="367">
        <v>127441.994851586</v>
      </c>
      <c r="BN15" s="367">
        <v>49585.04503075</v>
      </c>
      <c r="BO15" s="367">
        <v>51998.915881039997</v>
      </c>
      <c r="BP15" s="367">
        <v>101583.96091179</v>
      </c>
      <c r="BQ15" s="367">
        <v>9842.9210000000003</v>
      </c>
      <c r="BR15" s="367">
        <v>7261.9365435560003</v>
      </c>
      <c r="BS15" s="367">
        <v>15115.820456444</v>
      </c>
      <c r="BT15" s="367">
        <v>22377.757000000001</v>
      </c>
      <c r="BU15" s="367">
        <v>28157.598137371999</v>
      </c>
      <c r="BV15" s="367">
        <v>47222.764306842</v>
      </c>
      <c r="BW15" s="367">
        <v>75380.362444213999</v>
      </c>
      <c r="BX15" s="367">
        <v>434073.46722580103</v>
      </c>
      <c r="BY15" s="367">
        <v>474531.01506188599</v>
      </c>
      <c r="BZ15" s="368">
        <v>9.3204379000000004E-2</v>
      </c>
      <c r="CA15" s="367" t="s">
        <v>446</v>
      </c>
      <c r="CB15" s="190"/>
      <c r="CC15" s="369">
        <f t="shared" si="24"/>
        <v>0.22258279709569742</v>
      </c>
      <c r="CE15" s="370">
        <f t="shared" si="25"/>
        <v>4.2698195391109264E-2</v>
      </c>
    </row>
    <row r="16" spans="1:83">
      <c r="A16" s="363">
        <v>210009</v>
      </c>
      <c r="B16" s="363" t="s">
        <v>70</v>
      </c>
      <c r="C16" s="87">
        <v>1378037.6819581729</v>
      </c>
      <c r="D16" s="87">
        <v>974681.17526000005</v>
      </c>
      <c r="E16" s="87">
        <v>2352718.8572181729</v>
      </c>
      <c r="F16" s="87">
        <v>417224.13959346502</v>
      </c>
      <c r="G16" s="87">
        <v>243173.229453423</v>
      </c>
      <c r="H16" s="87">
        <v>660397.36904688796</v>
      </c>
      <c r="I16" s="87">
        <v>60272.717642951</v>
      </c>
      <c r="J16" s="87">
        <v>19313.231053205</v>
      </c>
      <c r="K16" s="87">
        <v>79585.948696156003</v>
      </c>
      <c r="L16" s="87">
        <v>262111.518477918</v>
      </c>
      <c r="M16" s="87">
        <v>234020.950071881</v>
      </c>
      <c r="N16" s="87">
        <v>496132.468549799</v>
      </c>
      <c r="O16" s="87">
        <v>264215.84581000003</v>
      </c>
      <c r="P16" s="87">
        <v>165203.63944999999</v>
      </c>
      <c r="Q16" s="87">
        <v>429419.48525999999</v>
      </c>
      <c r="R16" s="87">
        <v>11923.34901</v>
      </c>
      <c r="S16" s="87">
        <v>13701.507285</v>
      </c>
      <c r="T16" s="87">
        <v>48117.504715000003</v>
      </c>
      <c r="U16" s="87">
        <v>61819.012000000002</v>
      </c>
      <c r="V16" s="87">
        <v>360511.95314883802</v>
      </c>
      <c r="W16" s="87">
        <v>264852.62051649101</v>
      </c>
      <c r="X16" s="87">
        <v>625364.57366532902</v>
      </c>
      <c r="Y16" s="87">
        <v>1999577.3012724749</v>
      </c>
      <c r="Z16" s="87">
        <v>2140901.7715771142</v>
      </c>
      <c r="AA16" s="131">
        <f t="shared" si="0"/>
        <v>0.28069540354164291</v>
      </c>
      <c r="AB16" s="351">
        <f t="shared" si="1"/>
        <v>3.3827224384241766E-2</v>
      </c>
      <c r="AC16" s="351">
        <f t="shared" si="2"/>
        <v>0.18252052681200528</v>
      </c>
      <c r="AD16" s="351">
        <f t="shared" si="3"/>
        <v>0.21634775119624708</v>
      </c>
      <c r="AE16" s="351">
        <f t="shared" si="4"/>
        <v>2.6275562764475003E-2</v>
      </c>
      <c r="AF16" s="364">
        <f t="shared" si="5"/>
        <v>2352718.8572181729</v>
      </c>
      <c r="AG16" s="365">
        <f t="shared" si="6"/>
        <v>0</v>
      </c>
      <c r="AH16" s="365">
        <f t="shared" si="7"/>
        <v>660397.36904688808</v>
      </c>
      <c r="AI16" s="365">
        <f t="shared" si="8"/>
        <v>0</v>
      </c>
      <c r="AJ16" s="365">
        <f t="shared" si="9"/>
        <v>79585.948696156003</v>
      </c>
      <c r="AK16" s="365">
        <f t="shared" si="10"/>
        <v>0</v>
      </c>
      <c r="AL16" s="365">
        <f t="shared" si="11"/>
        <v>496132.468549799</v>
      </c>
      <c r="AM16" s="365">
        <f t="shared" si="12"/>
        <v>0</v>
      </c>
      <c r="AN16" s="365">
        <f t="shared" si="13"/>
        <v>429419.48525999999</v>
      </c>
      <c r="AO16" s="365">
        <f t="shared" si="14"/>
        <v>0</v>
      </c>
      <c r="AP16" s="365">
        <f t="shared" si="15"/>
        <v>11923.34901</v>
      </c>
      <c r="AQ16" s="365">
        <f t="shared" si="16"/>
        <v>61819.012000000002</v>
      </c>
      <c r="AR16" s="365">
        <f t="shared" si="17"/>
        <v>0</v>
      </c>
      <c r="AS16" s="365">
        <f t="shared" si="18"/>
        <v>625364.57366532902</v>
      </c>
      <c r="AT16" s="365">
        <f t="shared" si="19"/>
        <v>0</v>
      </c>
      <c r="AU16" s="365">
        <f t="shared" si="20"/>
        <v>2364642.2062281724</v>
      </c>
      <c r="AV16" s="365">
        <f t="shared" si="21"/>
        <v>11923.34900999954</v>
      </c>
      <c r="AW16" s="366">
        <f t="shared" si="22"/>
        <v>4.6020431909710169E-10</v>
      </c>
      <c r="AX16" s="116">
        <f t="shared" si="23"/>
        <v>0</v>
      </c>
      <c r="AY16" s="190">
        <v>210009</v>
      </c>
      <c r="AZ16" s="190" t="s">
        <v>70</v>
      </c>
      <c r="BA16" s="190" t="s">
        <v>187</v>
      </c>
      <c r="BB16" s="367">
        <v>1378037.6819581729</v>
      </c>
      <c r="BC16" s="367">
        <v>974681.17526000005</v>
      </c>
      <c r="BD16" s="367">
        <v>2352718.8572181729</v>
      </c>
      <c r="BE16" s="367">
        <v>417224.13959346502</v>
      </c>
      <c r="BF16" s="367">
        <v>243173.229453423</v>
      </c>
      <c r="BG16" s="367">
        <v>660397.36904688796</v>
      </c>
      <c r="BH16" s="367">
        <v>60272.717642951</v>
      </c>
      <c r="BI16" s="367">
        <v>19313.231053205</v>
      </c>
      <c r="BJ16" s="367">
        <v>79585.948696156003</v>
      </c>
      <c r="BK16" s="367">
        <v>262111.518477918</v>
      </c>
      <c r="BL16" s="367">
        <v>234020.950071881</v>
      </c>
      <c r="BM16" s="367">
        <v>496132.468549799</v>
      </c>
      <c r="BN16" s="367">
        <v>264215.84581000003</v>
      </c>
      <c r="BO16" s="367">
        <v>165203.63944999999</v>
      </c>
      <c r="BP16" s="367">
        <v>429419.48525999999</v>
      </c>
      <c r="BQ16" s="367">
        <v>11923.34901</v>
      </c>
      <c r="BR16" s="367">
        <v>13701.507285</v>
      </c>
      <c r="BS16" s="367">
        <v>48117.504715000003</v>
      </c>
      <c r="BT16" s="367">
        <v>61819.012000000002</v>
      </c>
      <c r="BU16" s="367">
        <v>360511.95314883802</v>
      </c>
      <c r="BV16" s="367">
        <v>264852.62051649101</v>
      </c>
      <c r="BW16" s="367">
        <v>625364.57366532902</v>
      </c>
      <c r="BX16" s="367">
        <v>1999577.3012724749</v>
      </c>
      <c r="BY16" s="367">
        <v>2140901.7715771142</v>
      </c>
      <c r="BZ16" s="368">
        <v>7.0677172727808157E-2</v>
      </c>
      <c r="CA16" s="367" t="s">
        <v>446</v>
      </c>
      <c r="CB16" s="190"/>
      <c r="CC16" s="369">
        <f t="shared" si="24"/>
        <v>0.21634775119624708</v>
      </c>
      <c r="CE16" s="370">
        <f t="shared" si="25"/>
        <v>2.6275562764475003E-2</v>
      </c>
    </row>
    <row r="17" spans="1:83">
      <c r="A17" s="363">
        <v>210010</v>
      </c>
      <c r="B17" s="363" t="s">
        <v>352</v>
      </c>
      <c r="C17" s="87">
        <v>26351.566999999999</v>
      </c>
      <c r="D17" s="87">
        <v>23499.606</v>
      </c>
      <c r="E17" s="87">
        <v>49851.173000000003</v>
      </c>
      <c r="F17" s="87">
        <v>14911.1</v>
      </c>
      <c r="G17" s="87">
        <v>7922.9970000000003</v>
      </c>
      <c r="H17" s="87">
        <v>22834.097000000002</v>
      </c>
      <c r="I17" s="87">
        <v>716.2</v>
      </c>
      <c r="J17" s="87">
        <v>1223.5160000000001</v>
      </c>
      <c r="K17" s="87">
        <v>1939.7159999999999</v>
      </c>
      <c r="L17" s="87">
        <v>900.3</v>
      </c>
      <c r="M17" s="87">
        <v>2033.126</v>
      </c>
      <c r="N17" s="87">
        <v>2933.4259999999999</v>
      </c>
      <c r="O17" s="87">
        <v>6983.8</v>
      </c>
      <c r="P17" s="87">
        <v>7676.9639999999999</v>
      </c>
      <c r="Q17" s="87">
        <v>14660.763999999999</v>
      </c>
      <c r="R17" s="87">
        <v>284.25096000000002</v>
      </c>
      <c r="S17" s="87">
        <v>1350.2670000000001</v>
      </c>
      <c r="T17" s="87">
        <v>1204.134</v>
      </c>
      <c r="U17" s="87">
        <v>2554.4009999999998</v>
      </c>
      <c r="V17" s="87">
        <v>1489.9</v>
      </c>
      <c r="W17" s="87">
        <v>3438.8690000000001</v>
      </c>
      <c r="X17" s="87">
        <v>4928.7690000000002</v>
      </c>
      <c r="Y17" s="87">
        <v>40345.052219999998</v>
      </c>
      <c r="Z17" s="87">
        <v>44928.513748161997</v>
      </c>
      <c r="AA17" s="131">
        <f t="shared" si="0"/>
        <v>0.45804533024729427</v>
      </c>
      <c r="AB17" s="351">
        <f t="shared" si="1"/>
        <v>3.8910137580915091E-2</v>
      </c>
      <c r="AC17" s="351">
        <f t="shared" si="2"/>
        <v>0.29409065259106337</v>
      </c>
      <c r="AD17" s="351">
        <f t="shared" si="3"/>
        <v>0.33300079017197848</v>
      </c>
      <c r="AE17" s="351">
        <f t="shared" si="4"/>
        <v>5.1240539515489431E-2</v>
      </c>
      <c r="AF17" s="364">
        <f t="shared" si="5"/>
        <v>49851.172999999995</v>
      </c>
      <c r="AG17" s="365">
        <f t="shared" si="6"/>
        <v>0</v>
      </c>
      <c r="AH17" s="365">
        <f t="shared" si="7"/>
        <v>22834.097000000002</v>
      </c>
      <c r="AI17" s="365">
        <f t="shared" si="8"/>
        <v>0</v>
      </c>
      <c r="AJ17" s="365">
        <f t="shared" si="9"/>
        <v>1939.7160000000001</v>
      </c>
      <c r="AK17" s="365">
        <f t="shared" si="10"/>
        <v>0</v>
      </c>
      <c r="AL17" s="365">
        <f t="shared" si="11"/>
        <v>2933.4259999999999</v>
      </c>
      <c r="AM17" s="365">
        <f t="shared" si="12"/>
        <v>0</v>
      </c>
      <c r="AN17" s="365">
        <f t="shared" si="13"/>
        <v>14660.763999999999</v>
      </c>
      <c r="AO17" s="365">
        <f t="shared" si="14"/>
        <v>0</v>
      </c>
      <c r="AP17" s="365">
        <f t="shared" si="15"/>
        <v>284.25096000000002</v>
      </c>
      <c r="AQ17" s="365">
        <f t="shared" si="16"/>
        <v>2554.4009999999998</v>
      </c>
      <c r="AR17" s="365">
        <f t="shared" si="17"/>
        <v>0</v>
      </c>
      <c r="AS17" s="365">
        <f t="shared" si="18"/>
        <v>4928.7690000000002</v>
      </c>
      <c r="AT17" s="365">
        <f t="shared" si="19"/>
        <v>0</v>
      </c>
      <c r="AU17" s="365">
        <f t="shared" si="20"/>
        <v>50135.423959999993</v>
      </c>
      <c r="AV17" s="365">
        <f t="shared" si="21"/>
        <v>284.25095999999758</v>
      </c>
      <c r="AW17" s="366">
        <f t="shared" si="22"/>
        <v>2.4442670110147446E-12</v>
      </c>
      <c r="AX17" s="116">
        <f t="shared" si="23"/>
        <v>0</v>
      </c>
      <c r="AY17" s="190">
        <v>210010</v>
      </c>
      <c r="AZ17" s="190" t="s">
        <v>352</v>
      </c>
      <c r="BA17" s="190" t="s">
        <v>187</v>
      </c>
      <c r="BB17" s="367">
        <v>26351.566999999999</v>
      </c>
      <c r="BC17" s="367">
        <v>23499.606</v>
      </c>
      <c r="BD17" s="367">
        <v>49851.173000000003</v>
      </c>
      <c r="BE17" s="367">
        <v>14911.1</v>
      </c>
      <c r="BF17" s="367">
        <v>7922.9970000000003</v>
      </c>
      <c r="BG17" s="367">
        <v>22834.097000000002</v>
      </c>
      <c r="BH17" s="367">
        <v>716.2</v>
      </c>
      <c r="BI17" s="367">
        <v>1223.5160000000001</v>
      </c>
      <c r="BJ17" s="367">
        <v>1939.7159999999999</v>
      </c>
      <c r="BK17" s="367">
        <v>900.3</v>
      </c>
      <c r="BL17" s="367">
        <v>2033.126</v>
      </c>
      <c r="BM17" s="367">
        <v>2933.4259999999999</v>
      </c>
      <c r="BN17" s="367">
        <v>6983.8</v>
      </c>
      <c r="BO17" s="367">
        <v>7676.9639999999999</v>
      </c>
      <c r="BP17" s="367">
        <v>14660.763999999999</v>
      </c>
      <c r="BQ17" s="367">
        <v>284.25096000000002</v>
      </c>
      <c r="BR17" s="367">
        <v>1350.2670000000001</v>
      </c>
      <c r="BS17" s="367">
        <v>1204.134</v>
      </c>
      <c r="BT17" s="367">
        <v>2554.4009999999998</v>
      </c>
      <c r="BU17" s="367">
        <v>1489.9</v>
      </c>
      <c r="BV17" s="367">
        <v>3438.8690000000001</v>
      </c>
      <c r="BW17" s="367">
        <v>4928.7690000000002</v>
      </c>
      <c r="BX17" s="367">
        <v>40345.052219999998</v>
      </c>
      <c r="BY17" s="367">
        <v>44928.513748161997</v>
      </c>
      <c r="BZ17" s="368">
        <v>0.113606534</v>
      </c>
      <c r="CA17" s="367" t="s">
        <v>446</v>
      </c>
      <c r="CB17" s="190"/>
      <c r="CC17" s="369">
        <f t="shared" si="24"/>
        <v>0.33300079017197848</v>
      </c>
      <c r="CE17" s="370">
        <f t="shared" si="25"/>
        <v>5.1240539515489431E-2</v>
      </c>
    </row>
    <row r="18" spans="1:83">
      <c r="A18" s="363">
        <v>210011</v>
      </c>
      <c r="B18" s="363" t="s">
        <v>59</v>
      </c>
      <c r="C18" s="87">
        <v>242546.17264999999</v>
      </c>
      <c r="D18" s="87">
        <v>188551.15814000001</v>
      </c>
      <c r="E18" s="87">
        <v>431097.33078999998</v>
      </c>
      <c r="F18" s="87">
        <v>109413.993302021</v>
      </c>
      <c r="G18" s="87">
        <v>61645.941205784999</v>
      </c>
      <c r="H18" s="87">
        <v>171059.934507806</v>
      </c>
      <c r="I18" s="87">
        <v>15715.621093057</v>
      </c>
      <c r="J18" s="87">
        <v>4558.2945453729999</v>
      </c>
      <c r="K18" s="87">
        <v>20273.91563843</v>
      </c>
      <c r="L18" s="87">
        <v>26256.939238539999</v>
      </c>
      <c r="M18" s="87">
        <v>35964.754248472003</v>
      </c>
      <c r="N18" s="87">
        <v>62221.693487012002</v>
      </c>
      <c r="O18" s="87">
        <v>52792.618139999999</v>
      </c>
      <c r="P18" s="87">
        <v>44910.511720000002</v>
      </c>
      <c r="Q18" s="87">
        <v>97703.129860000001</v>
      </c>
      <c r="R18" s="87">
        <v>8071.2174999999997</v>
      </c>
      <c r="S18" s="87">
        <v>5167.4391740270003</v>
      </c>
      <c r="T18" s="87">
        <v>12091.463085973</v>
      </c>
      <c r="U18" s="87">
        <v>17258.902259999999</v>
      </c>
      <c r="V18" s="87">
        <v>33199.561702355997</v>
      </c>
      <c r="W18" s="87">
        <v>29380.193334396001</v>
      </c>
      <c r="X18" s="87">
        <v>62579.755036752002</v>
      </c>
      <c r="Y18" s="87">
        <v>310847.56947237899</v>
      </c>
      <c r="Z18" s="87">
        <v>340311.59745793103</v>
      </c>
      <c r="AA18" s="131">
        <f t="shared" si="0"/>
        <v>0.39680119149504606</v>
      </c>
      <c r="AB18" s="351">
        <f t="shared" si="1"/>
        <v>4.7028627157763618E-2</v>
      </c>
      <c r="AC18" s="351">
        <f t="shared" si="2"/>
        <v>0.22663821573878876</v>
      </c>
      <c r="AD18" s="351">
        <f t="shared" si="3"/>
        <v>0.27366684289655241</v>
      </c>
      <c r="AE18" s="351">
        <f t="shared" si="4"/>
        <v>4.0034815869475451E-2</v>
      </c>
      <c r="AF18" s="364">
        <f t="shared" si="5"/>
        <v>431097.33079000004</v>
      </c>
      <c r="AG18" s="365">
        <f t="shared" si="6"/>
        <v>0</v>
      </c>
      <c r="AH18" s="365">
        <f t="shared" si="7"/>
        <v>171059.934507806</v>
      </c>
      <c r="AI18" s="365">
        <f t="shared" si="8"/>
        <v>0</v>
      </c>
      <c r="AJ18" s="365">
        <f t="shared" si="9"/>
        <v>20273.91563843</v>
      </c>
      <c r="AK18" s="365">
        <f t="shared" si="10"/>
        <v>0</v>
      </c>
      <c r="AL18" s="365">
        <f t="shared" si="11"/>
        <v>62221.693487012002</v>
      </c>
      <c r="AM18" s="365">
        <f t="shared" si="12"/>
        <v>0</v>
      </c>
      <c r="AN18" s="365">
        <f t="shared" si="13"/>
        <v>97703.129860000001</v>
      </c>
      <c r="AO18" s="365">
        <f t="shared" si="14"/>
        <v>0</v>
      </c>
      <c r="AP18" s="365">
        <f t="shared" si="15"/>
        <v>8071.2174999999997</v>
      </c>
      <c r="AQ18" s="365">
        <f t="shared" si="16"/>
        <v>17258.902260000003</v>
      </c>
      <c r="AR18" s="365">
        <f t="shared" si="17"/>
        <v>0</v>
      </c>
      <c r="AS18" s="365">
        <f t="shared" si="18"/>
        <v>62579.755036752002</v>
      </c>
      <c r="AT18" s="365">
        <f t="shared" si="19"/>
        <v>0</v>
      </c>
      <c r="AU18" s="365">
        <f t="shared" si="20"/>
        <v>439168.54829000006</v>
      </c>
      <c r="AV18" s="365">
        <f t="shared" si="21"/>
        <v>8071.2175000000279</v>
      </c>
      <c r="AW18" s="366">
        <f t="shared" si="22"/>
        <v>-2.8194335754960775E-11</v>
      </c>
      <c r="AX18" s="116">
        <f t="shared" si="23"/>
        <v>0</v>
      </c>
      <c r="AY18" s="190">
        <v>210011</v>
      </c>
      <c r="AZ18" s="190" t="s">
        <v>59</v>
      </c>
      <c r="BA18" s="190" t="s">
        <v>187</v>
      </c>
      <c r="BB18" s="367">
        <v>242546.17264999999</v>
      </c>
      <c r="BC18" s="367">
        <v>188551.15814000001</v>
      </c>
      <c r="BD18" s="367">
        <v>431097.33078999998</v>
      </c>
      <c r="BE18" s="367">
        <v>109413.993302021</v>
      </c>
      <c r="BF18" s="367">
        <v>61645.941205784999</v>
      </c>
      <c r="BG18" s="367">
        <v>171059.934507806</v>
      </c>
      <c r="BH18" s="367">
        <v>15715.621093057</v>
      </c>
      <c r="BI18" s="367">
        <v>4558.2945453729999</v>
      </c>
      <c r="BJ18" s="367">
        <v>20273.91563843</v>
      </c>
      <c r="BK18" s="367">
        <v>26256.939238539999</v>
      </c>
      <c r="BL18" s="367">
        <v>35964.754248472003</v>
      </c>
      <c r="BM18" s="367">
        <v>62221.693487012002</v>
      </c>
      <c r="BN18" s="367">
        <v>52792.618139999999</v>
      </c>
      <c r="BO18" s="367">
        <v>44910.511720000002</v>
      </c>
      <c r="BP18" s="367">
        <v>97703.129860000001</v>
      </c>
      <c r="BQ18" s="367">
        <v>8071.2174999999997</v>
      </c>
      <c r="BR18" s="367">
        <v>5167.4391740270003</v>
      </c>
      <c r="BS18" s="367">
        <v>12091.463085973</v>
      </c>
      <c r="BT18" s="367">
        <v>17258.902259999999</v>
      </c>
      <c r="BU18" s="367">
        <v>33199.561702355997</v>
      </c>
      <c r="BV18" s="367">
        <v>29380.193334396001</v>
      </c>
      <c r="BW18" s="367">
        <v>62579.755036752002</v>
      </c>
      <c r="BX18" s="367">
        <v>310847.56947237899</v>
      </c>
      <c r="BY18" s="367">
        <v>340311.59745793103</v>
      </c>
      <c r="BZ18" s="368">
        <v>9.4786097E-2</v>
      </c>
      <c r="CA18" s="367" t="s">
        <v>446</v>
      </c>
      <c r="CB18" s="190"/>
      <c r="CC18" s="369">
        <f t="shared" si="24"/>
        <v>0.27366684289655241</v>
      </c>
      <c r="CE18" s="370">
        <f t="shared" si="25"/>
        <v>4.0034815869475451E-2</v>
      </c>
    </row>
    <row r="19" spans="1:83">
      <c r="A19" s="363">
        <v>210012</v>
      </c>
      <c r="B19" s="363" t="s">
        <v>60</v>
      </c>
      <c r="C19" s="87">
        <v>407266.31449999998</v>
      </c>
      <c r="D19" s="87">
        <v>362590.56624999997</v>
      </c>
      <c r="E19" s="87">
        <v>769856.88075000001</v>
      </c>
      <c r="F19" s="87">
        <v>182097.11335589099</v>
      </c>
      <c r="G19" s="87">
        <v>120454.237027022</v>
      </c>
      <c r="H19" s="87">
        <v>302551.35038291302</v>
      </c>
      <c r="I19" s="87">
        <v>23742.75697794</v>
      </c>
      <c r="J19" s="87">
        <v>8292.7623769820002</v>
      </c>
      <c r="K19" s="87">
        <v>32035.519354921998</v>
      </c>
      <c r="L19" s="87">
        <v>36940.085748477999</v>
      </c>
      <c r="M19" s="87">
        <v>50631.158511103997</v>
      </c>
      <c r="N19" s="87">
        <v>87571.244259583007</v>
      </c>
      <c r="O19" s="87">
        <v>89614.478293298002</v>
      </c>
      <c r="P19" s="87">
        <v>82944.413005291004</v>
      </c>
      <c r="Q19" s="87">
        <v>172558.89129858901</v>
      </c>
      <c r="R19" s="87">
        <v>0</v>
      </c>
      <c r="S19" s="87">
        <v>8686.6784351700007</v>
      </c>
      <c r="T19" s="87">
        <v>16627.617564830001</v>
      </c>
      <c r="U19" s="87">
        <v>25314.295999999998</v>
      </c>
      <c r="V19" s="87">
        <v>66185.201689223002</v>
      </c>
      <c r="W19" s="87">
        <v>83640.377764770994</v>
      </c>
      <c r="X19" s="87">
        <v>149825.57945399301</v>
      </c>
      <c r="Y19" s="87">
        <v>585107.63228422101</v>
      </c>
      <c r="Z19" s="87">
        <v>635085.20114653895</v>
      </c>
      <c r="AA19" s="131">
        <f t="shared" si="0"/>
        <v>0.39299687766402158</v>
      </c>
      <c r="AB19" s="351">
        <f t="shared" si="1"/>
        <v>4.1612305034817339E-2</v>
      </c>
      <c r="AC19" s="351">
        <f t="shared" si="2"/>
        <v>0.22414411770987994</v>
      </c>
      <c r="AD19" s="351">
        <f t="shared" si="3"/>
        <v>0.2657564227446973</v>
      </c>
      <c r="AE19" s="351">
        <f t="shared" si="4"/>
        <v>3.2881820807185137E-2</v>
      </c>
      <c r="AF19" s="364">
        <f t="shared" si="5"/>
        <v>769856.88075000001</v>
      </c>
      <c r="AG19" s="365">
        <f t="shared" si="6"/>
        <v>0</v>
      </c>
      <c r="AH19" s="365">
        <f t="shared" si="7"/>
        <v>302551.35038291302</v>
      </c>
      <c r="AI19" s="365">
        <f t="shared" si="8"/>
        <v>0</v>
      </c>
      <c r="AJ19" s="365">
        <f t="shared" si="9"/>
        <v>32035.519354921998</v>
      </c>
      <c r="AK19" s="365">
        <f t="shared" si="10"/>
        <v>0</v>
      </c>
      <c r="AL19" s="365">
        <f t="shared" si="11"/>
        <v>87571.244259581988</v>
      </c>
      <c r="AM19" s="365">
        <f t="shared" si="12"/>
        <v>-1.0186340659856796E-9</v>
      </c>
      <c r="AN19" s="365">
        <f t="shared" si="13"/>
        <v>172558.89129858901</v>
      </c>
      <c r="AO19" s="365">
        <f t="shared" si="14"/>
        <v>0</v>
      </c>
      <c r="AP19" s="365">
        <f t="shared" si="15"/>
        <v>0</v>
      </c>
      <c r="AQ19" s="365">
        <f t="shared" si="16"/>
        <v>25314.296000000002</v>
      </c>
      <c r="AR19" s="365">
        <f t="shared" si="17"/>
        <v>0</v>
      </c>
      <c r="AS19" s="365">
        <f t="shared" si="18"/>
        <v>149825.579453994</v>
      </c>
      <c r="AT19" s="365">
        <f t="shared" si="19"/>
        <v>9.8953023552894592E-10</v>
      </c>
      <c r="AU19" s="365">
        <f t="shared" si="20"/>
        <v>769856.88074999978</v>
      </c>
      <c r="AV19" s="365">
        <f t="shared" si="21"/>
        <v>0</v>
      </c>
      <c r="AW19" s="366">
        <f t="shared" si="22"/>
        <v>0</v>
      </c>
      <c r="AX19" s="116">
        <f t="shared" si="23"/>
        <v>0</v>
      </c>
      <c r="AY19" s="190">
        <v>210012</v>
      </c>
      <c r="AZ19" s="190" t="s">
        <v>60</v>
      </c>
      <c r="BA19" s="190" t="s">
        <v>187</v>
      </c>
      <c r="BB19" s="367">
        <v>407266.31449999998</v>
      </c>
      <c r="BC19" s="367">
        <v>362590.56624999997</v>
      </c>
      <c r="BD19" s="367">
        <v>769856.88075000001</v>
      </c>
      <c r="BE19" s="367">
        <v>182097.11335589099</v>
      </c>
      <c r="BF19" s="367">
        <v>120454.237027022</v>
      </c>
      <c r="BG19" s="367">
        <v>302551.35038291302</v>
      </c>
      <c r="BH19" s="367">
        <v>23742.75697794</v>
      </c>
      <c r="BI19" s="367">
        <v>8292.7623769820002</v>
      </c>
      <c r="BJ19" s="367">
        <v>32035.519354921998</v>
      </c>
      <c r="BK19" s="367">
        <v>36940.085748477999</v>
      </c>
      <c r="BL19" s="367">
        <v>50631.158511103997</v>
      </c>
      <c r="BM19" s="367">
        <v>87571.244259583007</v>
      </c>
      <c r="BN19" s="367">
        <v>89614.478293298002</v>
      </c>
      <c r="BO19" s="367">
        <v>82944.413005291004</v>
      </c>
      <c r="BP19" s="367">
        <v>172558.89129858901</v>
      </c>
      <c r="BQ19" s="367">
        <v>0</v>
      </c>
      <c r="BR19" s="367">
        <v>8686.6784351700007</v>
      </c>
      <c r="BS19" s="367">
        <v>16627.617564830001</v>
      </c>
      <c r="BT19" s="367">
        <v>25314.295999999998</v>
      </c>
      <c r="BU19" s="367">
        <v>66185.201689223002</v>
      </c>
      <c r="BV19" s="367">
        <v>83640.377764770994</v>
      </c>
      <c r="BW19" s="367">
        <v>149825.57945399301</v>
      </c>
      <c r="BX19" s="367">
        <v>585107.63228422101</v>
      </c>
      <c r="BY19" s="367">
        <v>635085.20114653895</v>
      </c>
      <c r="BZ19" s="368">
        <v>8.5416026000000006E-2</v>
      </c>
      <c r="CA19" s="367" t="s">
        <v>446</v>
      </c>
      <c r="CB19" s="190"/>
      <c r="CC19" s="369">
        <f t="shared" si="24"/>
        <v>0.2657564227446973</v>
      </c>
      <c r="CE19" s="370">
        <f t="shared" si="25"/>
        <v>3.2881820807185137E-2</v>
      </c>
    </row>
    <row r="20" spans="1:83">
      <c r="A20" s="363">
        <v>210013</v>
      </c>
      <c r="B20" s="363" t="s">
        <v>61</v>
      </c>
      <c r="C20" s="87">
        <v>62581.82329</v>
      </c>
      <c r="D20" s="87">
        <v>47308.010889999998</v>
      </c>
      <c r="E20" s="87">
        <v>109889.83418000001</v>
      </c>
      <c r="F20" s="87">
        <v>19266.738843651001</v>
      </c>
      <c r="G20" s="87">
        <v>10485.763660576</v>
      </c>
      <c r="H20" s="87">
        <v>29752.502504226999</v>
      </c>
      <c r="I20" s="87">
        <v>15417.606991639001</v>
      </c>
      <c r="J20" s="87">
        <v>4839.7829387769998</v>
      </c>
      <c r="K20" s="87">
        <v>20257.389930416</v>
      </c>
      <c r="L20" s="87">
        <v>1116.587895637</v>
      </c>
      <c r="M20" s="87">
        <v>1565.584402987</v>
      </c>
      <c r="N20" s="87">
        <v>2682.1722986240002</v>
      </c>
      <c r="O20" s="87">
        <v>21976.9711216</v>
      </c>
      <c r="P20" s="87">
        <v>16613.239028399999</v>
      </c>
      <c r="Q20" s="87">
        <v>38590.210149999999</v>
      </c>
      <c r="R20" s="87">
        <v>2027.7325800000001</v>
      </c>
      <c r="S20" s="87">
        <v>1539.3907264330001</v>
      </c>
      <c r="T20" s="87">
        <v>1169.6013935670001</v>
      </c>
      <c r="U20" s="87">
        <v>2708.9921199999999</v>
      </c>
      <c r="V20" s="87">
        <v>3264.5277110390002</v>
      </c>
      <c r="W20" s="87">
        <v>12634.039465693</v>
      </c>
      <c r="X20" s="87">
        <v>15898.567176733</v>
      </c>
      <c r="Y20" s="87">
        <v>75616.531212001995</v>
      </c>
      <c r="Z20" s="87">
        <v>81907.326910347998</v>
      </c>
      <c r="AA20" s="131">
        <f t="shared" si="0"/>
        <v>0.27074845208604353</v>
      </c>
      <c r="AB20" s="351">
        <f t="shared" si="1"/>
        <v>0.18434271087564216</v>
      </c>
      <c r="AC20" s="351">
        <f t="shared" si="2"/>
        <v>0.3511717934416852</v>
      </c>
      <c r="AD20" s="351">
        <f t="shared" si="3"/>
        <v>0.53551450431732739</v>
      </c>
      <c r="AE20" s="351">
        <f t="shared" si="4"/>
        <v>2.4651890142655595E-2</v>
      </c>
      <c r="AF20" s="364">
        <f t="shared" si="5"/>
        <v>109889.83418000001</v>
      </c>
      <c r="AG20" s="365">
        <f t="shared" si="6"/>
        <v>0</v>
      </c>
      <c r="AH20" s="365">
        <f t="shared" si="7"/>
        <v>29752.502504226999</v>
      </c>
      <c r="AI20" s="365">
        <f t="shared" si="8"/>
        <v>0</v>
      </c>
      <c r="AJ20" s="365">
        <f t="shared" si="9"/>
        <v>20257.389930416</v>
      </c>
      <c r="AK20" s="365">
        <f t="shared" si="10"/>
        <v>0</v>
      </c>
      <c r="AL20" s="365">
        <f t="shared" si="11"/>
        <v>2682.1722986240002</v>
      </c>
      <c r="AM20" s="365">
        <f t="shared" si="12"/>
        <v>0</v>
      </c>
      <c r="AN20" s="365">
        <f t="shared" si="13"/>
        <v>38590.210149999999</v>
      </c>
      <c r="AO20" s="365">
        <f t="shared" si="14"/>
        <v>0</v>
      </c>
      <c r="AP20" s="365">
        <f t="shared" si="15"/>
        <v>2027.7325800000001</v>
      </c>
      <c r="AQ20" s="365">
        <f t="shared" si="16"/>
        <v>2708.9921199999999</v>
      </c>
      <c r="AR20" s="365">
        <f t="shared" si="17"/>
        <v>0</v>
      </c>
      <c r="AS20" s="365">
        <f t="shared" si="18"/>
        <v>15898.567176732</v>
      </c>
      <c r="AT20" s="365">
        <f t="shared" si="19"/>
        <v>-1.0004441719502211E-9</v>
      </c>
      <c r="AU20" s="365">
        <f t="shared" si="20"/>
        <v>111917.56675999799</v>
      </c>
      <c r="AV20" s="365">
        <f t="shared" si="21"/>
        <v>2027.7325799979881</v>
      </c>
      <c r="AW20" s="366">
        <f t="shared" si="22"/>
        <v>2.0120296539971605E-9</v>
      </c>
      <c r="AX20" s="116">
        <f t="shared" si="23"/>
        <v>0</v>
      </c>
      <c r="AY20" s="190">
        <v>210013</v>
      </c>
      <c r="AZ20" s="190" t="s">
        <v>61</v>
      </c>
      <c r="BA20" s="190" t="s">
        <v>187</v>
      </c>
      <c r="BB20" s="367">
        <v>62581.82329</v>
      </c>
      <c r="BC20" s="367">
        <v>47308.010889999998</v>
      </c>
      <c r="BD20" s="367">
        <v>109889.83418000001</v>
      </c>
      <c r="BE20" s="367">
        <v>19266.738843651001</v>
      </c>
      <c r="BF20" s="367">
        <v>10485.763660576</v>
      </c>
      <c r="BG20" s="367">
        <v>29752.502504226999</v>
      </c>
      <c r="BH20" s="367">
        <v>15417.606991639001</v>
      </c>
      <c r="BI20" s="367">
        <v>4839.7829387769998</v>
      </c>
      <c r="BJ20" s="367">
        <v>20257.389930416</v>
      </c>
      <c r="BK20" s="367">
        <v>1116.587895637</v>
      </c>
      <c r="BL20" s="367">
        <v>1565.584402987</v>
      </c>
      <c r="BM20" s="367">
        <v>2682.1722986240002</v>
      </c>
      <c r="BN20" s="367">
        <v>21976.9711216</v>
      </c>
      <c r="BO20" s="367">
        <v>16613.239028399999</v>
      </c>
      <c r="BP20" s="367">
        <v>38590.210149999999</v>
      </c>
      <c r="BQ20" s="367">
        <v>2027.7325800000001</v>
      </c>
      <c r="BR20" s="367">
        <v>1539.3907264330001</v>
      </c>
      <c r="BS20" s="367">
        <v>1169.6013935670001</v>
      </c>
      <c r="BT20" s="367">
        <v>2708.9921199999999</v>
      </c>
      <c r="BU20" s="367">
        <v>3264.5277110390002</v>
      </c>
      <c r="BV20" s="367">
        <v>12634.039465693</v>
      </c>
      <c r="BW20" s="367">
        <v>15898.567176733</v>
      </c>
      <c r="BX20" s="367">
        <v>75616.531212001995</v>
      </c>
      <c r="BY20" s="367">
        <v>81907.326910347998</v>
      </c>
      <c r="BZ20" s="368">
        <v>8.3193392000000005E-2</v>
      </c>
      <c r="CA20" s="367" t="s">
        <v>446</v>
      </c>
      <c r="CB20" s="190"/>
      <c r="CC20" s="369">
        <f t="shared" si="24"/>
        <v>0.53551450431732739</v>
      </c>
      <c r="CE20" s="370">
        <f t="shared" si="25"/>
        <v>2.4651890142655595E-2</v>
      </c>
    </row>
    <row r="21" spans="1:83">
      <c r="A21" s="363">
        <v>210015</v>
      </c>
      <c r="B21" s="363" t="s">
        <v>353</v>
      </c>
      <c r="C21" s="87">
        <v>298287.52545999998</v>
      </c>
      <c r="D21" s="87">
        <v>219714.11762</v>
      </c>
      <c r="E21" s="87">
        <v>518001.64308000001</v>
      </c>
      <c r="F21" s="87">
        <v>126526.19531239101</v>
      </c>
      <c r="G21" s="87">
        <v>66931.049408734005</v>
      </c>
      <c r="H21" s="87">
        <v>193457.244721125</v>
      </c>
      <c r="I21" s="87">
        <v>12447.215182078</v>
      </c>
      <c r="J21" s="87">
        <v>5996.739874674</v>
      </c>
      <c r="K21" s="87">
        <v>18443.955056751998</v>
      </c>
      <c r="L21" s="87">
        <v>22897.326291861002</v>
      </c>
      <c r="M21" s="87">
        <v>26784.059274472998</v>
      </c>
      <c r="N21" s="87">
        <v>49681.385566334997</v>
      </c>
      <c r="O21" s="87">
        <v>85028.727302214</v>
      </c>
      <c r="P21" s="87">
        <v>65909.292641834996</v>
      </c>
      <c r="Q21" s="87">
        <v>150938.01994404901</v>
      </c>
      <c r="R21" s="87">
        <v>2518.4369999999999</v>
      </c>
      <c r="S21" s="87">
        <v>9046.2513031969993</v>
      </c>
      <c r="T21" s="87">
        <v>9303.3702068029997</v>
      </c>
      <c r="U21" s="87">
        <v>18349.621510000001</v>
      </c>
      <c r="V21" s="87">
        <v>42341.810068259001</v>
      </c>
      <c r="W21" s="87">
        <v>44789.606213480001</v>
      </c>
      <c r="X21" s="87">
        <v>87131.416281739002</v>
      </c>
      <c r="Y21" s="87">
        <v>392085.331303805</v>
      </c>
      <c r="Z21" s="87">
        <v>427546.70410910802</v>
      </c>
      <c r="AA21" s="131">
        <f t="shared" si="0"/>
        <v>0.37346839977348784</v>
      </c>
      <c r="AB21" s="351">
        <f t="shared" si="1"/>
        <v>3.560597790208847E-2</v>
      </c>
      <c r="AC21" s="351">
        <f t="shared" si="2"/>
        <v>0.29138521462322503</v>
      </c>
      <c r="AD21" s="351">
        <f t="shared" si="3"/>
        <v>0.3269911925253135</v>
      </c>
      <c r="AE21" s="351">
        <f t="shared" si="4"/>
        <v>3.5423867385621574E-2</v>
      </c>
      <c r="AF21" s="364">
        <f t="shared" si="5"/>
        <v>518001.64307999995</v>
      </c>
      <c r="AG21" s="365">
        <f t="shared" si="6"/>
        <v>0</v>
      </c>
      <c r="AH21" s="365">
        <f t="shared" si="7"/>
        <v>193457.244721125</v>
      </c>
      <c r="AI21" s="365">
        <f t="shared" si="8"/>
        <v>0</v>
      </c>
      <c r="AJ21" s="365">
        <f t="shared" si="9"/>
        <v>18443.955056751998</v>
      </c>
      <c r="AK21" s="365">
        <f t="shared" si="10"/>
        <v>0</v>
      </c>
      <c r="AL21" s="365">
        <f t="shared" si="11"/>
        <v>49681.385566334</v>
      </c>
      <c r="AM21" s="365">
        <f t="shared" si="12"/>
        <v>-9.9680619314312935E-10</v>
      </c>
      <c r="AN21" s="365">
        <f t="shared" si="13"/>
        <v>150938.01994404901</v>
      </c>
      <c r="AO21" s="365">
        <f t="shared" si="14"/>
        <v>0</v>
      </c>
      <c r="AP21" s="365">
        <f t="shared" si="15"/>
        <v>2518.4369999999999</v>
      </c>
      <c r="AQ21" s="365">
        <f t="shared" si="16"/>
        <v>18349.621509999997</v>
      </c>
      <c r="AR21" s="365">
        <f t="shared" si="17"/>
        <v>0</v>
      </c>
      <c r="AS21" s="365">
        <f t="shared" si="18"/>
        <v>87131.416281739002</v>
      </c>
      <c r="AT21" s="365">
        <f t="shared" si="19"/>
        <v>0</v>
      </c>
      <c r="AU21" s="365">
        <f t="shared" si="20"/>
        <v>520520.08007999801</v>
      </c>
      <c r="AV21" s="365">
        <f t="shared" si="21"/>
        <v>2518.4369999980554</v>
      </c>
      <c r="AW21" s="366">
        <f t="shared" si="22"/>
        <v>1.9444996723905206E-9</v>
      </c>
      <c r="AX21" s="116">
        <f t="shared" si="23"/>
        <v>0</v>
      </c>
      <c r="AY21" s="190">
        <v>210015</v>
      </c>
      <c r="AZ21" s="190" t="s">
        <v>353</v>
      </c>
      <c r="BA21" s="190" t="s">
        <v>187</v>
      </c>
      <c r="BB21" s="367">
        <v>298287.52545999998</v>
      </c>
      <c r="BC21" s="367">
        <v>219714.11762</v>
      </c>
      <c r="BD21" s="367">
        <v>518001.64308000001</v>
      </c>
      <c r="BE21" s="367">
        <v>126526.19531239101</v>
      </c>
      <c r="BF21" s="367">
        <v>66931.049408734005</v>
      </c>
      <c r="BG21" s="367">
        <v>193457.244721125</v>
      </c>
      <c r="BH21" s="367">
        <v>12447.215182078</v>
      </c>
      <c r="BI21" s="367">
        <v>5996.739874674</v>
      </c>
      <c r="BJ21" s="367">
        <v>18443.955056751998</v>
      </c>
      <c r="BK21" s="367">
        <v>22897.326291861002</v>
      </c>
      <c r="BL21" s="367">
        <v>26784.059274472998</v>
      </c>
      <c r="BM21" s="367">
        <v>49681.385566334997</v>
      </c>
      <c r="BN21" s="367">
        <v>85028.727302214</v>
      </c>
      <c r="BO21" s="367">
        <v>65909.292641834996</v>
      </c>
      <c r="BP21" s="367">
        <v>150938.01994404901</v>
      </c>
      <c r="BQ21" s="367">
        <v>2518.4369999999999</v>
      </c>
      <c r="BR21" s="367">
        <v>9046.2513031969993</v>
      </c>
      <c r="BS21" s="367">
        <v>9303.3702068029997</v>
      </c>
      <c r="BT21" s="367">
        <v>18349.621510000001</v>
      </c>
      <c r="BU21" s="367">
        <v>42341.810068259001</v>
      </c>
      <c r="BV21" s="367">
        <v>44789.606213480001</v>
      </c>
      <c r="BW21" s="367">
        <v>87131.416281739002</v>
      </c>
      <c r="BX21" s="367">
        <v>392085.331303805</v>
      </c>
      <c r="BY21" s="367">
        <v>427546.70410910802</v>
      </c>
      <c r="BZ21" s="368">
        <v>9.0442997999999997E-2</v>
      </c>
      <c r="CA21" s="367" t="s">
        <v>446</v>
      </c>
      <c r="CB21" s="190"/>
      <c r="CC21" s="369">
        <f t="shared" si="24"/>
        <v>0.3269911925253135</v>
      </c>
      <c r="CE21" s="370">
        <f t="shared" si="25"/>
        <v>3.5423867385621574E-2</v>
      </c>
    </row>
    <row r="22" spans="1:83">
      <c r="A22" s="363">
        <v>210016</v>
      </c>
      <c r="B22" s="363" t="s">
        <v>447</v>
      </c>
      <c r="C22" s="87">
        <v>162254.89955803219</v>
      </c>
      <c r="D22" s="87">
        <v>108893.00004196781</v>
      </c>
      <c r="E22" s="87">
        <v>271147.8996</v>
      </c>
      <c r="F22" s="87">
        <v>73590.183999999994</v>
      </c>
      <c r="G22" s="87">
        <v>35722.375</v>
      </c>
      <c r="H22" s="87">
        <v>109312.55899999999</v>
      </c>
      <c r="I22" s="87">
        <v>38290.165999999997</v>
      </c>
      <c r="J22" s="87">
        <v>7585.7849999999999</v>
      </c>
      <c r="K22" s="87">
        <v>45875.951000000001</v>
      </c>
      <c r="L22" s="87">
        <v>12741.124</v>
      </c>
      <c r="M22" s="87">
        <v>15848.611000000001</v>
      </c>
      <c r="N22" s="87">
        <v>28589.735000000001</v>
      </c>
      <c r="O22" s="87">
        <v>17908.008000000002</v>
      </c>
      <c r="P22" s="87">
        <v>16667.021000000001</v>
      </c>
      <c r="Q22" s="87">
        <v>34575.029000000002</v>
      </c>
      <c r="R22" s="87">
        <v>6558.7619999999997</v>
      </c>
      <c r="S22" s="87">
        <v>10499.966156486182</v>
      </c>
      <c r="T22" s="87">
        <v>7031.0528435138185</v>
      </c>
      <c r="U22" s="87">
        <v>17531.019</v>
      </c>
      <c r="V22" s="87">
        <v>9225.4514015460227</v>
      </c>
      <c r="W22" s="87">
        <v>26038.155198453984</v>
      </c>
      <c r="X22" s="87">
        <v>35263.606600000006</v>
      </c>
      <c r="Y22" s="87">
        <v>206156.6676551282</v>
      </c>
      <c r="Z22" s="87">
        <v>232147.18823978351</v>
      </c>
      <c r="AA22" s="131">
        <f t="shared" si="0"/>
        <v>0.40314735670554314</v>
      </c>
      <c r="AB22" s="351">
        <f t="shared" si="1"/>
        <v>0.16919161486287243</v>
      </c>
      <c r="AC22" s="351">
        <f t="shared" si="2"/>
        <v>0.12751354169073564</v>
      </c>
      <c r="AD22" s="351">
        <f t="shared" si="3"/>
        <v>0.29670515655360807</v>
      </c>
      <c r="AE22" s="351">
        <f t="shared" si="4"/>
        <v>6.4654821320253367E-2</v>
      </c>
      <c r="AF22" s="364">
        <f t="shared" si="5"/>
        <v>271147.8996</v>
      </c>
      <c r="AG22" s="365">
        <f t="shared" si="6"/>
        <v>0</v>
      </c>
      <c r="AH22" s="365">
        <f t="shared" si="7"/>
        <v>109312.55899999999</v>
      </c>
      <c r="AI22" s="365">
        <f t="shared" si="8"/>
        <v>0</v>
      </c>
      <c r="AJ22" s="365">
        <f t="shared" si="9"/>
        <v>45875.951000000001</v>
      </c>
      <c r="AK22" s="365">
        <f t="shared" si="10"/>
        <v>0</v>
      </c>
      <c r="AL22" s="365">
        <f t="shared" si="11"/>
        <v>28589.735000000001</v>
      </c>
      <c r="AM22" s="365">
        <f t="shared" si="12"/>
        <v>0</v>
      </c>
      <c r="AN22" s="365">
        <f t="shared" si="13"/>
        <v>34575.029000000002</v>
      </c>
      <c r="AO22" s="365">
        <f t="shared" si="14"/>
        <v>0</v>
      </c>
      <c r="AP22" s="365">
        <f t="shared" si="15"/>
        <v>6558.7619999999997</v>
      </c>
      <c r="AQ22" s="365">
        <f t="shared" si="16"/>
        <v>17531.019</v>
      </c>
      <c r="AR22" s="365">
        <f t="shared" si="17"/>
        <v>0</v>
      </c>
      <c r="AS22" s="365">
        <f t="shared" si="18"/>
        <v>35263.606600000006</v>
      </c>
      <c r="AT22" s="365">
        <f t="shared" si="19"/>
        <v>0</v>
      </c>
      <c r="AU22" s="365">
        <f t="shared" si="20"/>
        <v>277706.66159999999</v>
      </c>
      <c r="AV22" s="365">
        <f t="shared" si="21"/>
        <v>6558.7619999999879</v>
      </c>
      <c r="AW22" s="366">
        <f t="shared" si="22"/>
        <v>1.1823431123048067E-11</v>
      </c>
      <c r="AX22" s="116">
        <f t="shared" si="23"/>
        <v>0</v>
      </c>
      <c r="AY22" s="190">
        <v>210016</v>
      </c>
      <c r="AZ22" s="190" t="s">
        <v>447</v>
      </c>
      <c r="BA22" s="190" t="s">
        <v>187</v>
      </c>
      <c r="BB22" s="367">
        <v>162254.89955803219</v>
      </c>
      <c r="BC22" s="367">
        <v>108893.00004196781</v>
      </c>
      <c r="BD22" s="367">
        <v>271147.8996</v>
      </c>
      <c r="BE22" s="367">
        <v>73590.183999999994</v>
      </c>
      <c r="BF22" s="367">
        <v>35722.375</v>
      </c>
      <c r="BG22" s="367">
        <v>109312.55899999999</v>
      </c>
      <c r="BH22" s="367">
        <v>38290.165999999997</v>
      </c>
      <c r="BI22" s="367">
        <v>7585.7849999999999</v>
      </c>
      <c r="BJ22" s="367">
        <v>45875.951000000001</v>
      </c>
      <c r="BK22" s="367">
        <v>12741.124</v>
      </c>
      <c r="BL22" s="367">
        <v>15848.611000000001</v>
      </c>
      <c r="BM22" s="367">
        <v>28589.735000000001</v>
      </c>
      <c r="BN22" s="367">
        <v>17908.008000000002</v>
      </c>
      <c r="BO22" s="367">
        <v>16667.021000000001</v>
      </c>
      <c r="BP22" s="367">
        <v>34575.029000000002</v>
      </c>
      <c r="BQ22" s="367">
        <v>6558.7619999999997</v>
      </c>
      <c r="BR22" s="367">
        <v>10499.966156486182</v>
      </c>
      <c r="BS22" s="367">
        <v>7031.0528435138185</v>
      </c>
      <c r="BT22" s="367">
        <v>17531.019</v>
      </c>
      <c r="BU22" s="367">
        <v>9225.4514015460227</v>
      </c>
      <c r="BV22" s="367">
        <v>26038.155198453984</v>
      </c>
      <c r="BW22" s="367">
        <v>35263.606600000006</v>
      </c>
      <c r="BX22" s="367">
        <v>206156.6676551282</v>
      </c>
      <c r="BY22" s="367">
        <v>232147.18823978351</v>
      </c>
      <c r="BZ22" s="368">
        <v>0.12607169528047413</v>
      </c>
      <c r="CA22" s="367" t="s">
        <v>446</v>
      </c>
      <c r="CB22" s="190"/>
      <c r="CC22" s="369">
        <f t="shared" si="24"/>
        <v>0.29670515655360807</v>
      </c>
      <c r="CE22" s="370">
        <f t="shared" si="25"/>
        <v>6.4654821320253367E-2</v>
      </c>
    </row>
    <row r="23" spans="1:83">
      <c r="A23" s="363">
        <v>210017</v>
      </c>
      <c r="B23" s="363" t="s">
        <v>62</v>
      </c>
      <c r="C23" s="87">
        <v>21201.390960000001</v>
      </c>
      <c r="D23" s="87">
        <v>34056.978750000002</v>
      </c>
      <c r="E23" s="87">
        <v>55258.369709999999</v>
      </c>
      <c r="F23" s="87">
        <v>10567.223720945</v>
      </c>
      <c r="G23" s="87">
        <v>12536.062789527999</v>
      </c>
      <c r="H23" s="87">
        <v>23103.286510473001</v>
      </c>
      <c r="I23" s="87">
        <v>1056.7390309570001</v>
      </c>
      <c r="J23" s="87">
        <v>1643.0509008409999</v>
      </c>
      <c r="K23" s="87">
        <v>2699.789931798</v>
      </c>
      <c r="L23" s="87">
        <v>1858.6633736480001</v>
      </c>
      <c r="M23" s="87">
        <v>3881.023360486</v>
      </c>
      <c r="N23" s="87">
        <v>5739.6867341340003</v>
      </c>
      <c r="O23" s="87">
        <v>4676.4416224420002</v>
      </c>
      <c r="P23" s="87">
        <v>6941.841693802</v>
      </c>
      <c r="Q23" s="87">
        <v>11618.283316244</v>
      </c>
      <c r="R23" s="87">
        <v>258.23820000000001</v>
      </c>
      <c r="S23" s="87">
        <v>868.01246019999996</v>
      </c>
      <c r="T23" s="87">
        <v>3450.3705398000002</v>
      </c>
      <c r="U23" s="87">
        <v>4318.3829999999998</v>
      </c>
      <c r="V23" s="87">
        <v>2174.3107518080001</v>
      </c>
      <c r="W23" s="87">
        <v>5604.6294655419997</v>
      </c>
      <c r="X23" s="87">
        <v>7778.9402173500002</v>
      </c>
      <c r="Y23" s="87">
        <v>43148.265887959999</v>
      </c>
      <c r="Z23" s="87">
        <v>49247.679652840001</v>
      </c>
      <c r="AA23" s="131">
        <f t="shared" si="0"/>
        <v>0.41809569539819491</v>
      </c>
      <c r="AB23" s="351">
        <f t="shared" si="1"/>
        <v>4.8857574806616566E-2</v>
      </c>
      <c r="AC23" s="351">
        <f t="shared" si="2"/>
        <v>0.21025381995917738</v>
      </c>
      <c r="AD23" s="351">
        <f t="shared" si="3"/>
        <v>0.25911139476579398</v>
      </c>
      <c r="AE23" s="351">
        <f t="shared" si="4"/>
        <v>7.814893965680117E-2</v>
      </c>
      <c r="AF23" s="364">
        <f t="shared" si="5"/>
        <v>55258.369709999999</v>
      </c>
      <c r="AG23" s="365">
        <f t="shared" si="6"/>
        <v>0</v>
      </c>
      <c r="AH23" s="365">
        <f t="shared" si="7"/>
        <v>23103.286510473001</v>
      </c>
      <c r="AI23" s="365">
        <f t="shared" si="8"/>
        <v>0</v>
      </c>
      <c r="AJ23" s="365">
        <f t="shared" si="9"/>
        <v>2699.789931798</v>
      </c>
      <c r="AK23" s="365">
        <f t="shared" si="10"/>
        <v>0</v>
      </c>
      <c r="AL23" s="365">
        <f t="shared" si="11"/>
        <v>5739.6867341340003</v>
      </c>
      <c r="AM23" s="365">
        <f t="shared" si="12"/>
        <v>0</v>
      </c>
      <c r="AN23" s="365">
        <f t="shared" si="13"/>
        <v>11618.283316244</v>
      </c>
      <c r="AO23" s="365">
        <f t="shared" si="14"/>
        <v>0</v>
      </c>
      <c r="AP23" s="365">
        <f t="shared" si="15"/>
        <v>258.23820000000001</v>
      </c>
      <c r="AQ23" s="365">
        <f t="shared" si="16"/>
        <v>4318.3829999999998</v>
      </c>
      <c r="AR23" s="365">
        <f t="shared" si="17"/>
        <v>0</v>
      </c>
      <c r="AS23" s="365">
        <f t="shared" si="18"/>
        <v>7778.9402173500002</v>
      </c>
      <c r="AT23" s="365">
        <f t="shared" si="19"/>
        <v>0</v>
      </c>
      <c r="AU23" s="365">
        <f t="shared" si="20"/>
        <v>55516.607909999002</v>
      </c>
      <c r="AV23" s="365">
        <f t="shared" si="21"/>
        <v>258.23819999900297</v>
      </c>
      <c r="AW23" s="366">
        <f t="shared" si="22"/>
        <v>9.9703356681857258E-10</v>
      </c>
      <c r="AX23" s="116">
        <f t="shared" si="23"/>
        <v>0</v>
      </c>
      <c r="AY23" s="190">
        <v>210017</v>
      </c>
      <c r="AZ23" s="190" t="s">
        <v>62</v>
      </c>
      <c r="BA23" s="190" t="s">
        <v>187</v>
      </c>
      <c r="BB23" s="367">
        <v>21201.390960000001</v>
      </c>
      <c r="BC23" s="367">
        <v>34056.978750000002</v>
      </c>
      <c r="BD23" s="367">
        <v>55258.369709999999</v>
      </c>
      <c r="BE23" s="367">
        <v>10567.223720945</v>
      </c>
      <c r="BF23" s="367">
        <v>12536.062789527999</v>
      </c>
      <c r="BG23" s="367">
        <v>23103.286510473001</v>
      </c>
      <c r="BH23" s="367">
        <v>1056.7390309570001</v>
      </c>
      <c r="BI23" s="367">
        <v>1643.0509008409999</v>
      </c>
      <c r="BJ23" s="367">
        <v>2699.789931798</v>
      </c>
      <c r="BK23" s="367">
        <v>1858.6633736480001</v>
      </c>
      <c r="BL23" s="367">
        <v>3881.023360486</v>
      </c>
      <c r="BM23" s="367">
        <v>5739.6867341340003</v>
      </c>
      <c r="BN23" s="367">
        <v>4676.4416224420002</v>
      </c>
      <c r="BO23" s="367">
        <v>6941.841693802</v>
      </c>
      <c r="BP23" s="367">
        <v>11618.283316244</v>
      </c>
      <c r="BQ23" s="367">
        <v>258.23820000000001</v>
      </c>
      <c r="BR23" s="367">
        <v>868.01246019999996</v>
      </c>
      <c r="BS23" s="367">
        <v>3450.3705398000002</v>
      </c>
      <c r="BT23" s="367">
        <v>4318.3829999999998</v>
      </c>
      <c r="BU23" s="367">
        <v>2174.3107518080001</v>
      </c>
      <c r="BV23" s="367">
        <v>5604.6294655419997</v>
      </c>
      <c r="BW23" s="367">
        <v>7778.9402173500002</v>
      </c>
      <c r="BX23" s="367">
        <v>43148.265887959999</v>
      </c>
      <c r="BY23" s="367">
        <v>49247.679652840001</v>
      </c>
      <c r="BZ23" s="368">
        <v>0.14135941799999999</v>
      </c>
      <c r="CA23" s="367" t="s">
        <v>446</v>
      </c>
      <c r="CB23" s="190"/>
      <c r="CC23" s="369">
        <f t="shared" si="24"/>
        <v>0.25911139476579398</v>
      </c>
      <c r="CE23" s="370">
        <f t="shared" si="25"/>
        <v>7.814893965680117E-2</v>
      </c>
    </row>
    <row r="24" spans="1:83">
      <c r="A24" s="363">
        <v>210018</v>
      </c>
      <c r="B24" s="363" t="s">
        <v>354</v>
      </c>
      <c r="C24" s="87">
        <v>80684.244810000004</v>
      </c>
      <c r="D24" s="87">
        <v>97777.195760000002</v>
      </c>
      <c r="E24" s="87">
        <v>178461.44057000001</v>
      </c>
      <c r="F24" s="87">
        <v>45086.334014753003</v>
      </c>
      <c r="G24" s="87">
        <v>35551.627357206999</v>
      </c>
      <c r="H24" s="87">
        <v>80637.961371958998</v>
      </c>
      <c r="I24" s="87">
        <v>2603.8087381390001</v>
      </c>
      <c r="J24" s="87">
        <v>1346.3846134769999</v>
      </c>
      <c r="K24" s="87">
        <v>3950.1933516170002</v>
      </c>
      <c r="L24" s="87">
        <v>5983.0676277060002</v>
      </c>
      <c r="M24" s="87">
        <v>13482.496354880999</v>
      </c>
      <c r="N24" s="87">
        <v>19465.563982586998</v>
      </c>
      <c r="O24" s="87">
        <v>11572.351767462</v>
      </c>
      <c r="P24" s="87">
        <v>14043.172779025001</v>
      </c>
      <c r="Q24" s="87">
        <v>25615.524546486999</v>
      </c>
      <c r="R24" s="87">
        <v>1010.725</v>
      </c>
      <c r="S24" s="87">
        <v>1826.2774050600001</v>
      </c>
      <c r="T24" s="87">
        <v>3558.5498249399998</v>
      </c>
      <c r="U24" s="87">
        <v>5384.8272299999999</v>
      </c>
      <c r="V24" s="87">
        <v>13612.40525688</v>
      </c>
      <c r="W24" s="87">
        <v>29794.964830469999</v>
      </c>
      <c r="X24" s="87">
        <v>43407.370087349998</v>
      </c>
      <c r="Y24" s="87">
        <v>140738.63032580301</v>
      </c>
      <c r="Z24" s="87">
        <v>152062.425491</v>
      </c>
      <c r="AA24" s="131">
        <f t="shared" si="0"/>
        <v>0.45185089347258423</v>
      </c>
      <c r="AB24" s="351">
        <f t="shared" si="1"/>
        <v>2.2134716266999817E-2</v>
      </c>
      <c r="AC24" s="351">
        <f t="shared" si="2"/>
        <v>0.14353534558878295</v>
      </c>
      <c r="AD24" s="351">
        <f t="shared" si="3"/>
        <v>0.16567006185578276</v>
      </c>
      <c r="AE24" s="351">
        <f t="shared" si="4"/>
        <v>3.0173617408898179E-2</v>
      </c>
      <c r="AF24" s="364">
        <f t="shared" si="5"/>
        <v>178461.44057000001</v>
      </c>
      <c r="AG24" s="365">
        <f t="shared" si="6"/>
        <v>0</v>
      </c>
      <c r="AH24" s="365">
        <f t="shared" si="7"/>
        <v>80637.961371960002</v>
      </c>
      <c r="AI24" s="365">
        <f t="shared" si="8"/>
        <v>1.0040821507573128E-9</v>
      </c>
      <c r="AJ24" s="365">
        <f t="shared" si="9"/>
        <v>3950.1933516159997</v>
      </c>
      <c r="AK24" s="365">
        <f t="shared" si="10"/>
        <v>-1.0004441719502211E-9</v>
      </c>
      <c r="AL24" s="365">
        <f t="shared" si="11"/>
        <v>19465.563982586998</v>
      </c>
      <c r="AM24" s="365">
        <f t="shared" si="12"/>
        <v>0</v>
      </c>
      <c r="AN24" s="365">
        <f t="shared" si="13"/>
        <v>25615.524546487002</v>
      </c>
      <c r="AO24" s="365">
        <f t="shared" si="14"/>
        <v>0</v>
      </c>
      <c r="AP24" s="365">
        <f t="shared" si="15"/>
        <v>1010.725</v>
      </c>
      <c r="AQ24" s="365">
        <f t="shared" si="16"/>
        <v>5384.8272299999999</v>
      </c>
      <c r="AR24" s="365">
        <f t="shared" si="17"/>
        <v>0</v>
      </c>
      <c r="AS24" s="365">
        <f t="shared" si="18"/>
        <v>43407.370087349998</v>
      </c>
      <c r="AT24" s="365">
        <f t="shared" si="19"/>
        <v>0</v>
      </c>
      <c r="AU24" s="365">
        <f t="shared" si="20"/>
        <v>179472.16557000001</v>
      </c>
      <c r="AV24" s="365">
        <f t="shared" si="21"/>
        <v>1010.7250000000058</v>
      </c>
      <c r="AW24" s="366">
        <f t="shared" si="22"/>
        <v>-5.7980287238024175E-12</v>
      </c>
      <c r="AX24" s="116">
        <f t="shared" si="23"/>
        <v>0</v>
      </c>
      <c r="AY24" s="190">
        <v>210018</v>
      </c>
      <c r="AZ24" s="190" t="s">
        <v>354</v>
      </c>
      <c r="BA24" s="190" t="s">
        <v>187</v>
      </c>
      <c r="BB24" s="367">
        <v>80684.244810000004</v>
      </c>
      <c r="BC24" s="367">
        <v>97777.195760000002</v>
      </c>
      <c r="BD24" s="367">
        <v>178461.44057000001</v>
      </c>
      <c r="BE24" s="367">
        <v>45086.334014753003</v>
      </c>
      <c r="BF24" s="367">
        <v>35551.627357206999</v>
      </c>
      <c r="BG24" s="367">
        <v>80637.961371958998</v>
      </c>
      <c r="BH24" s="367">
        <v>2603.8087381390001</v>
      </c>
      <c r="BI24" s="367">
        <v>1346.3846134769999</v>
      </c>
      <c r="BJ24" s="367">
        <v>3950.1933516170002</v>
      </c>
      <c r="BK24" s="367">
        <v>5983.0676277060002</v>
      </c>
      <c r="BL24" s="367">
        <v>13482.496354880999</v>
      </c>
      <c r="BM24" s="367">
        <v>19465.563982586998</v>
      </c>
      <c r="BN24" s="367">
        <v>11572.351767462</v>
      </c>
      <c r="BO24" s="367">
        <v>14043.172779025001</v>
      </c>
      <c r="BP24" s="367">
        <v>25615.524546486999</v>
      </c>
      <c r="BQ24" s="367">
        <v>1010.725</v>
      </c>
      <c r="BR24" s="367">
        <v>1826.2774050600001</v>
      </c>
      <c r="BS24" s="367">
        <v>3558.5498249399998</v>
      </c>
      <c r="BT24" s="367">
        <v>5384.8272299999999</v>
      </c>
      <c r="BU24" s="367">
        <v>13612.40525688</v>
      </c>
      <c r="BV24" s="367">
        <v>29794.964830469999</v>
      </c>
      <c r="BW24" s="367">
        <v>43407.370087349998</v>
      </c>
      <c r="BX24" s="367">
        <v>140738.63032580301</v>
      </c>
      <c r="BY24" s="367">
        <v>152062.425491</v>
      </c>
      <c r="BZ24" s="368">
        <v>8.0459750999999996E-2</v>
      </c>
      <c r="CA24" s="367" t="s">
        <v>446</v>
      </c>
      <c r="CB24" s="190"/>
      <c r="CC24" s="369">
        <f t="shared" si="24"/>
        <v>0.16567006185578276</v>
      </c>
      <c r="CE24" s="370">
        <f t="shared" si="25"/>
        <v>3.0173617408898179E-2</v>
      </c>
    </row>
    <row r="25" spans="1:83">
      <c r="A25" s="363">
        <v>210019</v>
      </c>
      <c r="B25" s="363" t="s">
        <v>355</v>
      </c>
      <c r="C25" s="87">
        <v>244462.3</v>
      </c>
      <c r="D25" s="87">
        <v>192607</v>
      </c>
      <c r="E25" s="87">
        <v>437069.3</v>
      </c>
      <c r="F25" s="87">
        <v>136185.29999999999</v>
      </c>
      <c r="G25" s="87">
        <v>87345.2</v>
      </c>
      <c r="H25" s="87">
        <v>223530.5</v>
      </c>
      <c r="I25" s="87">
        <v>6500.8</v>
      </c>
      <c r="J25" s="87">
        <v>2855.1</v>
      </c>
      <c r="K25" s="87">
        <v>9355.9</v>
      </c>
      <c r="L25" s="87">
        <v>11440.4</v>
      </c>
      <c r="M25" s="87">
        <v>15695.4</v>
      </c>
      <c r="N25" s="87">
        <v>27135.8</v>
      </c>
      <c r="O25" s="87">
        <v>43203.1</v>
      </c>
      <c r="P25" s="87">
        <v>36476.800000000003</v>
      </c>
      <c r="Q25" s="87">
        <v>79679.899999999994</v>
      </c>
      <c r="R25" s="87">
        <v>0</v>
      </c>
      <c r="S25" s="87">
        <v>10753.7</v>
      </c>
      <c r="T25" s="87">
        <v>7471.7</v>
      </c>
      <c r="U25" s="87">
        <v>18225.400000000001</v>
      </c>
      <c r="V25" s="87">
        <v>36379</v>
      </c>
      <c r="W25" s="87">
        <v>42762.8</v>
      </c>
      <c r="X25" s="87">
        <v>79141.8</v>
      </c>
      <c r="Y25" s="87">
        <v>349654.542851026</v>
      </c>
      <c r="Z25" s="87">
        <v>384040.03407323197</v>
      </c>
      <c r="AA25" s="131">
        <f t="shared" si="0"/>
        <v>0.51143033839256158</v>
      </c>
      <c r="AB25" s="351">
        <f t="shared" si="1"/>
        <v>2.1405987563070661E-2</v>
      </c>
      <c r="AC25" s="351">
        <f t="shared" si="2"/>
        <v>0.1823049571315121</v>
      </c>
      <c r="AD25" s="351">
        <f t="shared" si="3"/>
        <v>0.20371094469458273</v>
      </c>
      <c r="AE25" s="351">
        <f t="shared" si="4"/>
        <v>4.1699108127704235E-2</v>
      </c>
      <c r="AF25" s="364">
        <f t="shared" si="5"/>
        <v>437069.3</v>
      </c>
      <c r="AG25" s="365">
        <f t="shared" si="6"/>
        <v>0</v>
      </c>
      <c r="AH25" s="365">
        <f t="shared" si="7"/>
        <v>223530.5</v>
      </c>
      <c r="AI25" s="365">
        <f t="shared" si="8"/>
        <v>0</v>
      </c>
      <c r="AJ25" s="365">
        <f t="shared" si="9"/>
        <v>9355.9</v>
      </c>
      <c r="AK25" s="365">
        <f t="shared" si="10"/>
        <v>0</v>
      </c>
      <c r="AL25" s="365">
        <f t="shared" si="11"/>
        <v>27135.8</v>
      </c>
      <c r="AM25" s="365">
        <f t="shared" si="12"/>
        <v>0</v>
      </c>
      <c r="AN25" s="365">
        <f t="shared" si="13"/>
        <v>79679.899999999994</v>
      </c>
      <c r="AO25" s="365">
        <f t="shared" si="14"/>
        <v>0</v>
      </c>
      <c r="AP25" s="365">
        <f t="shared" si="15"/>
        <v>0</v>
      </c>
      <c r="AQ25" s="365">
        <f t="shared" si="16"/>
        <v>18225.400000000001</v>
      </c>
      <c r="AR25" s="365">
        <f t="shared" si="17"/>
        <v>0</v>
      </c>
      <c r="AS25" s="365">
        <f t="shared" si="18"/>
        <v>79141.8</v>
      </c>
      <c r="AT25" s="365">
        <f t="shared" si="19"/>
        <v>0</v>
      </c>
      <c r="AU25" s="365">
        <f t="shared" si="20"/>
        <v>437069.3</v>
      </c>
      <c r="AV25" s="365">
        <f t="shared" si="21"/>
        <v>0</v>
      </c>
      <c r="AW25" s="366">
        <f t="shared" si="22"/>
        <v>0</v>
      </c>
      <c r="AX25" s="116">
        <f t="shared" si="23"/>
        <v>0</v>
      </c>
      <c r="AY25" s="190">
        <v>210019</v>
      </c>
      <c r="AZ25" s="190" t="s">
        <v>355</v>
      </c>
      <c r="BA25" s="190" t="s">
        <v>187</v>
      </c>
      <c r="BB25" s="367">
        <v>244462.3</v>
      </c>
      <c r="BC25" s="367">
        <v>192607</v>
      </c>
      <c r="BD25" s="367">
        <v>437069.3</v>
      </c>
      <c r="BE25" s="367">
        <v>136185.29999999999</v>
      </c>
      <c r="BF25" s="367">
        <v>87345.2</v>
      </c>
      <c r="BG25" s="367">
        <v>223530.5</v>
      </c>
      <c r="BH25" s="367">
        <v>6500.8</v>
      </c>
      <c r="BI25" s="367">
        <v>2855.1</v>
      </c>
      <c r="BJ25" s="367">
        <v>9355.9</v>
      </c>
      <c r="BK25" s="367">
        <v>11440.4</v>
      </c>
      <c r="BL25" s="367">
        <v>15695.4</v>
      </c>
      <c r="BM25" s="367">
        <v>27135.8</v>
      </c>
      <c r="BN25" s="367">
        <v>43203.1</v>
      </c>
      <c r="BO25" s="367">
        <v>36476.800000000003</v>
      </c>
      <c r="BP25" s="367">
        <v>79679.899999999994</v>
      </c>
      <c r="BQ25" s="367">
        <v>0</v>
      </c>
      <c r="BR25" s="367">
        <v>10753.7</v>
      </c>
      <c r="BS25" s="367">
        <v>7471.7</v>
      </c>
      <c r="BT25" s="367">
        <v>18225.400000000001</v>
      </c>
      <c r="BU25" s="367">
        <v>36379</v>
      </c>
      <c r="BV25" s="367">
        <v>42762.8</v>
      </c>
      <c r="BW25" s="367">
        <v>79141.8</v>
      </c>
      <c r="BX25" s="367">
        <v>349654.542851026</v>
      </c>
      <c r="BY25" s="367">
        <v>384040.03407323197</v>
      </c>
      <c r="BZ25" s="368">
        <v>9.8341326000000007E-2</v>
      </c>
      <c r="CA25" s="367" t="s">
        <v>446</v>
      </c>
      <c r="CB25" s="190"/>
      <c r="CC25" s="369">
        <f t="shared" si="24"/>
        <v>0.20371094469458273</v>
      </c>
      <c r="CE25" s="370">
        <f t="shared" si="25"/>
        <v>4.1699108127704235E-2</v>
      </c>
    </row>
    <row r="26" spans="1:83">
      <c r="A26" s="363">
        <v>210022</v>
      </c>
      <c r="B26" s="363" t="s">
        <v>63</v>
      </c>
      <c r="C26" s="87">
        <v>195709.86489999999</v>
      </c>
      <c r="D26" s="87">
        <v>115187.23927000001</v>
      </c>
      <c r="E26" s="87">
        <v>310897.10417000001</v>
      </c>
      <c r="F26" s="87">
        <v>103961.11516269601</v>
      </c>
      <c r="G26" s="87">
        <v>41640.902685654</v>
      </c>
      <c r="H26" s="87">
        <v>145602.01784835101</v>
      </c>
      <c r="I26" s="87">
        <v>10515.721007188</v>
      </c>
      <c r="J26" s="87">
        <v>4051.6464941600002</v>
      </c>
      <c r="K26" s="87">
        <v>14567.367501348001</v>
      </c>
      <c r="L26" s="87">
        <v>24373.932340664</v>
      </c>
      <c r="M26" s="87">
        <v>25769.107927541001</v>
      </c>
      <c r="N26" s="87">
        <v>50143.040268204997</v>
      </c>
      <c r="O26" s="87">
        <v>9208.6582828720002</v>
      </c>
      <c r="P26" s="87">
        <v>6026.7139762979996</v>
      </c>
      <c r="Q26" s="87">
        <v>15235.372259170999</v>
      </c>
      <c r="R26" s="87">
        <v>1748.9236100000001</v>
      </c>
      <c r="S26" s="87">
        <v>5405.2795496549998</v>
      </c>
      <c r="T26" s="87">
        <v>3770.5744800930001</v>
      </c>
      <c r="U26" s="87">
        <v>9175.8540297470008</v>
      </c>
      <c r="V26" s="87">
        <v>42245.158556923998</v>
      </c>
      <c r="W26" s="87">
        <v>33928.293706253004</v>
      </c>
      <c r="X26" s="87">
        <v>76173.452263177998</v>
      </c>
      <c r="Y26" s="87">
        <v>250109.35848283401</v>
      </c>
      <c r="Z26" s="87">
        <v>269456.294944514</v>
      </c>
      <c r="AA26" s="131">
        <f t="shared" si="0"/>
        <v>0.46832863958982113</v>
      </c>
      <c r="AB26" s="351">
        <f t="shared" si="1"/>
        <v>4.6855912473801928E-2</v>
      </c>
      <c r="AC26" s="351">
        <f t="shared" si="2"/>
        <v>4.9004548626609995E-2</v>
      </c>
      <c r="AD26" s="351">
        <f t="shared" si="3"/>
        <v>9.5860461100411923E-2</v>
      </c>
      <c r="AE26" s="351">
        <f t="shared" si="4"/>
        <v>2.9514118680017042E-2</v>
      </c>
      <c r="AF26" s="364">
        <f t="shared" si="5"/>
        <v>310897.10417000001</v>
      </c>
      <c r="AG26" s="365">
        <f t="shared" si="6"/>
        <v>0</v>
      </c>
      <c r="AH26" s="365">
        <f t="shared" si="7"/>
        <v>145602.01784834999</v>
      </c>
      <c r="AI26" s="365">
        <f t="shared" si="8"/>
        <v>-1.0186340659856796E-9</v>
      </c>
      <c r="AJ26" s="365">
        <f t="shared" si="9"/>
        <v>14567.367501348001</v>
      </c>
      <c r="AK26" s="365">
        <f t="shared" si="10"/>
        <v>0</v>
      </c>
      <c r="AL26" s="365">
        <f t="shared" si="11"/>
        <v>50143.040268205004</v>
      </c>
      <c r="AM26" s="365">
        <f t="shared" si="12"/>
        <v>0</v>
      </c>
      <c r="AN26" s="365">
        <f t="shared" si="13"/>
        <v>15235.372259169999</v>
      </c>
      <c r="AO26" s="365">
        <f t="shared" si="14"/>
        <v>-1.0004441719502211E-9</v>
      </c>
      <c r="AP26" s="365">
        <f t="shared" si="15"/>
        <v>1748.9236100000001</v>
      </c>
      <c r="AQ26" s="365">
        <f t="shared" si="16"/>
        <v>9175.8540297479994</v>
      </c>
      <c r="AR26" s="365">
        <f t="shared" si="17"/>
        <v>9.9862518254667521E-10</v>
      </c>
      <c r="AS26" s="365">
        <f t="shared" si="18"/>
        <v>76173.452263176994</v>
      </c>
      <c r="AT26" s="365">
        <f t="shared" si="19"/>
        <v>-1.0040821507573128E-9</v>
      </c>
      <c r="AU26" s="365">
        <f t="shared" si="20"/>
        <v>312646.02777999599</v>
      </c>
      <c r="AV26" s="365">
        <f t="shared" si="21"/>
        <v>1748.9236099959817</v>
      </c>
      <c r="AW26" s="366">
        <f t="shared" si="22"/>
        <v>4.0183749661082402E-9</v>
      </c>
      <c r="AX26" s="116">
        <f t="shared" si="23"/>
        <v>0</v>
      </c>
      <c r="AY26" s="190">
        <v>210022</v>
      </c>
      <c r="AZ26" s="190" t="s">
        <v>63</v>
      </c>
      <c r="BA26" s="190" t="s">
        <v>187</v>
      </c>
      <c r="BB26" s="367">
        <v>195709.86489999999</v>
      </c>
      <c r="BC26" s="367">
        <v>115187.23927000001</v>
      </c>
      <c r="BD26" s="367">
        <v>310897.10417000001</v>
      </c>
      <c r="BE26" s="367">
        <v>103961.11516269601</v>
      </c>
      <c r="BF26" s="367">
        <v>41640.902685654</v>
      </c>
      <c r="BG26" s="367">
        <v>145602.01784835101</v>
      </c>
      <c r="BH26" s="367">
        <v>10515.721007188</v>
      </c>
      <c r="BI26" s="367">
        <v>4051.6464941600002</v>
      </c>
      <c r="BJ26" s="367">
        <v>14567.367501348001</v>
      </c>
      <c r="BK26" s="367">
        <v>24373.932340664</v>
      </c>
      <c r="BL26" s="367">
        <v>25769.107927541001</v>
      </c>
      <c r="BM26" s="367">
        <v>50143.040268204997</v>
      </c>
      <c r="BN26" s="367">
        <v>9208.6582828720002</v>
      </c>
      <c r="BO26" s="367">
        <v>6026.7139762979996</v>
      </c>
      <c r="BP26" s="367">
        <v>15235.372259170999</v>
      </c>
      <c r="BQ26" s="367">
        <v>1748.9236100000001</v>
      </c>
      <c r="BR26" s="367">
        <v>5405.2795496549998</v>
      </c>
      <c r="BS26" s="367">
        <v>3770.5744800930001</v>
      </c>
      <c r="BT26" s="367">
        <v>9175.8540297470008</v>
      </c>
      <c r="BU26" s="367">
        <v>42245.158556923998</v>
      </c>
      <c r="BV26" s="367">
        <v>33928.293706253004</v>
      </c>
      <c r="BW26" s="367">
        <v>76173.452263177998</v>
      </c>
      <c r="BX26" s="367">
        <v>250109.35848283401</v>
      </c>
      <c r="BY26" s="367">
        <v>269456.294944514</v>
      </c>
      <c r="BZ26" s="368">
        <v>7.7353908999999998E-2</v>
      </c>
      <c r="CA26" s="367" t="s">
        <v>446</v>
      </c>
      <c r="CB26" s="190"/>
      <c r="CC26" s="369">
        <f t="shared" si="24"/>
        <v>9.5860461100411923E-2</v>
      </c>
      <c r="CE26" s="370">
        <f t="shared" si="25"/>
        <v>2.9514118680017042E-2</v>
      </c>
    </row>
    <row r="27" spans="1:83">
      <c r="A27" s="363">
        <v>210023</v>
      </c>
      <c r="B27" s="363" t="s">
        <v>64</v>
      </c>
      <c r="C27" s="87">
        <v>295708</v>
      </c>
      <c r="D27" s="87">
        <v>306066.59999999998</v>
      </c>
      <c r="E27" s="87">
        <v>601774.6</v>
      </c>
      <c r="F27" s="87">
        <v>130357.8</v>
      </c>
      <c r="G27" s="87">
        <v>101220.6</v>
      </c>
      <c r="H27" s="87">
        <v>231578.4</v>
      </c>
      <c r="I27" s="87">
        <v>8713.2999999999993</v>
      </c>
      <c r="J27" s="87">
        <v>4257.8</v>
      </c>
      <c r="K27" s="87">
        <v>12971.099999999999</v>
      </c>
      <c r="L27" s="87">
        <v>44207.9</v>
      </c>
      <c r="M27" s="87">
        <v>58015.9</v>
      </c>
      <c r="N27" s="87">
        <v>102223.8</v>
      </c>
      <c r="O27" s="87">
        <v>29983.599999999999</v>
      </c>
      <c r="P27" s="87">
        <v>30867.4</v>
      </c>
      <c r="Q27" s="87">
        <v>60851</v>
      </c>
      <c r="R27" s="87">
        <v>319.5</v>
      </c>
      <c r="S27" s="87">
        <v>6209</v>
      </c>
      <c r="T27" s="87">
        <v>11536.3</v>
      </c>
      <c r="U27" s="87">
        <v>17745.3</v>
      </c>
      <c r="V27" s="87">
        <v>76236.400000000023</v>
      </c>
      <c r="W27" s="87">
        <v>100168.59999999999</v>
      </c>
      <c r="X27" s="87">
        <v>176405</v>
      </c>
      <c r="Y27" s="87">
        <v>478497.37811109144</v>
      </c>
      <c r="Z27" s="87">
        <v>514177.59358244517</v>
      </c>
      <c r="AA27" s="131">
        <f t="shared" si="0"/>
        <v>0.38482581351888234</v>
      </c>
      <c r="AB27" s="351">
        <f t="shared" si="1"/>
        <v>2.1554748239623271E-2</v>
      </c>
      <c r="AC27" s="351">
        <f t="shared" si="2"/>
        <v>0.10111925627967681</v>
      </c>
      <c r="AD27" s="351">
        <f t="shared" si="3"/>
        <v>0.12267400451930009</v>
      </c>
      <c r="AE27" s="351">
        <f t="shared" si="4"/>
        <v>2.9488283486873657E-2</v>
      </c>
      <c r="AF27" s="364">
        <f t="shared" si="5"/>
        <v>601774.6</v>
      </c>
      <c r="AG27" s="365">
        <f t="shared" si="6"/>
        <v>0</v>
      </c>
      <c r="AH27" s="365">
        <f t="shared" si="7"/>
        <v>231578.40000000002</v>
      </c>
      <c r="AI27" s="365">
        <f t="shared" si="8"/>
        <v>0</v>
      </c>
      <c r="AJ27" s="365">
        <f t="shared" si="9"/>
        <v>12971.099999999999</v>
      </c>
      <c r="AK27" s="365">
        <f t="shared" si="10"/>
        <v>0</v>
      </c>
      <c r="AL27" s="365">
        <f t="shared" si="11"/>
        <v>102223.8</v>
      </c>
      <c r="AM27" s="365">
        <f t="shared" si="12"/>
        <v>0</v>
      </c>
      <c r="AN27" s="365">
        <f t="shared" si="13"/>
        <v>60851</v>
      </c>
      <c r="AO27" s="365">
        <f t="shared" si="14"/>
        <v>0</v>
      </c>
      <c r="AP27" s="365">
        <f t="shared" si="15"/>
        <v>319.5</v>
      </c>
      <c r="AQ27" s="365">
        <f t="shared" si="16"/>
        <v>17745.3</v>
      </c>
      <c r="AR27" s="365">
        <f t="shared" si="17"/>
        <v>0</v>
      </c>
      <c r="AS27" s="365">
        <f t="shared" si="18"/>
        <v>176405</v>
      </c>
      <c r="AT27" s="365">
        <f t="shared" si="19"/>
        <v>0</v>
      </c>
      <c r="AU27" s="365">
        <f t="shared" si="20"/>
        <v>602094.10000000009</v>
      </c>
      <c r="AV27" s="365">
        <f t="shared" si="21"/>
        <v>319.50000000011642</v>
      </c>
      <c r="AW27" s="366">
        <f t="shared" si="22"/>
        <v>-1.1641532182693481E-10</v>
      </c>
      <c r="AX27" s="116">
        <f t="shared" si="23"/>
        <v>0</v>
      </c>
      <c r="AY27" s="190">
        <v>210023</v>
      </c>
      <c r="AZ27" s="190" t="s">
        <v>64</v>
      </c>
      <c r="BA27" s="190" t="s">
        <v>187</v>
      </c>
      <c r="BB27" s="367">
        <v>295708</v>
      </c>
      <c r="BC27" s="367">
        <v>306066.59999999998</v>
      </c>
      <c r="BD27" s="367">
        <v>601774.6</v>
      </c>
      <c r="BE27" s="367">
        <v>130357.8</v>
      </c>
      <c r="BF27" s="367">
        <v>101220.6</v>
      </c>
      <c r="BG27" s="367">
        <v>231578.4</v>
      </c>
      <c r="BH27" s="367">
        <v>8713.2999999999993</v>
      </c>
      <c r="BI27" s="367">
        <v>4257.8</v>
      </c>
      <c r="BJ27" s="367">
        <v>12971.099999999999</v>
      </c>
      <c r="BK27" s="367">
        <v>44207.9</v>
      </c>
      <c r="BL27" s="367">
        <v>58015.9</v>
      </c>
      <c r="BM27" s="367">
        <v>102223.8</v>
      </c>
      <c r="BN27" s="367">
        <v>29983.599999999999</v>
      </c>
      <c r="BO27" s="367">
        <v>30867.4</v>
      </c>
      <c r="BP27" s="367">
        <v>60851</v>
      </c>
      <c r="BQ27" s="367">
        <v>319.5</v>
      </c>
      <c r="BR27" s="367">
        <v>6209</v>
      </c>
      <c r="BS27" s="367">
        <v>11536.3</v>
      </c>
      <c r="BT27" s="367">
        <v>17745.3</v>
      </c>
      <c r="BU27" s="367">
        <v>76236.400000000023</v>
      </c>
      <c r="BV27" s="367">
        <v>100168.59999999999</v>
      </c>
      <c r="BW27" s="367">
        <v>176405</v>
      </c>
      <c r="BX27" s="367">
        <v>478497.37811109144</v>
      </c>
      <c r="BY27" s="367">
        <v>514177.59358244517</v>
      </c>
      <c r="BZ27" s="368">
        <v>7.4567212075862033E-2</v>
      </c>
      <c r="CA27" s="367" t="s">
        <v>446</v>
      </c>
      <c r="CB27" s="190"/>
      <c r="CC27" s="369">
        <f t="shared" si="24"/>
        <v>0.12267400451930009</v>
      </c>
      <c r="CE27" s="370">
        <f t="shared" si="25"/>
        <v>2.9488283486873657E-2</v>
      </c>
    </row>
    <row r="28" spans="1:83">
      <c r="A28" s="363">
        <v>210024</v>
      </c>
      <c r="B28" s="363" t="s">
        <v>356</v>
      </c>
      <c r="C28" s="87">
        <v>242545.50162876499</v>
      </c>
      <c r="D28" s="87">
        <v>191896.94717123499</v>
      </c>
      <c r="E28" s="87">
        <v>434442.44880000001</v>
      </c>
      <c r="F28" s="87">
        <v>125503</v>
      </c>
      <c r="G28" s="87">
        <v>59782.2</v>
      </c>
      <c r="H28" s="87">
        <v>185285.2</v>
      </c>
      <c r="I28" s="87">
        <v>6543.7</v>
      </c>
      <c r="J28" s="87">
        <v>3848.9</v>
      </c>
      <c r="K28" s="87">
        <v>10392.6</v>
      </c>
      <c r="L28" s="87">
        <v>21983.1</v>
      </c>
      <c r="M28" s="87">
        <v>30449.5</v>
      </c>
      <c r="N28" s="87">
        <v>52432.6</v>
      </c>
      <c r="O28" s="87">
        <v>51938</v>
      </c>
      <c r="P28" s="87">
        <v>47011.8</v>
      </c>
      <c r="Q28" s="87">
        <v>98949.8</v>
      </c>
      <c r="R28" s="87">
        <v>2892.52</v>
      </c>
      <c r="S28" s="87">
        <v>3910.788498765</v>
      </c>
      <c r="T28" s="87">
        <v>9608.9182112350009</v>
      </c>
      <c r="U28" s="87">
        <v>13519.70671</v>
      </c>
      <c r="V28" s="87">
        <v>32666.913130000001</v>
      </c>
      <c r="W28" s="87">
        <v>41195.628960000002</v>
      </c>
      <c r="X28" s="87">
        <v>73862.542090000003</v>
      </c>
      <c r="Y28" s="87">
        <v>317678.05524922098</v>
      </c>
      <c r="Z28" s="87">
        <v>344509.82518354198</v>
      </c>
      <c r="AA28" s="131">
        <f t="shared" si="0"/>
        <v>0.42648963173784599</v>
      </c>
      <c r="AB28" s="351">
        <f t="shared" si="1"/>
        <v>2.392169556337332E-2</v>
      </c>
      <c r="AC28" s="351">
        <f t="shared" si="2"/>
        <v>0.22776273422018331</v>
      </c>
      <c r="AD28" s="351">
        <f t="shared" si="3"/>
        <v>0.25168442978355665</v>
      </c>
      <c r="AE28" s="351">
        <f t="shared" si="4"/>
        <v>3.1119672461435589E-2</v>
      </c>
      <c r="AF28" s="364">
        <f t="shared" si="5"/>
        <v>434442.44880000001</v>
      </c>
      <c r="AG28" s="365">
        <f t="shared" si="6"/>
        <v>0</v>
      </c>
      <c r="AH28" s="365">
        <f t="shared" si="7"/>
        <v>185285.2</v>
      </c>
      <c r="AI28" s="365">
        <f t="shared" si="8"/>
        <v>0</v>
      </c>
      <c r="AJ28" s="365">
        <f t="shared" si="9"/>
        <v>10392.6</v>
      </c>
      <c r="AK28" s="365">
        <f t="shared" si="10"/>
        <v>0</v>
      </c>
      <c r="AL28" s="365">
        <f t="shared" si="11"/>
        <v>52432.6</v>
      </c>
      <c r="AM28" s="365">
        <f t="shared" si="12"/>
        <v>0</v>
      </c>
      <c r="AN28" s="365">
        <f t="shared" si="13"/>
        <v>98949.8</v>
      </c>
      <c r="AO28" s="365">
        <f t="shared" si="14"/>
        <v>0</v>
      </c>
      <c r="AP28" s="365">
        <f t="shared" si="15"/>
        <v>2892.52</v>
      </c>
      <c r="AQ28" s="365">
        <f t="shared" si="16"/>
        <v>13519.70671</v>
      </c>
      <c r="AR28" s="365">
        <f t="shared" si="17"/>
        <v>0</v>
      </c>
      <c r="AS28" s="365">
        <f t="shared" si="18"/>
        <v>73862.542090000003</v>
      </c>
      <c r="AT28" s="365">
        <f t="shared" si="19"/>
        <v>0</v>
      </c>
      <c r="AU28" s="365">
        <f t="shared" si="20"/>
        <v>437334.96880000003</v>
      </c>
      <c r="AV28" s="365">
        <f t="shared" si="21"/>
        <v>2892.5200000000186</v>
      </c>
      <c r="AW28" s="366">
        <f t="shared" si="22"/>
        <v>-1.8644641386345029E-11</v>
      </c>
      <c r="AX28" s="116">
        <f t="shared" si="23"/>
        <v>0</v>
      </c>
      <c r="AY28" s="190">
        <v>210024</v>
      </c>
      <c r="AZ28" s="190" t="s">
        <v>356</v>
      </c>
      <c r="BA28" s="190" t="s">
        <v>187</v>
      </c>
      <c r="BB28" s="367">
        <v>242545.50162876499</v>
      </c>
      <c r="BC28" s="367">
        <v>191896.94717123499</v>
      </c>
      <c r="BD28" s="367">
        <v>434442.44880000001</v>
      </c>
      <c r="BE28" s="367">
        <v>125503</v>
      </c>
      <c r="BF28" s="367">
        <v>59782.2</v>
      </c>
      <c r="BG28" s="367">
        <v>185285.2</v>
      </c>
      <c r="BH28" s="367">
        <v>6543.7</v>
      </c>
      <c r="BI28" s="367">
        <v>3848.9</v>
      </c>
      <c r="BJ28" s="367">
        <v>10392.6</v>
      </c>
      <c r="BK28" s="367">
        <v>21983.1</v>
      </c>
      <c r="BL28" s="367">
        <v>30449.5</v>
      </c>
      <c r="BM28" s="367">
        <v>52432.6</v>
      </c>
      <c r="BN28" s="367">
        <v>51938</v>
      </c>
      <c r="BO28" s="367">
        <v>47011.8</v>
      </c>
      <c r="BP28" s="367">
        <v>98949.8</v>
      </c>
      <c r="BQ28" s="367">
        <v>2892.52</v>
      </c>
      <c r="BR28" s="367">
        <v>3910.788498765</v>
      </c>
      <c r="BS28" s="367">
        <v>9608.9182112350009</v>
      </c>
      <c r="BT28" s="367">
        <v>13519.70671</v>
      </c>
      <c r="BU28" s="367">
        <v>32666.913130000001</v>
      </c>
      <c r="BV28" s="367">
        <v>41195.628960000002</v>
      </c>
      <c r="BW28" s="367">
        <v>73862.542090000003</v>
      </c>
      <c r="BX28" s="367">
        <v>317678.05524922098</v>
      </c>
      <c r="BY28" s="367">
        <v>344509.82518354198</v>
      </c>
      <c r="BZ28" s="368">
        <v>8.4462145000000002E-2</v>
      </c>
      <c r="CA28" s="367" t="s">
        <v>446</v>
      </c>
      <c r="CB28" s="190"/>
      <c r="CC28" s="369">
        <f t="shared" si="24"/>
        <v>0.25168442978355665</v>
      </c>
      <c r="CE28" s="370">
        <f t="shared" si="25"/>
        <v>3.1119672461435589E-2</v>
      </c>
    </row>
    <row r="29" spans="1:83">
      <c r="A29" s="363">
        <v>210027</v>
      </c>
      <c r="B29" s="363" t="s">
        <v>65</v>
      </c>
      <c r="C29" s="87">
        <v>175472.7</v>
      </c>
      <c r="D29" s="87">
        <v>153556.20000000001</v>
      </c>
      <c r="E29" s="87">
        <v>329028.90000000002</v>
      </c>
      <c r="F29" s="87">
        <v>101546.6</v>
      </c>
      <c r="G29" s="87">
        <v>64876.6</v>
      </c>
      <c r="H29" s="87">
        <v>166423.20000000001</v>
      </c>
      <c r="I29" s="87">
        <v>9434</v>
      </c>
      <c r="J29" s="87">
        <v>4840.8999999999996</v>
      </c>
      <c r="K29" s="87">
        <v>14274.9</v>
      </c>
      <c r="L29" s="87">
        <v>11144.7</v>
      </c>
      <c r="M29" s="87">
        <v>18335.7</v>
      </c>
      <c r="N29" s="87">
        <v>29480.400000000001</v>
      </c>
      <c r="O29" s="87">
        <v>37314.5</v>
      </c>
      <c r="P29" s="87">
        <v>36696.1</v>
      </c>
      <c r="Q29" s="87">
        <v>74010.600000000006</v>
      </c>
      <c r="R29" s="87">
        <v>2808.9</v>
      </c>
      <c r="S29" s="87">
        <v>6563.7</v>
      </c>
      <c r="T29" s="87">
        <v>9377.2000000000007</v>
      </c>
      <c r="U29" s="87">
        <v>15940.9</v>
      </c>
      <c r="V29" s="87">
        <v>9469.2000000000007</v>
      </c>
      <c r="W29" s="87">
        <v>19429.7</v>
      </c>
      <c r="X29" s="87">
        <v>28898.9</v>
      </c>
      <c r="Y29" s="87">
        <v>243708.691288462</v>
      </c>
      <c r="Z29" s="87">
        <v>270396.76607364701</v>
      </c>
      <c r="AA29" s="131">
        <f t="shared" si="0"/>
        <v>0.50580116214715487</v>
      </c>
      <c r="AB29" s="351">
        <f t="shared" si="1"/>
        <v>4.3384942781621916E-2</v>
      </c>
      <c r="AC29" s="351">
        <f t="shared" si="2"/>
        <v>0.22493647214575985</v>
      </c>
      <c r="AD29" s="351">
        <f t="shared" si="3"/>
        <v>0.26832141492738176</v>
      </c>
      <c r="AE29" s="351">
        <f t="shared" si="4"/>
        <v>4.8448327791266961E-2</v>
      </c>
      <c r="AF29" s="364">
        <f t="shared" si="5"/>
        <v>329028.90000000002</v>
      </c>
      <c r="AG29" s="365">
        <f t="shared" si="6"/>
        <v>0</v>
      </c>
      <c r="AH29" s="365">
        <f t="shared" si="7"/>
        <v>166423.20000000001</v>
      </c>
      <c r="AI29" s="365">
        <f t="shared" si="8"/>
        <v>0</v>
      </c>
      <c r="AJ29" s="365">
        <f t="shared" si="9"/>
        <v>14274.9</v>
      </c>
      <c r="AK29" s="365">
        <f t="shared" si="10"/>
        <v>0</v>
      </c>
      <c r="AL29" s="365">
        <f t="shared" si="11"/>
        <v>29480.400000000001</v>
      </c>
      <c r="AM29" s="365">
        <f t="shared" si="12"/>
        <v>0</v>
      </c>
      <c r="AN29" s="365">
        <f t="shared" si="13"/>
        <v>74010.600000000006</v>
      </c>
      <c r="AO29" s="365">
        <f t="shared" si="14"/>
        <v>0</v>
      </c>
      <c r="AP29" s="365">
        <f t="shared" si="15"/>
        <v>2808.9</v>
      </c>
      <c r="AQ29" s="365">
        <f t="shared" si="16"/>
        <v>15940.900000000001</v>
      </c>
      <c r="AR29" s="365">
        <f t="shared" si="17"/>
        <v>0</v>
      </c>
      <c r="AS29" s="365">
        <f t="shared" si="18"/>
        <v>28898.9</v>
      </c>
      <c r="AT29" s="365">
        <f t="shared" si="19"/>
        <v>0</v>
      </c>
      <c r="AU29" s="365">
        <f t="shared" si="20"/>
        <v>331837.80000000005</v>
      </c>
      <c r="AV29" s="365">
        <f t="shared" si="21"/>
        <v>2808.9000000000233</v>
      </c>
      <c r="AW29" s="366">
        <f t="shared" si="22"/>
        <v>-2.319211489520967E-11</v>
      </c>
      <c r="AX29" s="116">
        <f t="shared" si="23"/>
        <v>0</v>
      </c>
      <c r="AY29" s="190">
        <v>210027</v>
      </c>
      <c r="AZ29" s="190" t="s">
        <v>65</v>
      </c>
      <c r="BA29" s="190" t="s">
        <v>187</v>
      </c>
      <c r="BB29" s="367">
        <v>175472.7</v>
      </c>
      <c r="BC29" s="367">
        <v>153556.20000000001</v>
      </c>
      <c r="BD29" s="367">
        <v>329028.90000000002</v>
      </c>
      <c r="BE29" s="367">
        <v>101546.6</v>
      </c>
      <c r="BF29" s="367">
        <v>64876.6</v>
      </c>
      <c r="BG29" s="367">
        <v>166423.20000000001</v>
      </c>
      <c r="BH29" s="367">
        <v>9434</v>
      </c>
      <c r="BI29" s="367">
        <v>4840.8999999999996</v>
      </c>
      <c r="BJ29" s="367">
        <v>14274.9</v>
      </c>
      <c r="BK29" s="367">
        <v>11144.7</v>
      </c>
      <c r="BL29" s="367">
        <v>18335.7</v>
      </c>
      <c r="BM29" s="367">
        <v>29480.400000000001</v>
      </c>
      <c r="BN29" s="367">
        <v>37314.5</v>
      </c>
      <c r="BO29" s="367">
        <v>36696.1</v>
      </c>
      <c r="BP29" s="367">
        <v>74010.600000000006</v>
      </c>
      <c r="BQ29" s="367">
        <v>2808.9</v>
      </c>
      <c r="BR29" s="367">
        <v>6563.7</v>
      </c>
      <c r="BS29" s="367">
        <v>9377.2000000000007</v>
      </c>
      <c r="BT29" s="367">
        <v>15940.9</v>
      </c>
      <c r="BU29" s="367">
        <v>9469.2000000000007</v>
      </c>
      <c r="BV29" s="367">
        <v>19429.7</v>
      </c>
      <c r="BW29" s="367">
        <v>28898.9</v>
      </c>
      <c r="BX29" s="367">
        <v>243708.691288462</v>
      </c>
      <c r="BY29" s="367">
        <v>270396.76607364701</v>
      </c>
      <c r="BZ29" s="368">
        <v>0.109508096</v>
      </c>
      <c r="CA29" s="367" t="s">
        <v>446</v>
      </c>
      <c r="CB29" s="190"/>
      <c r="CC29" s="369">
        <f t="shared" si="24"/>
        <v>0.26832141492738176</v>
      </c>
      <c r="CE29" s="370">
        <f t="shared" si="25"/>
        <v>4.8448327791266961E-2</v>
      </c>
    </row>
    <row r="30" spans="1:83">
      <c r="A30" s="363">
        <v>210028</v>
      </c>
      <c r="B30" s="363" t="s">
        <v>357</v>
      </c>
      <c r="C30" s="87">
        <v>81837.276880000005</v>
      </c>
      <c r="D30" s="87">
        <v>108173.90072000001</v>
      </c>
      <c r="E30" s="87">
        <v>190011.1776</v>
      </c>
      <c r="F30" s="87">
        <v>41623.723307794004</v>
      </c>
      <c r="G30" s="87">
        <v>33208.057382150997</v>
      </c>
      <c r="H30" s="87">
        <v>74831.780689944993</v>
      </c>
      <c r="I30" s="87">
        <v>2263.1977144389998</v>
      </c>
      <c r="J30" s="87">
        <v>2511.0073039200001</v>
      </c>
      <c r="K30" s="87">
        <v>4774.205018359</v>
      </c>
      <c r="L30" s="87">
        <v>6969.0114630400003</v>
      </c>
      <c r="M30" s="87">
        <v>15088.624625339</v>
      </c>
      <c r="N30" s="87">
        <v>22057.636088379</v>
      </c>
      <c r="O30" s="87">
        <v>13909.343323916</v>
      </c>
      <c r="P30" s="87">
        <v>19718.109818665998</v>
      </c>
      <c r="Q30" s="87">
        <v>33627.453142582002</v>
      </c>
      <c r="R30" s="87">
        <v>1080.298</v>
      </c>
      <c r="S30" s="87">
        <v>2268.8942000450002</v>
      </c>
      <c r="T30" s="87">
        <v>5229.8897399549996</v>
      </c>
      <c r="U30" s="87">
        <v>7498.7839400000003</v>
      </c>
      <c r="V30" s="87">
        <v>14803.106870766</v>
      </c>
      <c r="W30" s="87">
        <v>32418.211849969</v>
      </c>
      <c r="X30" s="87">
        <v>47221.318720736002</v>
      </c>
      <c r="Y30" s="87">
        <v>150366.961523145</v>
      </c>
      <c r="Z30" s="87">
        <v>163926.69591017201</v>
      </c>
      <c r="AA30" s="131">
        <f t="shared" si="0"/>
        <v>0.39382830860338292</v>
      </c>
      <c r="AB30" s="351">
        <f t="shared" si="1"/>
        <v>2.5125916689013775E-2</v>
      </c>
      <c r="AC30" s="351">
        <f t="shared" si="2"/>
        <v>0.17697618407151014</v>
      </c>
      <c r="AD30" s="351">
        <f t="shared" si="3"/>
        <v>0.20210210076052393</v>
      </c>
      <c r="AE30" s="351">
        <f t="shared" si="4"/>
        <v>3.9464962191782138E-2</v>
      </c>
      <c r="AF30" s="364">
        <f t="shared" si="5"/>
        <v>190011.1776</v>
      </c>
      <c r="AG30" s="365">
        <f t="shared" si="6"/>
        <v>0</v>
      </c>
      <c r="AH30" s="365">
        <f t="shared" si="7"/>
        <v>74831.780689945008</v>
      </c>
      <c r="AI30" s="365">
        <f t="shared" si="8"/>
        <v>0</v>
      </c>
      <c r="AJ30" s="365">
        <f t="shared" si="9"/>
        <v>4774.205018359</v>
      </c>
      <c r="AK30" s="365">
        <f t="shared" si="10"/>
        <v>0</v>
      </c>
      <c r="AL30" s="365">
        <f t="shared" si="11"/>
        <v>22057.636088379</v>
      </c>
      <c r="AM30" s="365">
        <f t="shared" si="12"/>
        <v>0</v>
      </c>
      <c r="AN30" s="365">
        <f t="shared" si="13"/>
        <v>33627.453142582002</v>
      </c>
      <c r="AO30" s="365">
        <f t="shared" si="14"/>
        <v>0</v>
      </c>
      <c r="AP30" s="365">
        <f t="shared" si="15"/>
        <v>1080.298</v>
      </c>
      <c r="AQ30" s="365">
        <f t="shared" si="16"/>
        <v>7498.7839399999993</v>
      </c>
      <c r="AR30" s="365">
        <f t="shared" si="17"/>
        <v>0</v>
      </c>
      <c r="AS30" s="365">
        <f t="shared" si="18"/>
        <v>47221.318720734998</v>
      </c>
      <c r="AT30" s="365">
        <f t="shared" si="19"/>
        <v>-1.0040821507573128E-9</v>
      </c>
      <c r="AU30" s="365">
        <f t="shared" si="20"/>
        <v>191091.47559999902</v>
      </c>
      <c r="AV30" s="365">
        <f t="shared" si="21"/>
        <v>1080.2979999990202</v>
      </c>
      <c r="AW30" s="366">
        <f t="shared" si="22"/>
        <v>9.7975316748488694E-10</v>
      </c>
      <c r="AX30" s="116">
        <f t="shared" si="23"/>
        <v>0</v>
      </c>
      <c r="AY30" s="190">
        <v>210028</v>
      </c>
      <c r="AZ30" s="190" t="s">
        <v>357</v>
      </c>
      <c r="BA30" s="190" t="s">
        <v>187</v>
      </c>
      <c r="BB30" s="367">
        <v>81837.276880000005</v>
      </c>
      <c r="BC30" s="367">
        <v>108173.90072000001</v>
      </c>
      <c r="BD30" s="367">
        <v>190011.1776</v>
      </c>
      <c r="BE30" s="367">
        <v>41623.723307794004</v>
      </c>
      <c r="BF30" s="367">
        <v>33208.057382150997</v>
      </c>
      <c r="BG30" s="367">
        <v>74831.780689944993</v>
      </c>
      <c r="BH30" s="367">
        <v>2263.1977144389998</v>
      </c>
      <c r="BI30" s="367">
        <v>2511.0073039200001</v>
      </c>
      <c r="BJ30" s="367">
        <v>4774.205018359</v>
      </c>
      <c r="BK30" s="367">
        <v>6969.0114630400003</v>
      </c>
      <c r="BL30" s="367">
        <v>15088.624625339</v>
      </c>
      <c r="BM30" s="367">
        <v>22057.636088379</v>
      </c>
      <c r="BN30" s="367">
        <v>13909.343323916</v>
      </c>
      <c r="BO30" s="367">
        <v>19718.109818665998</v>
      </c>
      <c r="BP30" s="367">
        <v>33627.453142582002</v>
      </c>
      <c r="BQ30" s="367">
        <v>1080.298</v>
      </c>
      <c r="BR30" s="367">
        <v>2268.8942000450002</v>
      </c>
      <c r="BS30" s="367">
        <v>5229.8897399549996</v>
      </c>
      <c r="BT30" s="367">
        <v>7498.7839400000003</v>
      </c>
      <c r="BU30" s="367">
        <v>14803.106870766</v>
      </c>
      <c r="BV30" s="367">
        <v>32418.211849969</v>
      </c>
      <c r="BW30" s="367">
        <v>47221.318720736002</v>
      </c>
      <c r="BX30" s="367">
        <v>150366.961523145</v>
      </c>
      <c r="BY30" s="367">
        <v>163926.69591017201</v>
      </c>
      <c r="BZ30" s="368">
        <v>9.0177618000000001E-2</v>
      </c>
      <c r="CA30" s="367" t="s">
        <v>446</v>
      </c>
      <c r="CB30" s="190"/>
      <c r="CC30" s="369">
        <f t="shared" si="24"/>
        <v>0.20210210076052393</v>
      </c>
      <c r="CE30" s="370">
        <f t="shared" si="25"/>
        <v>3.9464962191782138E-2</v>
      </c>
    </row>
    <row r="31" spans="1:83">
      <c r="A31" s="363">
        <v>210029</v>
      </c>
      <c r="B31" s="363" t="s">
        <v>340</v>
      </c>
      <c r="C31" s="87">
        <v>356374</v>
      </c>
      <c r="D31" s="87">
        <v>288845.5</v>
      </c>
      <c r="E31" s="87">
        <v>645219.5</v>
      </c>
      <c r="F31" s="87">
        <v>165051</v>
      </c>
      <c r="G31" s="87">
        <v>78597</v>
      </c>
      <c r="H31" s="87">
        <v>243648</v>
      </c>
      <c r="I31" s="87">
        <v>37598</v>
      </c>
      <c r="J31" s="87">
        <v>15585</v>
      </c>
      <c r="K31" s="87">
        <v>53183</v>
      </c>
      <c r="L31" s="87">
        <v>37746</v>
      </c>
      <c r="M31" s="87">
        <v>48268</v>
      </c>
      <c r="N31" s="87">
        <v>86014</v>
      </c>
      <c r="O31" s="87">
        <v>64838</v>
      </c>
      <c r="P31" s="87">
        <v>94125</v>
      </c>
      <c r="Q31" s="87">
        <v>158963</v>
      </c>
      <c r="R31" s="87">
        <v>5711</v>
      </c>
      <c r="S31" s="87">
        <v>12537</v>
      </c>
      <c r="T31" s="87">
        <v>13965</v>
      </c>
      <c r="U31" s="87">
        <v>26502</v>
      </c>
      <c r="V31" s="87">
        <v>38604</v>
      </c>
      <c r="W31" s="87">
        <v>38305.5</v>
      </c>
      <c r="X31" s="87">
        <v>76909.5</v>
      </c>
      <c r="Y31" s="87">
        <v>547022.16456923098</v>
      </c>
      <c r="Z31" s="87">
        <v>600353.26334644202</v>
      </c>
      <c r="AA31" s="131">
        <f t="shared" si="0"/>
        <v>0.37762032920579741</v>
      </c>
      <c r="AB31" s="351">
        <f t="shared" si="1"/>
        <v>8.2426213094923512E-2</v>
      </c>
      <c r="AC31" s="351">
        <f t="shared" si="2"/>
        <v>0.24637042122874464</v>
      </c>
      <c r="AD31" s="351">
        <f t="shared" si="3"/>
        <v>0.32879663432366812</v>
      </c>
      <c r="AE31" s="351">
        <f t="shared" si="4"/>
        <v>4.1074394062795686E-2</v>
      </c>
      <c r="AF31" s="364">
        <f t="shared" si="5"/>
        <v>645219.5</v>
      </c>
      <c r="AG31" s="365">
        <f t="shared" si="6"/>
        <v>0</v>
      </c>
      <c r="AH31" s="365">
        <f t="shared" si="7"/>
        <v>243648</v>
      </c>
      <c r="AI31" s="365">
        <f t="shared" si="8"/>
        <v>0</v>
      </c>
      <c r="AJ31" s="365">
        <f t="shared" si="9"/>
        <v>53183</v>
      </c>
      <c r="AK31" s="365">
        <f t="shared" si="10"/>
        <v>0</v>
      </c>
      <c r="AL31" s="365">
        <f t="shared" si="11"/>
        <v>86014</v>
      </c>
      <c r="AM31" s="365">
        <f t="shared" si="12"/>
        <v>0</v>
      </c>
      <c r="AN31" s="365">
        <f t="shared" si="13"/>
        <v>158963</v>
      </c>
      <c r="AO31" s="365">
        <f t="shared" si="14"/>
        <v>0</v>
      </c>
      <c r="AP31" s="365">
        <f t="shared" si="15"/>
        <v>5711</v>
      </c>
      <c r="AQ31" s="365">
        <f t="shared" si="16"/>
        <v>26502</v>
      </c>
      <c r="AR31" s="365">
        <f t="shared" si="17"/>
        <v>0</v>
      </c>
      <c r="AS31" s="365">
        <f t="shared" si="18"/>
        <v>76909.5</v>
      </c>
      <c r="AT31" s="365">
        <f t="shared" si="19"/>
        <v>0</v>
      </c>
      <c r="AU31" s="365">
        <f t="shared" si="20"/>
        <v>650930.5</v>
      </c>
      <c r="AV31" s="365">
        <f t="shared" si="21"/>
        <v>5711</v>
      </c>
      <c r="AW31" s="366">
        <f t="shared" si="22"/>
        <v>0</v>
      </c>
      <c r="AX31" s="116">
        <f t="shared" si="23"/>
        <v>0</v>
      </c>
      <c r="AY31" s="190">
        <v>210029</v>
      </c>
      <c r="AZ31" s="190" t="s">
        <v>340</v>
      </c>
      <c r="BA31" s="190" t="s">
        <v>187</v>
      </c>
      <c r="BB31" s="367">
        <v>356374</v>
      </c>
      <c r="BC31" s="367">
        <v>288845.5</v>
      </c>
      <c r="BD31" s="367">
        <v>645219.5</v>
      </c>
      <c r="BE31" s="367">
        <v>165051</v>
      </c>
      <c r="BF31" s="367">
        <v>78597</v>
      </c>
      <c r="BG31" s="367">
        <v>243648</v>
      </c>
      <c r="BH31" s="367">
        <v>37598</v>
      </c>
      <c r="BI31" s="367">
        <v>15585</v>
      </c>
      <c r="BJ31" s="367">
        <v>53183</v>
      </c>
      <c r="BK31" s="367">
        <v>37746</v>
      </c>
      <c r="BL31" s="367">
        <v>48268</v>
      </c>
      <c r="BM31" s="367">
        <v>86014</v>
      </c>
      <c r="BN31" s="367">
        <v>64838</v>
      </c>
      <c r="BO31" s="367">
        <v>94125</v>
      </c>
      <c r="BP31" s="367">
        <v>158963</v>
      </c>
      <c r="BQ31" s="367">
        <v>5711</v>
      </c>
      <c r="BR31" s="367">
        <v>12537</v>
      </c>
      <c r="BS31" s="367">
        <v>13965</v>
      </c>
      <c r="BT31" s="367">
        <v>26502</v>
      </c>
      <c r="BU31" s="367">
        <v>38604</v>
      </c>
      <c r="BV31" s="367">
        <v>38305.5</v>
      </c>
      <c r="BW31" s="367">
        <v>76909.5</v>
      </c>
      <c r="BX31" s="367">
        <v>547022.16456923098</v>
      </c>
      <c r="BY31" s="367">
        <v>600353.26334644202</v>
      </c>
      <c r="BZ31" s="368">
        <v>9.7493488000000003E-2</v>
      </c>
      <c r="CA31" s="367" t="s">
        <v>446</v>
      </c>
      <c r="CB31" s="190"/>
      <c r="CC31" s="369">
        <f t="shared" si="24"/>
        <v>0.32879663432366812</v>
      </c>
      <c r="CE31" s="370">
        <f t="shared" si="25"/>
        <v>4.1074394062795686E-2</v>
      </c>
    </row>
    <row r="32" spans="1:83">
      <c r="A32" s="363">
        <v>210030</v>
      </c>
      <c r="B32" s="363" t="s">
        <v>358</v>
      </c>
      <c r="C32" s="87">
        <v>21587.976060000001</v>
      </c>
      <c r="D32" s="87">
        <v>37618.570930000002</v>
      </c>
      <c r="E32" s="87">
        <v>59206.546990000003</v>
      </c>
      <c r="F32" s="87">
        <v>15758.062769083001</v>
      </c>
      <c r="G32" s="87">
        <v>17236.820008979001</v>
      </c>
      <c r="H32" s="87">
        <v>32994.882778061998</v>
      </c>
      <c r="I32" s="87">
        <v>568.524474457</v>
      </c>
      <c r="J32" s="87">
        <v>1176.789382078</v>
      </c>
      <c r="K32" s="87">
        <v>1745.313856535</v>
      </c>
      <c r="L32" s="87">
        <v>909.899655112</v>
      </c>
      <c r="M32" s="87">
        <v>3832.698340764</v>
      </c>
      <c r="N32" s="87">
        <v>4742.5979958759999</v>
      </c>
      <c r="O32" s="87">
        <v>2441.640565749</v>
      </c>
      <c r="P32" s="87">
        <v>8121.4614100449999</v>
      </c>
      <c r="Q32" s="87">
        <v>10563.101975793999</v>
      </c>
      <c r="R32" s="87">
        <v>196.25088</v>
      </c>
      <c r="S32" s="87">
        <v>1078.0554393719999</v>
      </c>
      <c r="T32" s="87">
        <v>1878.5876406279999</v>
      </c>
      <c r="U32" s="87">
        <v>2956.6430799999998</v>
      </c>
      <c r="V32" s="87">
        <v>831.79315622700005</v>
      </c>
      <c r="W32" s="87">
        <v>5372.2141475059998</v>
      </c>
      <c r="X32" s="87">
        <v>6204.0073037330003</v>
      </c>
      <c r="Y32" s="87">
        <v>39983.387583663003</v>
      </c>
      <c r="Z32" s="87">
        <v>44408.749855763002</v>
      </c>
      <c r="AA32" s="131">
        <f t="shared" si="0"/>
        <v>0.55728436221140953</v>
      </c>
      <c r="AB32" s="351">
        <f t="shared" si="1"/>
        <v>2.9478392935662737E-2</v>
      </c>
      <c r="AC32" s="351">
        <f t="shared" si="2"/>
        <v>0.17841104595372045</v>
      </c>
      <c r="AD32" s="351">
        <f t="shared" si="3"/>
        <v>0.20788943888938319</v>
      </c>
      <c r="AE32" s="351">
        <f t="shared" si="4"/>
        <v>4.9937772599698768E-2</v>
      </c>
      <c r="AF32" s="364">
        <f t="shared" si="5"/>
        <v>59206.546990000003</v>
      </c>
      <c r="AG32" s="365">
        <f t="shared" si="6"/>
        <v>0</v>
      </c>
      <c r="AH32" s="365">
        <f t="shared" si="7"/>
        <v>32994.882778062005</v>
      </c>
      <c r="AI32" s="365">
        <f t="shared" si="8"/>
        <v>0</v>
      </c>
      <c r="AJ32" s="365">
        <f t="shared" si="9"/>
        <v>1745.313856535</v>
      </c>
      <c r="AK32" s="365">
        <f t="shared" si="10"/>
        <v>0</v>
      </c>
      <c r="AL32" s="365">
        <f t="shared" si="11"/>
        <v>4742.5979958759999</v>
      </c>
      <c r="AM32" s="365">
        <f t="shared" si="12"/>
        <v>0</v>
      </c>
      <c r="AN32" s="365">
        <f t="shared" si="13"/>
        <v>10563.101975793999</v>
      </c>
      <c r="AO32" s="365">
        <f t="shared" si="14"/>
        <v>0</v>
      </c>
      <c r="AP32" s="365">
        <f t="shared" si="15"/>
        <v>196.25088</v>
      </c>
      <c r="AQ32" s="365">
        <f t="shared" si="16"/>
        <v>2956.6430799999998</v>
      </c>
      <c r="AR32" s="365">
        <f t="shared" si="17"/>
        <v>0</v>
      </c>
      <c r="AS32" s="365">
        <f t="shared" si="18"/>
        <v>6204.0073037330003</v>
      </c>
      <c r="AT32" s="365">
        <f t="shared" si="19"/>
        <v>0</v>
      </c>
      <c r="AU32" s="365">
        <f t="shared" si="20"/>
        <v>59402.797870000009</v>
      </c>
      <c r="AV32" s="365">
        <f t="shared" si="21"/>
        <v>196.25088000000687</v>
      </c>
      <c r="AW32" s="366">
        <f t="shared" si="22"/>
        <v>-6.8780536821577698E-12</v>
      </c>
      <c r="AX32" s="116">
        <f t="shared" si="23"/>
        <v>0</v>
      </c>
      <c r="AY32" s="190">
        <v>210030</v>
      </c>
      <c r="AZ32" s="190" t="s">
        <v>358</v>
      </c>
      <c r="BA32" s="190" t="s">
        <v>187</v>
      </c>
      <c r="BB32" s="367">
        <v>21587.976060000001</v>
      </c>
      <c r="BC32" s="367">
        <v>37618.570930000002</v>
      </c>
      <c r="BD32" s="367">
        <v>59206.546990000003</v>
      </c>
      <c r="BE32" s="367">
        <v>15758.062769083001</v>
      </c>
      <c r="BF32" s="367">
        <v>17236.820008979001</v>
      </c>
      <c r="BG32" s="367">
        <v>32994.882778061998</v>
      </c>
      <c r="BH32" s="367">
        <v>568.524474457</v>
      </c>
      <c r="BI32" s="367">
        <v>1176.789382078</v>
      </c>
      <c r="BJ32" s="367">
        <v>1745.313856535</v>
      </c>
      <c r="BK32" s="367">
        <v>909.899655112</v>
      </c>
      <c r="BL32" s="367">
        <v>3832.698340764</v>
      </c>
      <c r="BM32" s="367">
        <v>4742.5979958759999</v>
      </c>
      <c r="BN32" s="367">
        <v>2441.640565749</v>
      </c>
      <c r="BO32" s="367">
        <v>8121.4614100449999</v>
      </c>
      <c r="BP32" s="367">
        <v>10563.101975793999</v>
      </c>
      <c r="BQ32" s="367">
        <v>196.25088</v>
      </c>
      <c r="BR32" s="367">
        <v>1078.0554393719999</v>
      </c>
      <c r="BS32" s="367">
        <v>1878.5876406279999</v>
      </c>
      <c r="BT32" s="367">
        <v>2956.6430799999998</v>
      </c>
      <c r="BU32" s="367">
        <v>831.79315622700005</v>
      </c>
      <c r="BV32" s="367">
        <v>5372.2141475059998</v>
      </c>
      <c r="BW32" s="367">
        <v>6204.0073037330003</v>
      </c>
      <c r="BX32" s="367">
        <v>39983.387583663003</v>
      </c>
      <c r="BY32" s="367">
        <v>44408.749855763002</v>
      </c>
      <c r="BZ32" s="368">
        <v>0.110680023</v>
      </c>
      <c r="CA32" s="367" t="s">
        <v>446</v>
      </c>
      <c r="CB32" s="190"/>
      <c r="CC32" s="369">
        <f t="shared" si="24"/>
        <v>0.20788943888938319</v>
      </c>
      <c r="CE32" s="370">
        <f t="shared" si="25"/>
        <v>4.9937772599698768E-2</v>
      </c>
    </row>
    <row r="33" spans="1:83">
      <c r="A33" s="363">
        <v>210032</v>
      </c>
      <c r="B33" s="363" t="s">
        <v>254</v>
      </c>
      <c r="C33" s="87">
        <v>67431.199999999997</v>
      </c>
      <c r="D33" s="87">
        <v>93440.1</v>
      </c>
      <c r="E33" s="87">
        <v>160871.29999999999</v>
      </c>
      <c r="F33" s="87">
        <v>33732.5</v>
      </c>
      <c r="G33" s="87">
        <v>32169.3</v>
      </c>
      <c r="H33" s="87">
        <v>65901.8</v>
      </c>
      <c r="I33" s="87">
        <v>2023.7</v>
      </c>
      <c r="J33" s="87">
        <v>1594.1</v>
      </c>
      <c r="K33" s="87">
        <v>3617.8</v>
      </c>
      <c r="L33" s="87">
        <v>6909.6</v>
      </c>
      <c r="M33" s="87">
        <v>19212.8</v>
      </c>
      <c r="N33" s="87">
        <v>26122.400000000001</v>
      </c>
      <c r="O33" s="87">
        <v>17146.8</v>
      </c>
      <c r="P33" s="87">
        <v>24594.9</v>
      </c>
      <c r="Q33" s="87">
        <v>41741.699999999997</v>
      </c>
      <c r="R33" s="87">
        <v>0</v>
      </c>
      <c r="S33" s="87">
        <v>1957.2</v>
      </c>
      <c r="T33" s="87">
        <v>4694.4572500000004</v>
      </c>
      <c r="U33" s="87">
        <v>6651.6572500000002</v>
      </c>
      <c r="V33" s="87">
        <v>5661.4</v>
      </c>
      <c r="W33" s="87">
        <v>11174.542750000001</v>
      </c>
      <c r="X33" s="87">
        <v>16835.942749999998</v>
      </c>
      <c r="Y33" s="87">
        <v>113135.2</v>
      </c>
      <c r="Z33" s="87">
        <v>124091.593124526</v>
      </c>
      <c r="AA33" s="131">
        <f t="shared" si="0"/>
        <v>0.40965542020236057</v>
      </c>
      <c r="AB33" s="351">
        <f t="shared" si="1"/>
        <v>2.2488784512837284E-2</v>
      </c>
      <c r="AC33" s="351">
        <f t="shared" si="2"/>
        <v>0.25947263433564594</v>
      </c>
      <c r="AD33" s="351">
        <f t="shared" si="3"/>
        <v>0.28196141884848325</v>
      </c>
      <c r="AE33" s="351">
        <f t="shared" si="4"/>
        <v>4.1347693777572511E-2</v>
      </c>
      <c r="AF33" s="364">
        <f t="shared" si="5"/>
        <v>160871.29999999999</v>
      </c>
      <c r="AG33" s="365">
        <f t="shared" si="6"/>
        <v>0</v>
      </c>
      <c r="AH33" s="365">
        <f t="shared" si="7"/>
        <v>65901.8</v>
      </c>
      <c r="AI33" s="365">
        <f t="shared" si="8"/>
        <v>0</v>
      </c>
      <c r="AJ33" s="365">
        <f t="shared" si="9"/>
        <v>3617.8</v>
      </c>
      <c r="AK33" s="365">
        <f t="shared" si="10"/>
        <v>0</v>
      </c>
      <c r="AL33" s="365">
        <f t="shared" si="11"/>
        <v>26122.400000000001</v>
      </c>
      <c r="AM33" s="365">
        <f t="shared" si="12"/>
        <v>0</v>
      </c>
      <c r="AN33" s="365">
        <f t="shared" si="13"/>
        <v>41741.699999999997</v>
      </c>
      <c r="AO33" s="365">
        <f t="shared" si="14"/>
        <v>0</v>
      </c>
      <c r="AP33" s="365">
        <f t="shared" si="15"/>
        <v>0</v>
      </c>
      <c r="AQ33" s="365">
        <f t="shared" si="16"/>
        <v>6651.6572500000002</v>
      </c>
      <c r="AR33" s="365">
        <f t="shared" si="17"/>
        <v>0</v>
      </c>
      <c r="AS33" s="365">
        <f t="shared" si="18"/>
        <v>16835.942750000002</v>
      </c>
      <c r="AT33" s="365">
        <f t="shared" si="19"/>
        <v>0</v>
      </c>
      <c r="AU33" s="365">
        <f t="shared" si="20"/>
        <v>160871.29999999999</v>
      </c>
      <c r="AV33" s="365">
        <f t="shared" si="21"/>
        <v>0</v>
      </c>
      <c r="AW33" s="366">
        <f t="shared" si="22"/>
        <v>0</v>
      </c>
      <c r="AX33" s="116">
        <f t="shared" si="23"/>
        <v>0</v>
      </c>
      <c r="AY33" s="190">
        <v>210032</v>
      </c>
      <c r="AZ33" s="190" t="s">
        <v>254</v>
      </c>
      <c r="BA33" s="190" t="s">
        <v>187</v>
      </c>
      <c r="BB33" s="367">
        <v>67431.199999999997</v>
      </c>
      <c r="BC33" s="367">
        <v>93440.1</v>
      </c>
      <c r="BD33" s="367">
        <v>160871.29999999999</v>
      </c>
      <c r="BE33" s="367">
        <v>33732.5</v>
      </c>
      <c r="BF33" s="367">
        <v>32169.3</v>
      </c>
      <c r="BG33" s="367">
        <v>65901.8</v>
      </c>
      <c r="BH33" s="367">
        <v>2023.7</v>
      </c>
      <c r="BI33" s="367">
        <v>1594.1</v>
      </c>
      <c r="BJ33" s="367">
        <v>3617.8</v>
      </c>
      <c r="BK33" s="367">
        <v>6909.6</v>
      </c>
      <c r="BL33" s="367">
        <v>19212.8</v>
      </c>
      <c r="BM33" s="367">
        <v>26122.400000000001</v>
      </c>
      <c r="BN33" s="367">
        <v>17146.8</v>
      </c>
      <c r="BO33" s="367">
        <v>24594.9</v>
      </c>
      <c r="BP33" s="367">
        <v>41741.699999999997</v>
      </c>
      <c r="BQ33" s="367">
        <v>0</v>
      </c>
      <c r="BR33" s="367">
        <v>1957.2</v>
      </c>
      <c r="BS33" s="367">
        <v>4694.4572500000004</v>
      </c>
      <c r="BT33" s="367">
        <v>6651.6572500000002</v>
      </c>
      <c r="BU33" s="367">
        <v>5661.4</v>
      </c>
      <c r="BV33" s="367">
        <v>11174.542750000001</v>
      </c>
      <c r="BW33" s="367">
        <v>16835.942749999998</v>
      </c>
      <c r="BX33" s="367">
        <v>113135.2</v>
      </c>
      <c r="BY33" s="367">
        <v>124091.593124526</v>
      </c>
      <c r="BZ33" s="368">
        <v>9.6843362000000002E-2</v>
      </c>
      <c r="CA33" s="367" t="s">
        <v>446</v>
      </c>
      <c r="CB33" s="190"/>
      <c r="CC33" s="369">
        <f t="shared" si="24"/>
        <v>0.28196141884848325</v>
      </c>
      <c r="CE33" s="370">
        <f t="shared" si="25"/>
        <v>4.1347693777572511E-2</v>
      </c>
    </row>
    <row r="34" spans="1:83">
      <c r="A34" s="363">
        <v>210033</v>
      </c>
      <c r="B34" s="363" t="s">
        <v>66</v>
      </c>
      <c r="C34" s="87">
        <v>138562.4</v>
      </c>
      <c r="D34" s="87">
        <v>96473.7</v>
      </c>
      <c r="E34" s="87">
        <v>235036.1</v>
      </c>
      <c r="F34" s="87">
        <v>75482.899999999994</v>
      </c>
      <c r="G34" s="87">
        <v>34664.1</v>
      </c>
      <c r="H34" s="87">
        <v>110147</v>
      </c>
      <c r="I34" s="87">
        <v>2795.1</v>
      </c>
      <c r="J34" s="87">
        <v>1268</v>
      </c>
      <c r="K34" s="87">
        <v>4063.1</v>
      </c>
      <c r="L34" s="87">
        <v>9244.5</v>
      </c>
      <c r="M34" s="87">
        <v>11293.3</v>
      </c>
      <c r="N34" s="87">
        <v>20537.8</v>
      </c>
      <c r="O34" s="87">
        <v>19074.8</v>
      </c>
      <c r="P34" s="87">
        <v>16652.599999999999</v>
      </c>
      <c r="Q34" s="87">
        <v>35727.4</v>
      </c>
      <c r="R34" s="87">
        <v>0</v>
      </c>
      <c r="S34" s="87">
        <v>1355</v>
      </c>
      <c r="T34" s="87">
        <v>2219.4</v>
      </c>
      <c r="U34" s="87">
        <v>3574.4</v>
      </c>
      <c r="V34" s="87">
        <v>30610.1</v>
      </c>
      <c r="W34" s="87">
        <v>30376.3</v>
      </c>
      <c r="X34" s="87">
        <v>60986.400000000001</v>
      </c>
      <c r="Y34" s="87">
        <v>183624.37262918201</v>
      </c>
      <c r="Z34" s="87">
        <v>195453.07681316699</v>
      </c>
      <c r="AA34" s="131">
        <f t="shared" si="0"/>
        <v>0.46863864742479983</v>
      </c>
      <c r="AB34" s="351">
        <f t="shared" si="1"/>
        <v>1.7287131636374155E-2</v>
      </c>
      <c r="AC34" s="351">
        <f t="shared" si="2"/>
        <v>0.15200813832428295</v>
      </c>
      <c r="AD34" s="351">
        <f t="shared" si="3"/>
        <v>0.16929526996065711</v>
      </c>
      <c r="AE34" s="351">
        <f t="shared" si="4"/>
        <v>1.5207876577257706E-2</v>
      </c>
      <c r="AF34" s="364">
        <f t="shared" si="5"/>
        <v>235036.09999999998</v>
      </c>
      <c r="AG34" s="365">
        <f t="shared" si="6"/>
        <v>0</v>
      </c>
      <c r="AH34" s="365">
        <f t="shared" si="7"/>
        <v>110147</v>
      </c>
      <c r="AI34" s="365">
        <f t="shared" si="8"/>
        <v>0</v>
      </c>
      <c r="AJ34" s="365">
        <f t="shared" si="9"/>
        <v>4063.1</v>
      </c>
      <c r="AK34" s="365">
        <f t="shared" si="10"/>
        <v>0</v>
      </c>
      <c r="AL34" s="365">
        <f t="shared" si="11"/>
        <v>20537.8</v>
      </c>
      <c r="AM34" s="365">
        <f t="shared" si="12"/>
        <v>0</v>
      </c>
      <c r="AN34" s="365">
        <f t="shared" si="13"/>
        <v>35727.399999999994</v>
      </c>
      <c r="AO34" s="365">
        <f t="shared" si="14"/>
        <v>0</v>
      </c>
      <c r="AP34" s="365">
        <f t="shared" si="15"/>
        <v>0</v>
      </c>
      <c r="AQ34" s="365">
        <f t="shared" si="16"/>
        <v>3574.4</v>
      </c>
      <c r="AR34" s="365">
        <f t="shared" si="17"/>
        <v>0</v>
      </c>
      <c r="AS34" s="365">
        <f t="shared" si="18"/>
        <v>60986.399999999994</v>
      </c>
      <c r="AT34" s="365">
        <f t="shared" si="19"/>
        <v>0</v>
      </c>
      <c r="AU34" s="365">
        <f t="shared" si="20"/>
        <v>235036.09999999998</v>
      </c>
      <c r="AV34" s="365">
        <f t="shared" si="21"/>
        <v>0</v>
      </c>
      <c r="AW34" s="366">
        <f t="shared" si="22"/>
        <v>0</v>
      </c>
      <c r="AX34" s="116">
        <f t="shared" si="23"/>
        <v>0</v>
      </c>
      <c r="AY34" s="190">
        <v>210033</v>
      </c>
      <c r="AZ34" s="190" t="s">
        <v>66</v>
      </c>
      <c r="BA34" s="190" t="s">
        <v>187</v>
      </c>
      <c r="BB34" s="367">
        <v>138562.4</v>
      </c>
      <c r="BC34" s="367">
        <v>96473.7</v>
      </c>
      <c r="BD34" s="367">
        <v>235036.1</v>
      </c>
      <c r="BE34" s="367">
        <v>75482.899999999994</v>
      </c>
      <c r="BF34" s="367">
        <v>34664.1</v>
      </c>
      <c r="BG34" s="367">
        <v>110147</v>
      </c>
      <c r="BH34" s="367">
        <v>2795.1</v>
      </c>
      <c r="BI34" s="367">
        <v>1268</v>
      </c>
      <c r="BJ34" s="367">
        <v>4063.1</v>
      </c>
      <c r="BK34" s="367">
        <v>9244.5</v>
      </c>
      <c r="BL34" s="367">
        <v>11293.3</v>
      </c>
      <c r="BM34" s="367">
        <v>20537.8</v>
      </c>
      <c r="BN34" s="367">
        <v>19074.8</v>
      </c>
      <c r="BO34" s="367">
        <v>16652.599999999999</v>
      </c>
      <c r="BP34" s="367">
        <v>35727.4</v>
      </c>
      <c r="BQ34" s="367">
        <v>0</v>
      </c>
      <c r="BR34" s="367">
        <v>1355</v>
      </c>
      <c r="BS34" s="367">
        <v>2219.4</v>
      </c>
      <c r="BT34" s="367">
        <v>3574.4</v>
      </c>
      <c r="BU34" s="367">
        <v>30610.1</v>
      </c>
      <c r="BV34" s="367">
        <v>30376.3</v>
      </c>
      <c r="BW34" s="367">
        <v>60986.400000000001</v>
      </c>
      <c r="BX34" s="367">
        <v>183624.37262918201</v>
      </c>
      <c r="BY34" s="367">
        <v>195453.07681316699</v>
      </c>
      <c r="BZ34" s="368">
        <v>6.4417942000000006E-2</v>
      </c>
      <c r="CA34" s="367" t="s">
        <v>446</v>
      </c>
      <c r="CB34" s="190"/>
      <c r="CC34" s="369">
        <f t="shared" si="24"/>
        <v>0.16929526996065711</v>
      </c>
      <c r="CE34" s="370">
        <f t="shared" si="25"/>
        <v>1.5207876577257706E-2</v>
      </c>
    </row>
    <row r="35" spans="1:83">
      <c r="A35" s="363">
        <v>210034</v>
      </c>
      <c r="B35" s="363" t="s">
        <v>359</v>
      </c>
      <c r="C35" s="87">
        <v>116534.36775999999</v>
      </c>
      <c r="D35" s="87">
        <v>77103.121400000004</v>
      </c>
      <c r="E35" s="87">
        <v>193637.48916</v>
      </c>
      <c r="F35" s="87">
        <v>46039.675939444001</v>
      </c>
      <c r="G35" s="87">
        <v>15483.763587629001</v>
      </c>
      <c r="H35" s="87">
        <v>61523.439527073002</v>
      </c>
      <c r="I35" s="87">
        <v>5104.8706009050002</v>
      </c>
      <c r="J35" s="87">
        <v>2180.5073070230001</v>
      </c>
      <c r="K35" s="87">
        <v>7285.3779079289998</v>
      </c>
      <c r="L35" s="87">
        <v>7780.002376378</v>
      </c>
      <c r="M35" s="87">
        <v>8752.3776168780005</v>
      </c>
      <c r="N35" s="87">
        <v>16532.379993256</v>
      </c>
      <c r="O35" s="87">
        <v>38741.956617736003</v>
      </c>
      <c r="P35" s="87">
        <v>29791.979791090998</v>
      </c>
      <c r="Q35" s="87">
        <v>68533.936408826004</v>
      </c>
      <c r="R35" s="87">
        <v>1277.039</v>
      </c>
      <c r="S35" s="87">
        <v>3392.9618547139999</v>
      </c>
      <c r="T35" s="87">
        <v>5735.3818752859997</v>
      </c>
      <c r="U35" s="87">
        <v>9128.3437300000005</v>
      </c>
      <c r="V35" s="87">
        <v>15474.900370822999</v>
      </c>
      <c r="W35" s="87">
        <v>15159.111222093999</v>
      </c>
      <c r="X35" s="87">
        <v>30634.011592916999</v>
      </c>
      <c r="Y35" s="87">
        <v>142765.630624204</v>
      </c>
      <c r="Z35" s="87">
        <v>157717.57756949999</v>
      </c>
      <c r="AA35" s="131">
        <f t="shared" si="0"/>
        <v>0.31772483620791547</v>
      </c>
      <c r="AB35" s="351">
        <f t="shared" si="1"/>
        <v>3.7623798674177145E-2</v>
      </c>
      <c r="AC35" s="351">
        <f t="shared" si="2"/>
        <v>0.35392906975878702</v>
      </c>
      <c r="AD35" s="351">
        <f t="shared" si="3"/>
        <v>0.39155286843296416</v>
      </c>
      <c r="AE35" s="351">
        <f t="shared" si="4"/>
        <v>4.7141407222324475E-2</v>
      </c>
      <c r="AF35" s="364">
        <f t="shared" si="5"/>
        <v>193637.48916</v>
      </c>
      <c r="AG35" s="365">
        <f t="shared" si="6"/>
        <v>0</v>
      </c>
      <c r="AH35" s="365">
        <f t="shared" si="7"/>
        <v>61523.439527073002</v>
      </c>
      <c r="AI35" s="365">
        <f t="shared" si="8"/>
        <v>0</v>
      </c>
      <c r="AJ35" s="365">
        <f t="shared" si="9"/>
        <v>7285.3779079280002</v>
      </c>
      <c r="AK35" s="365">
        <f t="shared" si="10"/>
        <v>-9.9953467724844813E-10</v>
      </c>
      <c r="AL35" s="365">
        <f t="shared" si="11"/>
        <v>16532.379993256</v>
      </c>
      <c r="AM35" s="365">
        <f t="shared" si="12"/>
        <v>0</v>
      </c>
      <c r="AN35" s="365">
        <f t="shared" si="13"/>
        <v>68533.936408826994</v>
      </c>
      <c r="AO35" s="365">
        <f t="shared" si="14"/>
        <v>9.8953023552894592E-10</v>
      </c>
      <c r="AP35" s="365">
        <f t="shared" si="15"/>
        <v>1277.039</v>
      </c>
      <c r="AQ35" s="365">
        <f t="shared" si="16"/>
        <v>9128.3437300000005</v>
      </c>
      <c r="AR35" s="365">
        <f t="shared" si="17"/>
        <v>0</v>
      </c>
      <c r="AS35" s="365">
        <f t="shared" si="18"/>
        <v>30634.011592916999</v>
      </c>
      <c r="AT35" s="365">
        <f t="shared" si="19"/>
        <v>0</v>
      </c>
      <c r="AU35" s="365">
        <f t="shared" si="20"/>
        <v>194914.52816000098</v>
      </c>
      <c r="AV35" s="365">
        <f t="shared" si="21"/>
        <v>1277.0390000009793</v>
      </c>
      <c r="AW35" s="366">
        <f t="shared" si="22"/>
        <v>-9.7929842013400048E-10</v>
      </c>
      <c r="AX35" s="116">
        <f t="shared" si="23"/>
        <v>0</v>
      </c>
      <c r="AY35" s="190">
        <v>210034</v>
      </c>
      <c r="AZ35" s="190" t="s">
        <v>359</v>
      </c>
      <c r="BA35" s="190" t="s">
        <v>187</v>
      </c>
      <c r="BB35" s="367">
        <v>116534.36775999999</v>
      </c>
      <c r="BC35" s="367">
        <v>77103.121400000004</v>
      </c>
      <c r="BD35" s="367">
        <v>193637.48916</v>
      </c>
      <c r="BE35" s="367">
        <v>46039.675939444001</v>
      </c>
      <c r="BF35" s="367">
        <v>15483.763587629001</v>
      </c>
      <c r="BG35" s="367">
        <v>61523.439527073002</v>
      </c>
      <c r="BH35" s="367">
        <v>5104.8706009050002</v>
      </c>
      <c r="BI35" s="367">
        <v>2180.5073070230001</v>
      </c>
      <c r="BJ35" s="367">
        <v>7285.3779079289998</v>
      </c>
      <c r="BK35" s="367">
        <v>7780.002376378</v>
      </c>
      <c r="BL35" s="367">
        <v>8752.3776168780005</v>
      </c>
      <c r="BM35" s="367">
        <v>16532.379993256</v>
      </c>
      <c r="BN35" s="367">
        <v>38741.956617736003</v>
      </c>
      <c r="BO35" s="367">
        <v>29791.979791090998</v>
      </c>
      <c r="BP35" s="367">
        <v>68533.936408826004</v>
      </c>
      <c r="BQ35" s="367">
        <v>1277.039</v>
      </c>
      <c r="BR35" s="367">
        <v>3392.9618547139999</v>
      </c>
      <c r="BS35" s="367">
        <v>5735.3818752859997</v>
      </c>
      <c r="BT35" s="367">
        <v>9128.3437300000005</v>
      </c>
      <c r="BU35" s="367">
        <v>15474.900370822999</v>
      </c>
      <c r="BV35" s="367">
        <v>15159.111222093999</v>
      </c>
      <c r="BW35" s="367">
        <v>30634.011592916999</v>
      </c>
      <c r="BX35" s="367">
        <v>142765.630624204</v>
      </c>
      <c r="BY35" s="367">
        <v>157717.57756949999</v>
      </c>
      <c r="BZ35" s="368">
        <v>0.104730718</v>
      </c>
      <c r="CA35" s="367" t="s">
        <v>446</v>
      </c>
      <c r="CB35" s="190"/>
      <c r="CC35" s="369">
        <f t="shared" si="24"/>
        <v>0.39155286843296416</v>
      </c>
      <c r="CE35" s="370">
        <f t="shared" si="25"/>
        <v>4.7141407222324475E-2</v>
      </c>
    </row>
    <row r="36" spans="1:83">
      <c r="A36" s="363">
        <v>210035</v>
      </c>
      <c r="B36" s="363" t="s">
        <v>360</v>
      </c>
      <c r="C36" s="87">
        <v>75175.311310000005</v>
      </c>
      <c r="D36" s="87">
        <v>73687.009770000004</v>
      </c>
      <c r="E36" s="87">
        <v>148862.32107999999</v>
      </c>
      <c r="F36" s="87">
        <v>40677.466684093</v>
      </c>
      <c r="G36" s="87">
        <v>20722.772317997002</v>
      </c>
      <c r="H36" s="87">
        <v>61400.239002089998</v>
      </c>
      <c r="I36" s="87">
        <v>3025.3402518970001</v>
      </c>
      <c r="J36" s="87">
        <v>1858.4833178389999</v>
      </c>
      <c r="K36" s="87">
        <v>4883.8235697359996</v>
      </c>
      <c r="L36" s="87">
        <v>9256.1882562310002</v>
      </c>
      <c r="M36" s="87">
        <v>15775.103670158</v>
      </c>
      <c r="N36" s="87">
        <v>25031.291926389</v>
      </c>
      <c r="O36" s="87">
        <v>13925.135769363</v>
      </c>
      <c r="P36" s="87">
        <v>20967.589519790999</v>
      </c>
      <c r="Q36" s="87">
        <v>34892.725289153997</v>
      </c>
      <c r="R36" s="87">
        <v>2272.82285</v>
      </c>
      <c r="S36" s="87">
        <v>3986.198278326</v>
      </c>
      <c r="T36" s="87">
        <v>3891.9104416740001</v>
      </c>
      <c r="U36" s="87">
        <v>7878.1087200000002</v>
      </c>
      <c r="V36" s="87">
        <v>4304.98207009</v>
      </c>
      <c r="W36" s="87">
        <v>10471.150502541001</v>
      </c>
      <c r="X36" s="87">
        <v>14776.132572631001</v>
      </c>
      <c r="Y36" s="87">
        <v>111549.249673618</v>
      </c>
      <c r="Z36" s="87">
        <v>123876.325855641</v>
      </c>
      <c r="AA36" s="131">
        <f t="shared" si="0"/>
        <v>0.41246326509374348</v>
      </c>
      <c r="AB36" s="351">
        <f t="shared" si="1"/>
        <v>3.280765430972548E-2</v>
      </c>
      <c r="AC36" s="351">
        <f t="shared" si="2"/>
        <v>0.23439595080881698</v>
      </c>
      <c r="AD36" s="351">
        <f t="shared" si="3"/>
        <v>0.26720360511854246</v>
      </c>
      <c r="AE36" s="351">
        <f t="shared" si="4"/>
        <v>5.2922113956333054E-2</v>
      </c>
      <c r="AF36" s="364">
        <f t="shared" si="5"/>
        <v>148862.32108000002</v>
      </c>
      <c r="AG36" s="365">
        <f t="shared" si="6"/>
        <v>0</v>
      </c>
      <c r="AH36" s="365">
        <f t="shared" si="7"/>
        <v>61400.239002090006</v>
      </c>
      <c r="AI36" s="365">
        <f t="shared" si="8"/>
        <v>0</v>
      </c>
      <c r="AJ36" s="365">
        <f t="shared" si="9"/>
        <v>4883.8235697359996</v>
      </c>
      <c r="AK36" s="365">
        <f t="shared" si="10"/>
        <v>0</v>
      </c>
      <c r="AL36" s="365">
        <f t="shared" si="11"/>
        <v>25031.291926389</v>
      </c>
      <c r="AM36" s="365">
        <f t="shared" si="12"/>
        <v>0</v>
      </c>
      <c r="AN36" s="365">
        <f t="shared" si="13"/>
        <v>34892.725289153997</v>
      </c>
      <c r="AO36" s="365">
        <f t="shared" si="14"/>
        <v>0</v>
      </c>
      <c r="AP36" s="365">
        <f t="shared" si="15"/>
        <v>2272.82285</v>
      </c>
      <c r="AQ36" s="365">
        <f t="shared" si="16"/>
        <v>7878.1087200000002</v>
      </c>
      <c r="AR36" s="365">
        <f t="shared" si="17"/>
        <v>0</v>
      </c>
      <c r="AS36" s="365">
        <f t="shared" si="18"/>
        <v>14776.132572631001</v>
      </c>
      <c r="AT36" s="365">
        <f t="shared" si="19"/>
        <v>0</v>
      </c>
      <c r="AU36" s="365">
        <f t="shared" si="20"/>
        <v>151135.14393000002</v>
      </c>
      <c r="AV36" s="365">
        <f t="shared" si="21"/>
        <v>2272.8228499999968</v>
      </c>
      <c r="AW36" s="366">
        <f t="shared" si="22"/>
        <v>0</v>
      </c>
      <c r="AX36" s="116">
        <f t="shared" si="23"/>
        <v>0</v>
      </c>
      <c r="AY36" s="190">
        <v>210035</v>
      </c>
      <c r="AZ36" s="190" t="s">
        <v>360</v>
      </c>
      <c r="BA36" s="190" t="s">
        <v>187</v>
      </c>
      <c r="BB36" s="367">
        <v>75175.311310000005</v>
      </c>
      <c r="BC36" s="367">
        <v>73687.009770000004</v>
      </c>
      <c r="BD36" s="367">
        <v>148862.32107999999</v>
      </c>
      <c r="BE36" s="367">
        <v>40677.466684093</v>
      </c>
      <c r="BF36" s="367">
        <v>20722.772317997002</v>
      </c>
      <c r="BG36" s="367">
        <v>61400.239002089998</v>
      </c>
      <c r="BH36" s="367">
        <v>3025.3402518970001</v>
      </c>
      <c r="BI36" s="367">
        <v>1858.4833178389999</v>
      </c>
      <c r="BJ36" s="367">
        <v>4883.8235697359996</v>
      </c>
      <c r="BK36" s="367">
        <v>9256.1882562310002</v>
      </c>
      <c r="BL36" s="367">
        <v>15775.103670158</v>
      </c>
      <c r="BM36" s="367">
        <v>25031.291926389</v>
      </c>
      <c r="BN36" s="367">
        <v>13925.135769363</v>
      </c>
      <c r="BO36" s="367">
        <v>20967.589519790999</v>
      </c>
      <c r="BP36" s="367">
        <v>34892.725289153997</v>
      </c>
      <c r="BQ36" s="367">
        <v>2272.82285</v>
      </c>
      <c r="BR36" s="367">
        <v>3986.198278326</v>
      </c>
      <c r="BS36" s="367">
        <v>3891.9104416740001</v>
      </c>
      <c r="BT36" s="367">
        <v>7878.1087200000002</v>
      </c>
      <c r="BU36" s="367">
        <v>4304.98207009</v>
      </c>
      <c r="BV36" s="367">
        <v>10471.150502541001</v>
      </c>
      <c r="BW36" s="367">
        <v>14776.132572631001</v>
      </c>
      <c r="BX36" s="367">
        <v>111549.249673618</v>
      </c>
      <c r="BY36" s="367">
        <v>123876.325855641</v>
      </c>
      <c r="BZ36" s="368">
        <v>0.11050792600000001</v>
      </c>
      <c r="CA36" s="367" t="s">
        <v>446</v>
      </c>
      <c r="CB36" s="190"/>
      <c r="CC36" s="369">
        <f t="shared" si="24"/>
        <v>0.26720360511854246</v>
      </c>
      <c r="CE36" s="370">
        <f t="shared" si="25"/>
        <v>5.2922113956333054E-2</v>
      </c>
    </row>
    <row r="37" spans="1:83">
      <c r="A37" s="363">
        <v>210037</v>
      </c>
      <c r="B37" s="363" t="s">
        <v>361</v>
      </c>
      <c r="C37" s="87">
        <v>105485.25917</v>
      </c>
      <c r="D37" s="87">
        <v>97582.532179999995</v>
      </c>
      <c r="E37" s="87">
        <v>203067.79135000001</v>
      </c>
      <c r="F37" s="87">
        <v>63335.380805524997</v>
      </c>
      <c r="G37" s="87">
        <v>43535.795296468001</v>
      </c>
      <c r="H37" s="87">
        <v>106871.176101993</v>
      </c>
      <c r="I37" s="87">
        <v>3628.0923780540002</v>
      </c>
      <c r="J37" s="87">
        <v>1609.1108812750001</v>
      </c>
      <c r="K37" s="87">
        <v>5237.2032593289996</v>
      </c>
      <c r="L37" s="87">
        <v>7003.7730895490004</v>
      </c>
      <c r="M37" s="87">
        <v>8723.3486348089991</v>
      </c>
      <c r="N37" s="87">
        <v>15727.121724357999</v>
      </c>
      <c r="O37" s="87">
        <v>16665.670157454999</v>
      </c>
      <c r="P37" s="87">
        <v>21206.744177776</v>
      </c>
      <c r="Q37" s="87">
        <v>37872.414335230002</v>
      </c>
      <c r="R37" s="87">
        <v>588.45079999999996</v>
      </c>
      <c r="S37" s="87">
        <v>3321.2655066510001</v>
      </c>
      <c r="T37" s="87">
        <v>3072.4434933490002</v>
      </c>
      <c r="U37" s="87">
        <v>6393.7089999999998</v>
      </c>
      <c r="V37" s="87">
        <v>11531.077232766</v>
      </c>
      <c r="W37" s="87">
        <v>19435.089696324001</v>
      </c>
      <c r="X37" s="87">
        <v>30966.166929088999</v>
      </c>
      <c r="Y37" s="87">
        <v>157866.21021974401</v>
      </c>
      <c r="Z37" s="87">
        <v>171695.054943519</v>
      </c>
      <c r="AA37" s="131">
        <f t="shared" si="0"/>
        <v>0.52628324458305575</v>
      </c>
      <c r="AB37" s="351">
        <f t="shared" si="1"/>
        <v>2.5790418187502481E-2</v>
      </c>
      <c r="AC37" s="351">
        <f t="shared" si="2"/>
        <v>0.1865013357532142</v>
      </c>
      <c r="AD37" s="351">
        <f t="shared" si="3"/>
        <v>0.2122917539407167</v>
      </c>
      <c r="AE37" s="351">
        <f t="shared" si="4"/>
        <v>3.1485588913408941E-2</v>
      </c>
      <c r="AF37" s="364">
        <f t="shared" si="5"/>
        <v>203067.79135000001</v>
      </c>
      <c r="AG37" s="365">
        <f t="shared" si="6"/>
        <v>0</v>
      </c>
      <c r="AH37" s="365">
        <f t="shared" si="7"/>
        <v>106871.176101993</v>
      </c>
      <c r="AI37" s="365">
        <f t="shared" si="8"/>
        <v>0</v>
      </c>
      <c r="AJ37" s="365">
        <f t="shared" si="9"/>
        <v>5237.2032593290005</v>
      </c>
      <c r="AK37" s="365">
        <f t="shared" si="10"/>
        <v>0</v>
      </c>
      <c r="AL37" s="365">
        <f t="shared" si="11"/>
        <v>15727.121724357999</v>
      </c>
      <c r="AM37" s="365">
        <f t="shared" si="12"/>
        <v>0</v>
      </c>
      <c r="AN37" s="365">
        <f t="shared" si="13"/>
        <v>37872.414335230998</v>
      </c>
      <c r="AO37" s="365">
        <f t="shared" si="14"/>
        <v>9.9680619314312935E-10</v>
      </c>
      <c r="AP37" s="365">
        <f t="shared" si="15"/>
        <v>588.45079999999996</v>
      </c>
      <c r="AQ37" s="365">
        <f t="shared" si="16"/>
        <v>6393.7090000000007</v>
      </c>
      <c r="AR37" s="365">
        <f t="shared" si="17"/>
        <v>0</v>
      </c>
      <c r="AS37" s="365">
        <f t="shared" si="18"/>
        <v>30966.166929090003</v>
      </c>
      <c r="AT37" s="365">
        <f t="shared" si="19"/>
        <v>1.0040821507573128E-9</v>
      </c>
      <c r="AU37" s="365">
        <f t="shared" si="20"/>
        <v>203656.24215000297</v>
      </c>
      <c r="AV37" s="365">
        <f t="shared" si="21"/>
        <v>588.45080000296002</v>
      </c>
      <c r="AW37" s="366">
        <f t="shared" si="22"/>
        <v>-2.9600641937577166E-9</v>
      </c>
      <c r="AX37" s="116">
        <f t="shared" si="23"/>
        <v>0</v>
      </c>
      <c r="AY37" s="190">
        <v>210037</v>
      </c>
      <c r="AZ37" s="190" t="s">
        <v>361</v>
      </c>
      <c r="BA37" s="190" t="s">
        <v>187</v>
      </c>
      <c r="BB37" s="367">
        <v>105485.25917</v>
      </c>
      <c r="BC37" s="367">
        <v>97582.532179999995</v>
      </c>
      <c r="BD37" s="367">
        <v>203067.79135000001</v>
      </c>
      <c r="BE37" s="367">
        <v>63335.380805524997</v>
      </c>
      <c r="BF37" s="367">
        <v>43535.795296468001</v>
      </c>
      <c r="BG37" s="367">
        <v>106871.176101993</v>
      </c>
      <c r="BH37" s="367">
        <v>3628.0923780540002</v>
      </c>
      <c r="BI37" s="367">
        <v>1609.1108812750001</v>
      </c>
      <c r="BJ37" s="367">
        <v>5237.2032593289996</v>
      </c>
      <c r="BK37" s="367">
        <v>7003.7730895490004</v>
      </c>
      <c r="BL37" s="367">
        <v>8723.3486348089991</v>
      </c>
      <c r="BM37" s="367">
        <v>15727.121724357999</v>
      </c>
      <c r="BN37" s="367">
        <v>16665.670157454999</v>
      </c>
      <c r="BO37" s="367">
        <v>21206.744177776</v>
      </c>
      <c r="BP37" s="367">
        <v>37872.414335230002</v>
      </c>
      <c r="BQ37" s="367">
        <v>588.45079999999996</v>
      </c>
      <c r="BR37" s="367">
        <v>3321.2655066510001</v>
      </c>
      <c r="BS37" s="367">
        <v>3072.4434933490002</v>
      </c>
      <c r="BT37" s="367">
        <v>6393.7089999999998</v>
      </c>
      <c r="BU37" s="367">
        <v>11531.077232766</v>
      </c>
      <c r="BV37" s="367">
        <v>19435.089696324001</v>
      </c>
      <c r="BW37" s="367">
        <v>30966.166929088999</v>
      </c>
      <c r="BX37" s="367">
        <v>157866.21021974401</v>
      </c>
      <c r="BY37" s="367">
        <v>171695.054943519</v>
      </c>
      <c r="BZ37" s="368">
        <v>8.7598510000000004E-2</v>
      </c>
      <c r="CA37" s="367" t="s">
        <v>446</v>
      </c>
      <c r="CB37" s="190"/>
      <c r="CC37" s="369">
        <f t="shared" si="24"/>
        <v>0.2122917539407167</v>
      </c>
      <c r="CE37" s="370">
        <f t="shared" si="25"/>
        <v>3.1485588913408941E-2</v>
      </c>
    </row>
    <row r="38" spans="1:83">
      <c r="A38" s="363">
        <v>210038</v>
      </c>
      <c r="B38" s="363" t="s">
        <v>341</v>
      </c>
      <c r="C38" s="87">
        <v>119674.22874000001</v>
      </c>
      <c r="D38" s="87">
        <v>119462.17126</v>
      </c>
      <c r="E38" s="87">
        <v>239136.4</v>
      </c>
      <c r="F38" s="87">
        <v>54086.121491013</v>
      </c>
      <c r="G38" s="87">
        <v>29354.340562740999</v>
      </c>
      <c r="H38" s="87">
        <v>83440.462053754003</v>
      </c>
      <c r="I38" s="87">
        <v>9054.3329291659993</v>
      </c>
      <c r="J38" s="87">
        <v>5627.39471306</v>
      </c>
      <c r="K38" s="87">
        <v>14681.727642226</v>
      </c>
      <c r="L38" s="87">
        <v>4253.8942207529999</v>
      </c>
      <c r="M38" s="87">
        <v>9275.6684356450005</v>
      </c>
      <c r="N38" s="87">
        <v>13529.562656397</v>
      </c>
      <c r="O38" s="87">
        <v>38548.510281903997</v>
      </c>
      <c r="P38" s="87">
        <v>47439.440358211999</v>
      </c>
      <c r="Q38" s="87">
        <v>85987.950640114999</v>
      </c>
      <c r="R38" s="87">
        <v>465.90375999999998</v>
      </c>
      <c r="S38" s="87">
        <v>8723.1940951720007</v>
      </c>
      <c r="T38" s="87">
        <v>8707.7464948279994</v>
      </c>
      <c r="U38" s="87">
        <v>17430.940589999998</v>
      </c>
      <c r="V38" s="87">
        <v>5008.175721992</v>
      </c>
      <c r="W38" s="87">
        <v>19057.580695515</v>
      </c>
      <c r="X38" s="87">
        <v>24065.756417507</v>
      </c>
      <c r="Y38" s="87">
        <v>170213.771817542</v>
      </c>
      <c r="Z38" s="87">
        <v>193934.40381536301</v>
      </c>
      <c r="AA38" s="131">
        <f t="shared" si="0"/>
        <v>0.34892413724449312</v>
      </c>
      <c r="AB38" s="351">
        <f t="shared" si="1"/>
        <v>6.1394784073967833E-2</v>
      </c>
      <c r="AC38" s="351">
        <f t="shared" si="2"/>
        <v>0.35957700559226868</v>
      </c>
      <c r="AD38" s="351">
        <f t="shared" si="3"/>
        <v>0.42097178966623655</v>
      </c>
      <c r="AE38" s="351">
        <f t="shared" si="4"/>
        <v>7.2891205981188978E-2</v>
      </c>
      <c r="AF38" s="364">
        <f t="shared" si="5"/>
        <v>239136.40000000002</v>
      </c>
      <c r="AG38" s="365">
        <f t="shared" si="6"/>
        <v>0</v>
      </c>
      <c r="AH38" s="365">
        <f t="shared" si="7"/>
        <v>83440.462053754003</v>
      </c>
      <c r="AI38" s="365">
        <f t="shared" si="8"/>
        <v>0</v>
      </c>
      <c r="AJ38" s="365">
        <f t="shared" si="9"/>
        <v>14681.727642226</v>
      </c>
      <c r="AK38" s="365">
        <f t="shared" si="10"/>
        <v>0</v>
      </c>
      <c r="AL38" s="365">
        <f t="shared" si="11"/>
        <v>13529.562656398</v>
      </c>
      <c r="AM38" s="365">
        <f t="shared" si="12"/>
        <v>1.0004441719502211E-9</v>
      </c>
      <c r="AN38" s="365">
        <f t="shared" si="13"/>
        <v>85987.950640116003</v>
      </c>
      <c r="AO38" s="365">
        <f t="shared" si="14"/>
        <v>1.0040821507573128E-9</v>
      </c>
      <c r="AP38" s="365">
        <f t="shared" si="15"/>
        <v>465.90375999999998</v>
      </c>
      <c r="AQ38" s="365">
        <f t="shared" si="16"/>
        <v>17430.940589999998</v>
      </c>
      <c r="AR38" s="365">
        <f t="shared" si="17"/>
        <v>0</v>
      </c>
      <c r="AS38" s="365">
        <f t="shared" si="18"/>
        <v>24065.756417507</v>
      </c>
      <c r="AT38" s="365">
        <f t="shared" si="19"/>
        <v>0</v>
      </c>
      <c r="AU38" s="365">
        <f t="shared" si="20"/>
        <v>239602.30376000301</v>
      </c>
      <c r="AV38" s="365">
        <f t="shared" si="21"/>
        <v>465.9037600029842</v>
      </c>
      <c r="AW38" s="366">
        <f t="shared" si="22"/>
        <v>-2.98422264677356E-9</v>
      </c>
      <c r="AX38" s="116">
        <f t="shared" si="23"/>
        <v>0</v>
      </c>
      <c r="AY38" s="190">
        <v>210038</v>
      </c>
      <c r="AZ38" s="190" t="s">
        <v>341</v>
      </c>
      <c r="BA38" s="190" t="s">
        <v>187</v>
      </c>
      <c r="BB38" s="367">
        <v>119674.22874000001</v>
      </c>
      <c r="BC38" s="367">
        <v>119462.17126</v>
      </c>
      <c r="BD38" s="367">
        <v>239136.4</v>
      </c>
      <c r="BE38" s="367">
        <v>54086.121491013</v>
      </c>
      <c r="BF38" s="367">
        <v>29354.340562740999</v>
      </c>
      <c r="BG38" s="367">
        <v>83440.462053754003</v>
      </c>
      <c r="BH38" s="367">
        <v>9054.3329291659993</v>
      </c>
      <c r="BI38" s="367">
        <v>5627.39471306</v>
      </c>
      <c r="BJ38" s="367">
        <v>14681.727642226</v>
      </c>
      <c r="BK38" s="367">
        <v>4253.8942207529999</v>
      </c>
      <c r="BL38" s="367">
        <v>9275.6684356450005</v>
      </c>
      <c r="BM38" s="367">
        <v>13529.562656397</v>
      </c>
      <c r="BN38" s="367">
        <v>38548.510281903997</v>
      </c>
      <c r="BO38" s="367">
        <v>47439.440358211999</v>
      </c>
      <c r="BP38" s="367">
        <v>85987.950640114999</v>
      </c>
      <c r="BQ38" s="367">
        <v>465.90375999999998</v>
      </c>
      <c r="BR38" s="367">
        <v>8723.1940951720007</v>
      </c>
      <c r="BS38" s="367">
        <v>8707.7464948279994</v>
      </c>
      <c r="BT38" s="367">
        <v>17430.940589999998</v>
      </c>
      <c r="BU38" s="367">
        <v>5008.175721992</v>
      </c>
      <c r="BV38" s="367">
        <v>19057.580695515</v>
      </c>
      <c r="BW38" s="367">
        <v>24065.756417507</v>
      </c>
      <c r="BX38" s="367">
        <v>170213.771817542</v>
      </c>
      <c r="BY38" s="367">
        <v>193934.40381536301</v>
      </c>
      <c r="BZ38" s="368">
        <v>0.13935788900000001</v>
      </c>
      <c r="CA38" s="367" t="s">
        <v>446</v>
      </c>
      <c r="CB38" s="190"/>
      <c r="CC38" s="369">
        <f t="shared" si="24"/>
        <v>0.42097178966623655</v>
      </c>
      <c r="CE38" s="370">
        <f t="shared" si="25"/>
        <v>7.2891205981188978E-2</v>
      </c>
    </row>
    <row r="39" spans="1:83">
      <c r="A39" s="363">
        <v>210039</v>
      </c>
      <c r="B39" s="363" t="s">
        <v>342</v>
      </c>
      <c r="C39" s="87">
        <v>65446.9</v>
      </c>
      <c r="D39" s="87">
        <v>83745.100000000006</v>
      </c>
      <c r="E39" s="87">
        <v>149192</v>
      </c>
      <c r="F39" s="87">
        <v>30242.861217817001</v>
      </c>
      <c r="G39" s="87">
        <v>28624.800681114</v>
      </c>
      <c r="H39" s="87">
        <v>58867.661898931001</v>
      </c>
      <c r="I39" s="87">
        <v>1570.7673130129999</v>
      </c>
      <c r="J39" s="87">
        <v>1061.2157052770001</v>
      </c>
      <c r="K39" s="87">
        <v>2631.983018291</v>
      </c>
      <c r="L39" s="87">
        <v>6372.7258223469998</v>
      </c>
      <c r="M39" s="87">
        <v>14966.987409174</v>
      </c>
      <c r="N39" s="87">
        <v>21339.71323152</v>
      </c>
      <c r="O39" s="87">
        <v>7575.5852268680001</v>
      </c>
      <c r="P39" s="87">
        <v>11450.925248164</v>
      </c>
      <c r="Q39" s="87">
        <v>19026.510475031999</v>
      </c>
      <c r="R39" s="87">
        <v>746.78399999999999</v>
      </c>
      <c r="S39" s="87">
        <v>1525.3</v>
      </c>
      <c r="T39" s="87">
        <v>4665</v>
      </c>
      <c r="U39" s="87">
        <v>6190.3</v>
      </c>
      <c r="V39" s="87">
        <v>18159.660419954998</v>
      </c>
      <c r="W39" s="87">
        <v>22976.170956270998</v>
      </c>
      <c r="X39" s="87">
        <v>41135.831376226</v>
      </c>
      <c r="Y39" s="87">
        <v>115432.46426772101</v>
      </c>
      <c r="Z39" s="87">
        <v>125806.35088430101</v>
      </c>
      <c r="AA39" s="131">
        <f t="shared" si="0"/>
        <v>0.39457653157629768</v>
      </c>
      <c r="AB39" s="351">
        <f t="shared" si="1"/>
        <v>1.7641582781187999E-2</v>
      </c>
      <c r="AC39" s="351">
        <f t="shared" si="2"/>
        <v>0.12753036674239904</v>
      </c>
      <c r="AD39" s="351">
        <f t="shared" si="3"/>
        <v>0.14517194952358706</v>
      </c>
      <c r="AE39" s="351">
        <f t="shared" si="4"/>
        <v>4.1492171161992601E-2</v>
      </c>
      <c r="AF39" s="364">
        <f t="shared" si="5"/>
        <v>149192</v>
      </c>
      <c r="AG39" s="365">
        <f t="shared" si="6"/>
        <v>0</v>
      </c>
      <c r="AH39" s="365">
        <f t="shared" si="7"/>
        <v>58867.661898931001</v>
      </c>
      <c r="AI39" s="365">
        <f t="shared" si="8"/>
        <v>0</v>
      </c>
      <c r="AJ39" s="365">
        <f t="shared" si="9"/>
        <v>2631.98301829</v>
      </c>
      <c r="AK39" s="365">
        <f t="shared" si="10"/>
        <v>-9.999894245993346E-10</v>
      </c>
      <c r="AL39" s="365">
        <f t="shared" si="11"/>
        <v>21339.713231521</v>
      </c>
      <c r="AM39" s="365">
        <f t="shared" si="12"/>
        <v>1.0004441719502211E-9</v>
      </c>
      <c r="AN39" s="365">
        <f t="shared" si="13"/>
        <v>19026.510475031999</v>
      </c>
      <c r="AO39" s="365">
        <f t="shared" si="14"/>
        <v>0</v>
      </c>
      <c r="AP39" s="365">
        <f t="shared" si="15"/>
        <v>746.78399999999999</v>
      </c>
      <c r="AQ39" s="365">
        <f t="shared" si="16"/>
        <v>6190.3</v>
      </c>
      <c r="AR39" s="365">
        <f t="shared" si="17"/>
        <v>0</v>
      </c>
      <c r="AS39" s="365">
        <f t="shared" si="18"/>
        <v>41135.831376225993</v>
      </c>
      <c r="AT39" s="365">
        <f t="shared" si="19"/>
        <v>0</v>
      </c>
      <c r="AU39" s="365">
        <f t="shared" si="20"/>
        <v>149938.78399999999</v>
      </c>
      <c r="AV39" s="365">
        <f t="shared" si="21"/>
        <v>746.7839999999851</v>
      </c>
      <c r="AW39" s="366">
        <f t="shared" si="22"/>
        <v>1.48929757415317E-11</v>
      </c>
      <c r="AX39" s="116">
        <f t="shared" si="23"/>
        <v>0</v>
      </c>
      <c r="AY39" s="190">
        <v>210039</v>
      </c>
      <c r="AZ39" s="190" t="s">
        <v>342</v>
      </c>
      <c r="BA39" s="190" t="s">
        <v>187</v>
      </c>
      <c r="BB39" s="367">
        <v>65446.9</v>
      </c>
      <c r="BC39" s="367">
        <v>83745.100000000006</v>
      </c>
      <c r="BD39" s="367">
        <v>149192</v>
      </c>
      <c r="BE39" s="367">
        <v>30242.861217817001</v>
      </c>
      <c r="BF39" s="367">
        <v>28624.800681114</v>
      </c>
      <c r="BG39" s="367">
        <v>58867.661898931001</v>
      </c>
      <c r="BH39" s="367">
        <v>1570.7673130129999</v>
      </c>
      <c r="BI39" s="367">
        <v>1061.2157052770001</v>
      </c>
      <c r="BJ39" s="367">
        <v>2631.983018291</v>
      </c>
      <c r="BK39" s="367">
        <v>6372.7258223469998</v>
      </c>
      <c r="BL39" s="367">
        <v>14966.987409174</v>
      </c>
      <c r="BM39" s="367">
        <v>21339.71323152</v>
      </c>
      <c r="BN39" s="367">
        <v>7575.5852268680001</v>
      </c>
      <c r="BO39" s="367">
        <v>11450.925248164</v>
      </c>
      <c r="BP39" s="367">
        <v>19026.510475031999</v>
      </c>
      <c r="BQ39" s="367">
        <v>746.78399999999999</v>
      </c>
      <c r="BR39" s="367">
        <v>1525.3</v>
      </c>
      <c r="BS39" s="367">
        <v>4665</v>
      </c>
      <c r="BT39" s="367">
        <v>6190.3</v>
      </c>
      <c r="BU39" s="367">
        <v>18159.660419954998</v>
      </c>
      <c r="BV39" s="367">
        <v>22976.170956270998</v>
      </c>
      <c r="BW39" s="367">
        <v>41135.831376226</v>
      </c>
      <c r="BX39" s="367">
        <v>115432.46426772101</v>
      </c>
      <c r="BY39" s="367">
        <v>125806.35088430101</v>
      </c>
      <c r="BZ39" s="368">
        <v>8.9869748999999999E-2</v>
      </c>
      <c r="CA39" s="367" t="s">
        <v>446</v>
      </c>
      <c r="CB39" s="190"/>
      <c r="CC39" s="369">
        <f t="shared" si="24"/>
        <v>0.14517194952358706</v>
      </c>
      <c r="CE39" s="370">
        <f t="shared" si="25"/>
        <v>4.1492171161992601E-2</v>
      </c>
    </row>
    <row r="40" spans="1:83">
      <c r="A40" s="363">
        <v>210040</v>
      </c>
      <c r="B40" s="363" t="s">
        <v>67</v>
      </c>
      <c r="C40" s="87">
        <v>135561.1</v>
      </c>
      <c r="D40" s="87">
        <v>123239.9</v>
      </c>
      <c r="E40" s="87">
        <v>258801</v>
      </c>
      <c r="F40" s="87">
        <v>70286.570889455004</v>
      </c>
      <c r="G40" s="87">
        <v>39961.601695445999</v>
      </c>
      <c r="H40" s="87">
        <v>110248.172584901</v>
      </c>
      <c r="I40" s="87">
        <v>7767.2196083409999</v>
      </c>
      <c r="J40" s="87">
        <v>1731.49971031</v>
      </c>
      <c r="K40" s="87">
        <v>9498.7193186509994</v>
      </c>
      <c r="L40" s="87">
        <v>10189.796390322001</v>
      </c>
      <c r="M40" s="87">
        <v>16824.658235254999</v>
      </c>
      <c r="N40" s="87">
        <v>27014.454625577</v>
      </c>
      <c r="O40" s="87">
        <v>27215.409240045999</v>
      </c>
      <c r="P40" s="87">
        <v>23929.429204968001</v>
      </c>
      <c r="Q40" s="87">
        <v>51144.838445014</v>
      </c>
      <c r="R40" s="87">
        <v>0</v>
      </c>
      <c r="S40" s="87">
        <v>6926.7903701539999</v>
      </c>
      <c r="T40" s="87">
        <v>5518.8712698460004</v>
      </c>
      <c r="U40" s="87">
        <v>12445.66164</v>
      </c>
      <c r="V40" s="87">
        <v>13175.313501682</v>
      </c>
      <c r="W40" s="87">
        <v>35273.839884175999</v>
      </c>
      <c r="X40" s="87">
        <v>48449.153385858001</v>
      </c>
      <c r="Y40" s="87">
        <v>182672.71365479499</v>
      </c>
      <c r="Z40" s="87">
        <v>201545.244016379</v>
      </c>
      <c r="AA40" s="131">
        <f t="shared" si="0"/>
        <v>0.42599592963281052</v>
      </c>
      <c r="AB40" s="351">
        <f t="shared" si="1"/>
        <v>3.6702792178743511E-2</v>
      </c>
      <c r="AC40" s="351">
        <f t="shared" si="2"/>
        <v>0.19762225974789124</v>
      </c>
      <c r="AD40" s="351">
        <f t="shared" si="3"/>
        <v>0.23432505192663475</v>
      </c>
      <c r="AE40" s="351">
        <f t="shared" si="4"/>
        <v>4.8089696871341299E-2</v>
      </c>
      <c r="AF40" s="364">
        <f t="shared" si="5"/>
        <v>258801</v>
      </c>
      <c r="AG40" s="365">
        <f t="shared" si="6"/>
        <v>0</v>
      </c>
      <c r="AH40" s="365">
        <f t="shared" si="7"/>
        <v>110248.17258490101</v>
      </c>
      <c r="AI40" s="365">
        <f t="shared" si="8"/>
        <v>0</v>
      </c>
      <c r="AJ40" s="365">
        <f t="shared" si="9"/>
        <v>9498.7193186509994</v>
      </c>
      <c r="AK40" s="365">
        <f t="shared" si="10"/>
        <v>0</v>
      </c>
      <c r="AL40" s="365">
        <f t="shared" si="11"/>
        <v>27014.454625577</v>
      </c>
      <c r="AM40" s="365">
        <f t="shared" si="12"/>
        <v>0</v>
      </c>
      <c r="AN40" s="365">
        <f t="shared" si="13"/>
        <v>51144.838445014</v>
      </c>
      <c r="AO40" s="365">
        <f t="shared" si="14"/>
        <v>0</v>
      </c>
      <c r="AP40" s="365">
        <f t="shared" si="15"/>
        <v>0</v>
      </c>
      <c r="AQ40" s="365">
        <f t="shared" si="16"/>
        <v>12445.66164</v>
      </c>
      <c r="AR40" s="365">
        <f t="shared" si="17"/>
        <v>0</v>
      </c>
      <c r="AS40" s="365">
        <f t="shared" si="18"/>
        <v>48449.153385858001</v>
      </c>
      <c r="AT40" s="365">
        <f t="shared" si="19"/>
        <v>0</v>
      </c>
      <c r="AU40" s="365">
        <f t="shared" si="20"/>
        <v>258801.00000000102</v>
      </c>
      <c r="AV40" s="365">
        <f t="shared" si="21"/>
        <v>1.0186340659856796E-9</v>
      </c>
      <c r="AW40" s="366">
        <f t="shared" si="22"/>
        <v>-1.0186340659856796E-9</v>
      </c>
      <c r="AX40" s="116">
        <f t="shared" si="23"/>
        <v>0</v>
      </c>
      <c r="AY40" s="190">
        <v>210040</v>
      </c>
      <c r="AZ40" s="190" t="s">
        <v>67</v>
      </c>
      <c r="BA40" s="190" t="s">
        <v>187</v>
      </c>
      <c r="BB40" s="367">
        <v>135561.1</v>
      </c>
      <c r="BC40" s="367">
        <v>123239.9</v>
      </c>
      <c r="BD40" s="367">
        <v>258801</v>
      </c>
      <c r="BE40" s="367">
        <v>70286.570889455004</v>
      </c>
      <c r="BF40" s="367">
        <v>39961.601695445999</v>
      </c>
      <c r="BG40" s="367">
        <v>110248.172584901</v>
      </c>
      <c r="BH40" s="367">
        <v>7767.2196083409999</v>
      </c>
      <c r="BI40" s="367">
        <v>1731.49971031</v>
      </c>
      <c r="BJ40" s="367">
        <v>9498.7193186509994</v>
      </c>
      <c r="BK40" s="367">
        <v>10189.796390322001</v>
      </c>
      <c r="BL40" s="367">
        <v>16824.658235254999</v>
      </c>
      <c r="BM40" s="367">
        <v>27014.454625577</v>
      </c>
      <c r="BN40" s="367">
        <v>27215.409240045999</v>
      </c>
      <c r="BO40" s="367">
        <v>23929.429204968001</v>
      </c>
      <c r="BP40" s="367">
        <v>51144.838445014</v>
      </c>
      <c r="BQ40" s="367">
        <v>0</v>
      </c>
      <c r="BR40" s="367">
        <v>6926.7903701539999</v>
      </c>
      <c r="BS40" s="367">
        <v>5518.8712698460004</v>
      </c>
      <c r="BT40" s="367">
        <v>12445.66164</v>
      </c>
      <c r="BU40" s="367">
        <v>13175.313501682</v>
      </c>
      <c r="BV40" s="367">
        <v>35273.839884175999</v>
      </c>
      <c r="BW40" s="367">
        <v>48449.153385858001</v>
      </c>
      <c r="BX40" s="367">
        <v>182672.71365479499</v>
      </c>
      <c r="BY40" s="367">
        <v>201545.244016379</v>
      </c>
      <c r="BZ40" s="368">
        <v>0.103313352</v>
      </c>
      <c r="CA40" s="367" t="s">
        <v>446</v>
      </c>
      <c r="CB40" s="190"/>
      <c r="CC40" s="369">
        <f t="shared" si="24"/>
        <v>0.23432505192663475</v>
      </c>
      <c r="CE40" s="370">
        <f t="shared" si="25"/>
        <v>4.8089696871341299E-2</v>
      </c>
    </row>
    <row r="41" spans="1:83">
      <c r="A41" s="363">
        <v>210043</v>
      </c>
      <c r="B41" s="363" t="s">
        <v>362</v>
      </c>
      <c r="C41" s="87">
        <v>232972.0619</v>
      </c>
      <c r="D41" s="87">
        <v>183561.91441999999</v>
      </c>
      <c r="E41" s="87">
        <v>416533.97632000002</v>
      </c>
      <c r="F41" s="87">
        <v>117364.47246346201</v>
      </c>
      <c r="G41" s="87">
        <v>58924.631297175998</v>
      </c>
      <c r="H41" s="87">
        <v>176289.10376063801</v>
      </c>
      <c r="I41" s="87">
        <v>8274.1056352060004</v>
      </c>
      <c r="J41" s="87">
        <v>3930.4108911429998</v>
      </c>
      <c r="K41" s="87">
        <v>12204.516526349</v>
      </c>
      <c r="L41" s="87">
        <v>17194.834380974</v>
      </c>
      <c r="M41" s="87">
        <v>19623.237996398999</v>
      </c>
      <c r="N41" s="87">
        <v>36818.072377372999</v>
      </c>
      <c r="O41" s="87">
        <v>41412.695738082002</v>
      </c>
      <c r="P41" s="87">
        <v>36154.963582019998</v>
      </c>
      <c r="Q41" s="87">
        <v>77567.659320102</v>
      </c>
      <c r="R41" s="87">
        <v>941.71335999999997</v>
      </c>
      <c r="S41" s="87">
        <v>14809.438378802</v>
      </c>
      <c r="T41" s="87">
        <v>11668.561621198</v>
      </c>
      <c r="U41" s="87">
        <v>26478</v>
      </c>
      <c r="V41" s="87">
        <v>33916.515303474996</v>
      </c>
      <c r="W41" s="87">
        <v>53260.109032063003</v>
      </c>
      <c r="X41" s="87">
        <v>87176.624335537999</v>
      </c>
      <c r="Y41" s="87">
        <v>324232.95275615202</v>
      </c>
      <c r="Z41" s="87">
        <v>363487.62937856698</v>
      </c>
      <c r="AA41" s="131">
        <f t="shared" si="0"/>
        <v>0.42322862907395781</v>
      </c>
      <c r="AB41" s="351">
        <f t="shared" si="1"/>
        <v>2.9300170502712952E-2</v>
      </c>
      <c r="AC41" s="351">
        <f t="shared" si="2"/>
        <v>0.18622168593639779</v>
      </c>
      <c r="AD41" s="351">
        <f t="shared" si="3"/>
        <v>0.21552185643911076</v>
      </c>
      <c r="AE41" s="351">
        <f t="shared" si="4"/>
        <v>6.3567443486671107E-2</v>
      </c>
      <c r="AF41" s="364">
        <f t="shared" si="5"/>
        <v>416533.97632000002</v>
      </c>
      <c r="AG41" s="365">
        <f t="shared" si="6"/>
        <v>0</v>
      </c>
      <c r="AH41" s="365">
        <f t="shared" si="7"/>
        <v>176289.10376063801</v>
      </c>
      <c r="AI41" s="365">
        <f t="shared" si="8"/>
        <v>0</v>
      </c>
      <c r="AJ41" s="365">
        <f t="shared" si="9"/>
        <v>12204.516526349</v>
      </c>
      <c r="AK41" s="365">
        <f t="shared" si="10"/>
        <v>0</v>
      </c>
      <c r="AL41" s="365">
        <f t="shared" si="11"/>
        <v>36818.072377372999</v>
      </c>
      <c r="AM41" s="365">
        <f t="shared" si="12"/>
        <v>0</v>
      </c>
      <c r="AN41" s="365">
        <f t="shared" si="13"/>
        <v>77567.659320102</v>
      </c>
      <c r="AO41" s="365">
        <f t="shared" si="14"/>
        <v>0</v>
      </c>
      <c r="AP41" s="365">
        <f t="shared" si="15"/>
        <v>941.71335999999997</v>
      </c>
      <c r="AQ41" s="365">
        <f t="shared" si="16"/>
        <v>26478</v>
      </c>
      <c r="AR41" s="365">
        <f t="shared" si="17"/>
        <v>0</v>
      </c>
      <c r="AS41" s="365">
        <f t="shared" si="18"/>
        <v>87176.624335537999</v>
      </c>
      <c r="AT41" s="365">
        <f t="shared" si="19"/>
        <v>0</v>
      </c>
      <c r="AU41" s="365">
        <f t="shared" si="20"/>
        <v>417475.68968000001</v>
      </c>
      <c r="AV41" s="365">
        <f t="shared" si="21"/>
        <v>941.71335999999428</v>
      </c>
      <c r="AW41" s="366">
        <f t="shared" si="22"/>
        <v>5.6843418860808015E-12</v>
      </c>
      <c r="AX41" s="116">
        <f t="shared" si="23"/>
        <v>0</v>
      </c>
      <c r="AY41" s="190">
        <v>210043</v>
      </c>
      <c r="AZ41" s="190" t="s">
        <v>362</v>
      </c>
      <c r="BA41" s="190" t="s">
        <v>187</v>
      </c>
      <c r="BB41" s="367">
        <v>232972.0619</v>
      </c>
      <c r="BC41" s="367">
        <v>183561.91441999999</v>
      </c>
      <c r="BD41" s="367">
        <v>416533.97632000002</v>
      </c>
      <c r="BE41" s="367">
        <v>117364.47246346201</v>
      </c>
      <c r="BF41" s="367">
        <v>58924.631297175998</v>
      </c>
      <c r="BG41" s="367">
        <v>176289.10376063801</v>
      </c>
      <c r="BH41" s="367">
        <v>8274.1056352060004</v>
      </c>
      <c r="BI41" s="367">
        <v>3930.4108911429998</v>
      </c>
      <c r="BJ41" s="367">
        <v>12204.516526349</v>
      </c>
      <c r="BK41" s="367">
        <v>17194.834380974</v>
      </c>
      <c r="BL41" s="367">
        <v>19623.237996398999</v>
      </c>
      <c r="BM41" s="367">
        <v>36818.072377372999</v>
      </c>
      <c r="BN41" s="367">
        <v>41412.695738082002</v>
      </c>
      <c r="BO41" s="367">
        <v>36154.963582019998</v>
      </c>
      <c r="BP41" s="367">
        <v>77567.659320102</v>
      </c>
      <c r="BQ41" s="367">
        <v>941.71335999999997</v>
      </c>
      <c r="BR41" s="367">
        <v>14809.438378802</v>
      </c>
      <c r="BS41" s="367">
        <v>11668.561621198</v>
      </c>
      <c r="BT41" s="367">
        <v>26478</v>
      </c>
      <c r="BU41" s="367">
        <v>33916.515303474996</v>
      </c>
      <c r="BV41" s="367">
        <v>53260.109032063003</v>
      </c>
      <c r="BW41" s="367">
        <v>87176.624335537999</v>
      </c>
      <c r="BX41" s="367">
        <v>324232.95275615202</v>
      </c>
      <c r="BY41" s="367">
        <v>363487.62937856698</v>
      </c>
      <c r="BZ41" s="368">
        <v>0.121069362</v>
      </c>
      <c r="CA41" s="367" t="s">
        <v>446</v>
      </c>
      <c r="CB41" s="190"/>
      <c r="CC41" s="369">
        <f t="shared" si="24"/>
        <v>0.21552185643911076</v>
      </c>
      <c r="CE41" s="370">
        <f t="shared" si="25"/>
        <v>6.3567443486671107E-2</v>
      </c>
    </row>
    <row r="42" spans="1:83">
      <c r="A42" s="363">
        <v>210044</v>
      </c>
      <c r="B42" s="363" t="s">
        <v>71</v>
      </c>
      <c r="C42" s="87">
        <v>235552.05626000001</v>
      </c>
      <c r="D42" s="87">
        <v>227091.22145000001</v>
      </c>
      <c r="E42" s="87">
        <v>462643.27770999999</v>
      </c>
      <c r="F42" s="87">
        <v>98642.414975762003</v>
      </c>
      <c r="G42" s="87">
        <v>76383.256328186995</v>
      </c>
      <c r="H42" s="87">
        <v>175025.67130394801</v>
      </c>
      <c r="I42" s="87">
        <v>4468.3692480749996</v>
      </c>
      <c r="J42" s="87">
        <v>3818.7688408240001</v>
      </c>
      <c r="K42" s="87">
        <v>8287.1380888990006</v>
      </c>
      <c r="L42" s="87">
        <v>26596.287098126999</v>
      </c>
      <c r="M42" s="87">
        <v>35607.769453941</v>
      </c>
      <c r="N42" s="87">
        <v>62204.056552068003</v>
      </c>
      <c r="O42" s="87">
        <v>29776.549282290998</v>
      </c>
      <c r="P42" s="87">
        <v>24549.284063956002</v>
      </c>
      <c r="Q42" s="87">
        <v>54325.833346246996</v>
      </c>
      <c r="R42" s="87">
        <v>8709.5969999999998</v>
      </c>
      <c r="S42" s="87">
        <v>6320.5339999999997</v>
      </c>
      <c r="T42" s="87">
        <v>8930.0589999999993</v>
      </c>
      <c r="U42" s="87">
        <v>15250.593000000001</v>
      </c>
      <c r="V42" s="87">
        <v>69747.901655744994</v>
      </c>
      <c r="W42" s="87">
        <v>77802.083763092</v>
      </c>
      <c r="X42" s="87">
        <v>147549.98541883699</v>
      </c>
      <c r="Y42" s="87">
        <v>357450.57025640202</v>
      </c>
      <c r="Z42" s="87">
        <v>385753.77297958301</v>
      </c>
      <c r="AA42" s="131">
        <f t="shared" si="0"/>
        <v>0.37831668530945317</v>
      </c>
      <c r="AB42" s="351">
        <f t="shared" si="1"/>
        <v>1.7912587274408968E-2</v>
      </c>
      <c r="AC42" s="351">
        <f t="shared" si="2"/>
        <v>0.1174248842761749</v>
      </c>
      <c r="AD42" s="351">
        <f t="shared" si="3"/>
        <v>0.13533747155058387</v>
      </c>
      <c r="AE42" s="351">
        <f t="shared" si="4"/>
        <v>3.2964043215947411E-2</v>
      </c>
      <c r="AF42" s="364">
        <f t="shared" si="5"/>
        <v>462643.27771000005</v>
      </c>
      <c r="AG42" s="365">
        <f t="shared" si="6"/>
        <v>0</v>
      </c>
      <c r="AH42" s="365">
        <f t="shared" si="7"/>
        <v>175025.671303949</v>
      </c>
      <c r="AI42" s="365">
        <f t="shared" si="8"/>
        <v>9.8953023552894592E-10</v>
      </c>
      <c r="AJ42" s="365">
        <f t="shared" si="9"/>
        <v>8287.1380888989988</v>
      </c>
      <c r="AK42" s="365">
        <f t="shared" si="10"/>
        <v>0</v>
      </c>
      <c r="AL42" s="365">
        <f t="shared" si="11"/>
        <v>62204.056552067996</v>
      </c>
      <c r="AM42" s="365">
        <f t="shared" si="12"/>
        <v>0</v>
      </c>
      <c r="AN42" s="365">
        <f t="shared" si="13"/>
        <v>54325.833346247004</v>
      </c>
      <c r="AO42" s="365">
        <f t="shared" si="14"/>
        <v>0</v>
      </c>
      <c r="AP42" s="365">
        <f t="shared" si="15"/>
        <v>8709.5969999999998</v>
      </c>
      <c r="AQ42" s="365">
        <f t="shared" si="16"/>
        <v>15250.592999999999</v>
      </c>
      <c r="AR42" s="365">
        <f t="shared" si="17"/>
        <v>0</v>
      </c>
      <c r="AS42" s="365">
        <f t="shared" si="18"/>
        <v>147549.98541883699</v>
      </c>
      <c r="AT42" s="365">
        <f t="shared" si="19"/>
        <v>0</v>
      </c>
      <c r="AU42" s="365">
        <f t="shared" si="20"/>
        <v>471352.87471000094</v>
      </c>
      <c r="AV42" s="365">
        <f t="shared" si="21"/>
        <v>8709.597000000882</v>
      </c>
      <c r="AW42" s="366">
        <f t="shared" si="22"/>
        <v>-8.8220986071974039E-10</v>
      </c>
      <c r="AX42" s="116">
        <f t="shared" si="23"/>
        <v>0</v>
      </c>
      <c r="AY42" s="190">
        <v>210044</v>
      </c>
      <c r="AZ42" s="190" t="s">
        <v>71</v>
      </c>
      <c r="BA42" s="190" t="s">
        <v>187</v>
      </c>
      <c r="BB42" s="367">
        <v>235552.05626000001</v>
      </c>
      <c r="BC42" s="367">
        <v>227091.22145000001</v>
      </c>
      <c r="BD42" s="367">
        <v>462643.27770999999</v>
      </c>
      <c r="BE42" s="367">
        <v>98642.414975762003</v>
      </c>
      <c r="BF42" s="367">
        <v>76383.256328186995</v>
      </c>
      <c r="BG42" s="367">
        <v>175025.67130394801</v>
      </c>
      <c r="BH42" s="367">
        <v>4468.3692480749996</v>
      </c>
      <c r="BI42" s="367">
        <v>3818.7688408240001</v>
      </c>
      <c r="BJ42" s="367">
        <v>8287.1380888990006</v>
      </c>
      <c r="BK42" s="367">
        <v>26596.287098126999</v>
      </c>
      <c r="BL42" s="367">
        <v>35607.769453941</v>
      </c>
      <c r="BM42" s="367">
        <v>62204.056552068003</v>
      </c>
      <c r="BN42" s="367">
        <v>29776.549282290998</v>
      </c>
      <c r="BO42" s="367">
        <v>24549.284063956002</v>
      </c>
      <c r="BP42" s="367">
        <v>54325.833346246996</v>
      </c>
      <c r="BQ42" s="367">
        <v>8709.5969999999998</v>
      </c>
      <c r="BR42" s="367">
        <v>6320.5339999999997</v>
      </c>
      <c r="BS42" s="367">
        <v>8930.0589999999993</v>
      </c>
      <c r="BT42" s="367">
        <v>15250.593000000001</v>
      </c>
      <c r="BU42" s="367">
        <v>69747.901655744994</v>
      </c>
      <c r="BV42" s="367">
        <v>77802.083763092</v>
      </c>
      <c r="BW42" s="367">
        <v>147549.98541883699</v>
      </c>
      <c r="BX42" s="367">
        <v>357450.57025640202</v>
      </c>
      <c r="BY42" s="367">
        <v>385753.77297958301</v>
      </c>
      <c r="BZ42" s="368">
        <v>7.9180745999999996E-2</v>
      </c>
      <c r="CA42" s="367" t="s">
        <v>446</v>
      </c>
      <c r="CB42" s="190"/>
      <c r="CC42" s="369">
        <f t="shared" si="24"/>
        <v>0.13533747155058387</v>
      </c>
      <c r="CE42" s="370">
        <f t="shared" si="25"/>
        <v>3.2964043215947411E-2</v>
      </c>
    </row>
    <row r="43" spans="1:83">
      <c r="A43" s="363">
        <v>210045</v>
      </c>
      <c r="B43" s="363" t="s">
        <v>68</v>
      </c>
      <c r="C43" s="87">
        <v>4802.5</v>
      </c>
      <c r="D43" s="87">
        <v>12094.9</v>
      </c>
      <c r="E43" s="87">
        <v>16897.400000000001</v>
      </c>
      <c r="F43" s="87">
        <v>2320.3000000000002</v>
      </c>
      <c r="G43" s="87">
        <v>5256.1</v>
      </c>
      <c r="H43" s="87">
        <v>7576.4</v>
      </c>
      <c r="I43" s="87">
        <v>26.8</v>
      </c>
      <c r="J43" s="87">
        <v>225.4</v>
      </c>
      <c r="K43" s="87">
        <v>252.2</v>
      </c>
      <c r="L43" s="87">
        <v>135.9</v>
      </c>
      <c r="M43" s="87">
        <v>1398.3</v>
      </c>
      <c r="N43" s="87">
        <v>1534.2</v>
      </c>
      <c r="O43" s="87">
        <v>554.6</v>
      </c>
      <c r="P43" s="87">
        <v>4164.8999999999996</v>
      </c>
      <c r="Q43" s="87">
        <v>4719.5</v>
      </c>
      <c r="R43" s="87">
        <v>632</v>
      </c>
      <c r="S43" s="87">
        <v>60.6</v>
      </c>
      <c r="T43" s="87">
        <v>713.5</v>
      </c>
      <c r="U43" s="87">
        <v>774.1</v>
      </c>
      <c r="V43" s="87">
        <v>1704.3</v>
      </c>
      <c r="W43" s="87">
        <v>336.7</v>
      </c>
      <c r="X43" s="87">
        <v>2041</v>
      </c>
      <c r="Y43" s="87">
        <v>14464.959001339001</v>
      </c>
      <c r="Z43" s="87">
        <v>15989.880513108999</v>
      </c>
      <c r="AA43" s="131">
        <f t="shared" si="0"/>
        <v>0.4483766733343591</v>
      </c>
      <c r="AB43" s="351">
        <f t="shared" si="1"/>
        <v>1.4925373134328356E-2</v>
      </c>
      <c r="AC43" s="351">
        <f t="shared" si="2"/>
        <v>0.27930332477185837</v>
      </c>
      <c r="AD43" s="351">
        <f t="shared" si="3"/>
        <v>0.29422869790618672</v>
      </c>
      <c r="AE43" s="351">
        <f t="shared" si="4"/>
        <v>4.5811781694225145E-2</v>
      </c>
      <c r="AF43" s="364">
        <f t="shared" si="5"/>
        <v>16897.400000000001</v>
      </c>
      <c r="AG43" s="365">
        <f t="shared" si="6"/>
        <v>0</v>
      </c>
      <c r="AH43" s="365">
        <f t="shared" si="7"/>
        <v>7576.4000000000005</v>
      </c>
      <c r="AI43" s="365">
        <f t="shared" si="8"/>
        <v>0</v>
      </c>
      <c r="AJ43" s="365">
        <f t="shared" si="9"/>
        <v>252.20000000000002</v>
      </c>
      <c r="AK43" s="365">
        <f t="shared" si="10"/>
        <v>0</v>
      </c>
      <c r="AL43" s="365">
        <f t="shared" si="11"/>
        <v>1534.2</v>
      </c>
      <c r="AM43" s="365">
        <f t="shared" si="12"/>
        <v>0</v>
      </c>
      <c r="AN43" s="365">
        <f t="shared" si="13"/>
        <v>4719.5</v>
      </c>
      <c r="AO43" s="365">
        <f t="shared" si="14"/>
        <v>0</v>
      </c>
      <c r="AP43" s="365">
        <f t="shared" si="15"/>
        <v>632</v>
      </c>
      <c r="AQ43" s="365">
        <f t="shared" si="16"/>
        <v>774.1</v>
      </c>
      <c r="AR43" s="365">
        <f t="shared" si="17"/>
        <v>0</v>
      </c>
      <c r="AS43" s="365">
        <f t="shared" si="18"/>
        <v>2041</v>
      </c>
      <c r="AT43" s="365">
        <f t="shared" si="19"/>
        <v>0</v>
      </c>
      <c r="AU43" s="365">
        <f t="shared" si="20"/>
        <v>17529.400000000001</v>
      </c>
      <c r="AV43" s="365">
        <f t="shared" si="21"/>
        <v>632</v>
      </c>
      <c r="AW43" s="366">
        <f t="shared" si="22"/>
        <v>0</v>
      </c>
      <c r="AX43" s="116">
        <f t="shared" si="23"/>
        <v>0</v>
      </c>
      <c r="AY43" s="190">
        <v>210045</v>
      </c>
      <c r="AZ43" s="190" t="s">
        <v>68</v>
      </c>
      <c r="BA43" s="190" t="s">
        <v>187</v>
      </c>
      <c r="BB43" s="367">
        <v>4802.5</v>
      </c>
      <c r="BC43" s="367">
        <v>12094.9</v>
      </c>
      <c r="BD43" s="367">
        <v>16897.400000000001</v>
      </c>
      <c r="BE43" s="367">
        <v>2320.3000000000002</v>
      </c>
      <c r="BF43" s="367">
        <v>5256.1</v>
      </c>
      <c r="BG43" s="367">
        <v>7576.4</v>
      </c>
      <c r="BH43" s="367">
        <v>26.8</v>
      </c>
      <c r="BI43" s="367">
        <v>225.4</v>
      </c>
      <c r="BJ43" s="367">
        <v>252.2</v>
      </c>
      <c r="BK43" s="367">
        <v>135.9</v>
      </c>
      <c r="BL43" s="367">
        <v>1398.3</v>
      </c>
      <c r="BM43" s="367">
        <v>1534.2</v>
      </c>
      <c r="BN43" s="367">
        <v>554.6</v>
      </c>
      <c r="BO43" s="367">
        <v>4164.8999999999996</v>
      </c>
      <c r="BP43" s="367">
        <v>4719.5</v>
      </c>
      <c r="BQ43" s="367">
        <v>632</v>
      </c>
      <c r="BR43" s="367">
        <v>60.6</v>
      </c>
      <c r="BS43" s="367">
        <v>713.5</v>
      </c>
      <c r="BT43" s="367">
        <v>774.1</v>
      </c>
      <c r="BU43" s="367">
        <v>1704.3</v>
      </c>
      <c r="BV43" s="367">
        <v>336.7</v>
      </c>
      <c r="BW43" s="367">
        <v>2041</v>
      </c>
      <c r="BX43" s="367">
        <v>14464.959001339001</v>
      </c>
      <c r="BY43" s="367">
        <v>15989.880513108999</v>
      </c>
      <c r="BZ43" s="368">
        <v>0.105421765</v>
      </c>
      <c r="CA43" s="367" t="s">
        <v>446</v>
      </c>
      <c r="CB43" s="190"/>
      <c r="CC43" s="369">
        <f t="shared" si="24"/>
        <v>0.29422869790618672</v>
      </c>
      <c r="CE43" s="370">
        <f t="shared" si="25"/>
        <v>4.5811781694225145E-2</v>
      </c>
    </row>
    <row r="44" spans="1:83">
      <c r="A44" s="363">
        <v>210048</v>
      </c>
      <c r="B44" s="363" t="s">
        <v>363</v>
      </c>
      <c r="C44" s="87">
        <v>186159.92800000001</v>
      </c>
      <c r="D44" s="87">
        <v>116876.57399999999</v>
      </c>
      <c r="E44" s="87">
        <v>303036.50199999998</v>
      </c>
      <c r="F44" s="87">
        <v>77159.823999999993</v>
      </c>
      <c r="G44" s="87">
        <v>26727.893</v>
      </c>
      <c r="H44" s="87">
        <v>103887.717</v>
      </c>
      <c r="I44" s="87">
        <v>10734.61</v>
      </c>
      <c r="J44" s="87">
        <v>4964.3990000000003</v>
      </c>
      <c r="K44" s="87">
        <v>15699.009</v>
      </c>
      <c r="L44" s="87">
        <v>19454.483</v>
      </c>
      <c r="M44" s="87">
        <v>18189.23</v>
      </c>
      <c r="N44" s="87">
        <v>37643.713000000003</v>
      </c>
      <c r="O44" s="87">
        <v>21845.811000000002</v>
      </c>
      <c r="P44" s="87">
        <v>13830.752</v>
      </c>
      <c r="Q44" s="87">
        <v>35676.563000000002</v>
      </c>
      <c r="R44" s="87">
        <v>1835.0177000000001</v>
      </c>
      <c r="S44" s="87">
        <v>3962</v>
      </c>
      <c r="T44" s="87">
        <v>4785</v>
      </c>
      <c r="U44" s="87">
        <v>8747</v>
      </c>
      <c r="V44" s="87">
        <v>53003.199999999997</v>
      </c>
      <c r="W44" s="87">
        <v>48379.3</v>
      </c>
      <c r="X44" s="87">
        <v>101382.5</v>
      </c>
      <c r="Y44" s="87">
        <v>247062.10790846101</v>
      </c>
      <c r="Z44" s="87">
        <v>265390.83755568101</v>
      </c>
      <c r="AA44" s="131">
        <f t="shared" si="0"/>
        <v>0.34282245311820558</v>
      </c>
      <c r="AB44" s="351">
        <f t="shared" si="1"/>
        <v>5.1805669932132467E-2</v>
      </c>
      <c r="AC44" s="351">
        <f t="shared" si="2"/>
        <v>0.11773024953937729</v>
      </c>
      <c r="AD44" s="351">
        <f t="shared" si="3"/>
        <v>0.16953591947150976</v>
      </c>
      <c r="AE44" s="351">
        <f t="shared" si="4"/>
        <v>2.8864509530274345E-2</v>
      </c>
      <c r="AF44" s="364">
        <f t="shared" si="5"/>
        <v>303036.50199999998</v>
      </c>
      <c r="AG44" s="365">
        <f t="shared" si="6"/>
        <v>0</v>
      </c>
      <c r="AH44" s="365">
        <f t="shared" si="7"/>
        <v>103887.71699999999</v>
      </c>
      <c r="AI44" s="365">
        <f t="shared" si="8"/>
        <v>0</v>
      </c>
      <c r="AJ44" s="365">
        <f t="shared" si="9"/>
        <v>15699.009000000002</v>
      </c>
      <c r="AK44" s="365">
        <f t="shared" si="10"/>
        <v>0</v>
      </c>
      <c r="AL44" s="365">
        <f t="shared" si="11"/>
        <v>37643.713000000003</v>
      </c>
      <c r="AM44" s="365">
        <f t="shared" si="12"/>
        <v>0</v>
      </c>
      <c r="AN44" s="365">
        <f t="shared" si="13"/>
        <v>35676.563000000002</v>
      </c>
      <c r="AO44" s="365">
        <f t="shared" si="14"/>
        <v>0</v>
      </c>
      <c r="AP44" s="365">
        <f t="shared" si="15"/>
        <v>1835.0177000000001</v>
      </c>
      <c r="AQ44" s="365">
        <f t="shared" si="16"/>
        <v>8747</v>
      </c>
      <c r="AR44" s="365">
        <f t="shared" si="17"/>
        <v>0</v>
      </c>
      <c r="AS44" s="365">
        <f t="shared" si="18"/>
        <v>101382.5</v>
      </c>
      <c r="AT44" s="365">
        <f t="shared" si="19"/>
        <v>0</v>
      </c>
      <c r="AU44" s="365">
        <f t="shared" si="20"/>
        <v>304871.5197</v>
      </c>
      <c r="AV44" s="365">
        <f t="shared" si="21"/>
        <v>1835.0177000000258</v>
      </c>
      <c r="AW44" s="366">
        <f t="shared" si="22"/>
        <v>-2.5693225325085223E-11</v>
      </c>
      <c r="AX44" s="116">
        <f t="shared" si="23"/>
        <v>0</v>
      </c>
      <c r="AY44" s="190">
        <v>210048</v>
      </c>
      <c r="AZ44" s="190" t="s">
        <v>363</v>
      </c>
      <c r="BA44" s="190" t="s">
        <v>187</v>
      </c>
      <c r="BB44" s="367">
        <v>186159.92800000001</v>
      </c>
      <c r="BC44" s="367">
        <v>116876.57399999999</v>
      </c>
      <c r="BD44" s="367">
        <v>303036.50199999998</v>
      </c>
      <c r="BE44" s="367">
        <v>77159.823999999993</v>
      </c>
      <c r="BF44" s="367">
        <v>26727.893</v>
      </c>
      <c r="BG44" s="367">
        <v>103887.717</v>
      </c>
      <c r="BH44" s="367">
        <v>10734.61</v>
      </c>
      <c r="BI44" s="367">
        <v>4964.3990000000003</v>
      </c>
      <c r="BJ44" s="367">
        <v>15699.009</v>
      </c>
      <c r="BK44" s="367">
        <v>19454.483</v>
      </c>
      <c r="BL44" s="367">
        <v>18189.23</v>
      </c>
      <c r="BM44" s="367">
        <v>37643.713000000003</v>
      </c>
      <c r="BN44" s="367">
        <v>21845.811000000002</v>
      </c>
      <c r="BO44" s="367">
        <v>13830.752</v>
      </c>
      <c r="BP44" s="367">
        <v>35676.563000000002</v>
      </c>
      <c r="BQ44" s="367">
        <v>1835.0177000000001</v>
      </c>
      <c r="BR44" s="367">
        <v>3962</v>
      </c>
      <c r="BS44" s="367">
        <v>4785</v>
      </c>
      <c r="BT44" s="367">
        <v>8747</v>
      </c>
      <c r="BU44" s="367">
        <v>53003.199999999997</v>
      </c>
      <c r="BV44" s="367">
        <v>48379.3</v>
      </c>
      <c r="BW44" s="367">
        <v>101382.5</v>
      </c>
      <c r="BX44" s="367">
        <v>247062.10790846101</v>
      </c>
      <c r="BY44" s="367">
        <v>265390.83755568101</v>
      </c>
      <c r="BZ44" s="368">
        <v>7.4186729000000007E-2</v>
      </c>
      <c r="CA44" s="367" t="s">
        <v>446</v>
      </c>
      <c r="CB44" s="190"/>
      <c r="CC44" s="369">
        <f t="shared" si="24"/>
        <v>0.16953591947150976</v>
      </c>
      <c r="CE44" s="370">
        <f t="shared" si="25"/>
        <v>2.8864509530274345E-2</v>
      </c>
    </row>
    <row r="45" spans="1:83">
      <c r="A45" s="363">
        <v>210049</v>
      </c>
      <c r="B45" s="363" t="s">
        <v>364</v>
      </c>
      <c r="C45" s="87">
        <v>132741.449505</v>
      </c>
      <c r="D45" s="87">
        <v>208674.58027000001</v>
      </c>
      <c r="E45" s="87">
        <v>341416.029775</v>
      </c>
      <c r="F45" s="87">
        <v>69979.075671961007</v>
      </c>
      <c r="G45" s="87">
        <v>83189.835812228994</v>
      </c>
      <c r="H45" s="87">
        <v>153168.91148419</v>
      </c>
      <c r="I45" s="87">
        <v>2022.8020054420001</v>
      </c>
      <c r="J45" s="87">
        <v>2787.1492102850002</v>
      </c>
      <c r="K45" s="87">
        <v>4809.9512157270001</v>
      </c>
      <c r="L45" s="87">
        <v>10827.27679426</v>
      </c>
      <c r="M45" s="87">
        <v>24233.070058678</v>
      </c>
      <c r="N45" s="87">
        <v>35060.346852937997</v>
      </c>
      <c r="O45" s="87">
        <v>16765.916331275999</v>
      </c>
      <c r="P45" s="87">
        <v>23201.752596569</v>
      </c>
      <c r="Q45" s="87">
        <v>39967.668927844003</v>
      </c>
      <c r="R45" s="87">
        <v>472.25799999999998</v>
      </c>
      <c r="S45" s="87">
        <v>5005.7374301850004</v>
      </c>
      <c r="T45" s="87">
        <v>7869.2123798149996</v>
      </c>
      <c r="U45" s="87">
        <v>12874.94981</v>
      </c>
      <c r="V45" s="87">
        <v>28140.641271878001</v>
      </c>
      <c r="W45" s="87">
        <v>67393.560212423996</v>
      </c>
      <c r="X45" s="87">
        <v>95534.201484302001</v>
      </c>
      <c r="Y45" s="87">
        <v>270546.836562677</v>
      </c>
      <c r="Z45" s="87">
        <v>294153.99534809502</v>
      </c>
      <c r="AA45" s="131">
        <f t="shared" si="0"/>
        <v>0.44862835404984169</v>
      </c>
      <c r="AB45" s="351">
        <f t="shared" si="1"/>
        <v>1.4088240727586382E-2</v>
      </c>
      <c r="AC45" s="351">
        <f t="shared" si="2"/>
        <v>0.11706441831153475</v>
      </c>
      <c r="AD45" s="351">
        <f t="shared" si="3"/>
        <v>0.13115265903912113</v>
      </c>
      <c r="AE45" s="351">
        <f t="shared" si="4"/>
        <v>3.7710443233977181E-2</v>
      </c>
      <c r="AF45" s="364">
        <f t="shared" si="5"/>
        <v>341416.029775</v>
      </c>
      <c r="AG45" s="365">
        <f t="shared" si="6"/>
        <v>0</v>
      </c>
      <c r="AH45" s="365">
        <f t="shared" si="7"/>
        <v>153168.91148419</v>
      </c>
      <c r="AI45" s="365">
        <f t="shared" si="8"/>
        <v>0</v>
      </c>
      <c r="AJ45" s="365">
        <f t="shared" si="9"/>
        <v>4809.9512157270001</v>
      </c>
      <c r="AK45" s="365">
        <f t="shared" si="10"/>
        <v>0</v>
      </c>
      <c r="AL45" s="365">
        <f t="shared" si="11"/>
        <v>35060.346852938004</v>
      </c>
      <c r="AM45" s="365">
        <f t="shared" si="12"/>
        <v>0</v>
      </c>
      <c r="AN45" s="365">
        <f t="shared" si="13"/>
        <v>39967.668927844999</v>
      </c>
      <c r="AO45" s="365">
        <f t="shared" si="14"/>
        <v>9.9680619314312935E-10</v>
      </c>
      <c r="AP45" s="365">
        <f t="shared" si="15"/>
        <v>472.25799999999998</v>
      </c>
      <c r="AQ45" s="365">
        <f t="shared" si="16"/>
        <v>12874.94981</v>
      </c>
      <c r="AR45" s="365">
        <f t="shared" si="17"/>
        <v>0</v>
      </c>
      <c r="AS45" s="365">
        <f t="shared" si="18"/>
        <v>95534.201484302001</v>
      </c>
      <c r="AT45" s="365">
        <f t="shared" si="19"/>
        <v>0</v>
      </c>
      <c r="AU45" s="365">
        <f t="shared" si="20"/>
        <v>341888.287775003</v>
      </c>
      <c r="AV45" s="365">
        <f t="shared" si="21"/>
        <v>472.25800000299932</v>
      </c>
      <c r="AW45" s="366">
        <f t="shared" si="22"/>
        <v>-2.9993429961905349E-9</v>
      </c>
      <c r="AX45" s="116">
        <f t="shared" si="23"/>
        <v>0</v>
      </c>
      <c r="AY45" s="190">
        <v>210049</v>
      </c>
      <c r="AZ45" s="190" t="s">
        <v>364</v>
      </c>
      <c r="BA45" s="190" t="s">
        <v>187</v>
      </c>
      <c r="BB45" s="367">
        <v>132741.449505</v>
      </c>
      <c r="BC45" s="367">
        <v>208674.58027000001</v>
      </c>
      <c r="BD45" s="367">
        <v>341416.029775</v>
      </c>
      <c r="BE45" s="367">
        <v>69979.075671961007</v>
      </c>
      <c r="BF45" s="367">
        <v>83189.835812228994</v>
      </c>
      <c r="BG45" s="367">
        <v>153168.91148419</v>
      </c>
      <c r="BH45" s="367">
        <v>2022.8020054420001</v>
      </c>
      <c r="BI45" s="367">
        <v>2787.1492102850002</v>
      </c>
      <c r="BJ45" s="367">
        <v>4809.9512157270001</v>
      </c>
      <c r="BK45" s="367">
        <v>10827.27679426</v>
      </c>
      <c r="BL45" s="367">
        <v>24233.070058678</v>
      </c>
      <c r="BM45" s="367">
        <v>35060.346852937997</v>
      </c>
      <c r="BN45" s="367">
        <v>16765.916331275999</v>
      </c>
      <c r="BO45" s="367">
        <v>23201.752596569</v>
      </c>
      <c r="BP45" s="367">
        <v>39967.668927844003</v>
      </c>
      <c r="BQ45" s="367">
        <v>472.25799999999998</v>
      </c>
      <c r="BR45" s="367">
        <v>5005.7374301850004</v>
      </c>
      <c r="BS45" s="367">
        <v>7869.2123798149996</v>
      </c>
      <c r="BT45" s="367">
        <v>12874.94981</v>
      </c>
      <c r="BU45" s="367">
        <v>28140.641271878001</v>
      </c>
      <c r="BV45" s="367">
        <v>67393.560212423996</v>
      </c>
      <c r="BW45" s="367">
        <v>95534.201484302001</v>
      </c>
      <c r="BX45" s="367">
        <v>270546.836562677</v>
      </c>
      <c r="BY45" s="367">
        <v>294153.99534809502</v>
      </c>
      <c r="BZ45" s="368">
        <v>8.7257197999999994E-2</v>
      </c>
      <c r="CA45" s="367" t="s">
        <v>446</v>
      </c>
      <c r="CB45" s="190"/>
      <c r="CC45" s="369">
        <f t="shared" si="24"/>
        <v>0.13115265903912113</v>
      </c>
      <c r="CE45" s="370">
        <f t="shared" si="25"/>
        <v>3.7710443233977181E-2</v>
      </c>
    </row>
    <row r="46" spans="1:83">
      <c r="A46" s="363">
        <v>210051</v>
      </c>
      <c r="B46" s="363" t="s">
        <v>365</v>
      </c>
      <c r="C46" s="87">
        <v>140666.61731</v>
      </c>
      <c r="D46" s="87">
        <v>91915.06813</v>
      </c>
      <c r="E46" s="87">
        <v>232581.68544</v>
      </c>
      <c r="F46" s="87">
        <v>72658.618571933999</v>
      </c>
      <c r="G46" s="87">
        <v>28795.771306175</v>
      </c>
      <c r="H46" s="87">
        <v>101454.389878109</v>
      </c>
      <c r="I46" s="87">
        <v>8763.1497304910008</v>
      </c>
      <c r="J46" s="87">
        <v>2940.2470827789998</v>
      </c>
      <c r="K46" s="87">
        <v>11703.396813269999</v>
      </c>
      <c r="L46" s="87">
        <v>17084.432298634001</v>
      </c>
      <c r="M46" s="87">
        <v>18121.945916222001</v>
      </c>
      <c r="N46" s="87">
        <v>35206.378214855999</v>
      </c>
      <c r="O46" s="87">
        <v>19449.350011033999</v>
      </c>
      <c r="P46" s="87">
        <v>17736.184905890001</v>
      </c>
      <c r="Q46" s="87">
        <v>37185.534916923003</v>
      </c>
      <c r="R46" s="87">
        <v>1710.03919</v>
      </c>
      <c r="S46" s="87">
        <v>6586.4314088459996</v>
      </c>
      <c r="T46" s="87">
        <v>4336.2987811539997</v>
      </c>
      <c r="U46" s="87">
        <v>10922.73019</v>
      </c>
      <c r="V46" s="87">
        <v>16124.635289062</v>
      </c>
      <c r="W46" s="87">
        <v>19984.620137779999</v>
      </c>
      <c r="X46" s="87">
        <v>36109.255426841999</v>
      </c>
      <c r="Y46" s="87">
        <v>185531.67109237201</v>
      </c>
      <c r="Z46" s="87">
        <v>204377.492631095</v>
      </c>
      <c r="AA46" s="131">
        <f t="shared" si="0"/>
        <v>0.43620971138022635</v>
      </c>
      <c r="AB46" s="351">
        <f t="shared" si="1"/>
        <v>5.0319511577747035E-2</v>
      </c>
      <c r="AC46" s="351">
        <f t="shared" si="2"/>
        <v>0.15988161254646982</v>
      </c>
      <c r="AD46" s="351">
        <f t="shared" si="3"/>
        <v>0.21020112412421685</v>
      </c>
      <c r="AE46" s="351">
        <f t="shared" si="4"/>
        <v>4.6962984937254572E-2</v>
      </c>
      <c r="AF46" s="364">
        <f t="shared" si="5"/>
        <v>232581.68544</v>
      </c>
      <c r="AG46" s="365">
        <f t="shared" si="6"/>
        <v>0</v>
      </c>
      <c r="AH46" s="365">
        <f t="shared" si="7"/>
        <v>101454.389878109</v>
      </c>
      <c r="AI46" s="365">
        <f t="shared" si="8"/>
        <v>0</v>
      </c>
      <c r="AJ46" s="365">
        <f t="shared" si="9"/>
        <v>11703.396813270001</v>
      </c>
      <c r="AK46" s="365">
        <f t="shared" si="10"/>
        <v>0</v>
      </c>
      <c r="AL46" s="365">
        <f t="shared" si="11"/>
        <v>35206.378214855999</v>
      </c>
      <c r="AM46" s="365">
        <f t="shared" si="12"/>
        <v>0</v>
      </c>
      <c r="AN46" s="365">
        <f t="shared" si="13"/>
        <v>37185.534916924</v>
      </c>
      <c r="AO46" s="365">
        <f t="shared" si="14"/>
        <v>9.9680619314312935E-10</v>
      </c>
      <c r="AP46" s="365">
        <f t="shared" si="15"/>
        <v>1710.03919</v>
      </c>
      <c r="AQ46" s="365">
        <f t="shared" si="16"/>
        <v>10922.730189999998</v>
      </c>
      <c r="AR46" s="365">
        <f t="shared" si="17"/>
        <v>0</v>
      </c>
      <c r="AS46" s="365">
        <f t="shared" si="18"/>
        <v>36109.255426841999</v>
      </c>
      <c r="AT46" s="365">
        <f t="shared" si="19"/>
        <v>0</v>
      </c>
      <c r="AU46" s="365">
        <f t="shared" si="20"/>
        <v>234291.72463000199</v>
      </c>
      <c r="AV46" s="365">
        <f t="shared" si="21"/>
        <v>1710.0391900019895</v>
      </c>
      <c r="AW46" s="366">
        <f t="shared" si="22"/>
        <v>-1.9895196601282805E-9</v>
      </c>
      <c r="AX46" s="116">
        <f t="shared" si="23"/>
        <v>0</v>
      </c>
      <c r="AY46" s="190">
        <v>210051</v>
      </c>
      <c r="AZ46" s="190" t="s">
        <v>365</v>
      </c>
      <c r="BA46" s="190" t="s">
        <v>187</v>
      </c>
      <c r="BB46" s="367">
        <v>140666.61731</v>
      </c>
      <c r="BC46" s="367">
        <v>91915.06813</v>
      </c>
      <c r="BD46" s="367">
        <v>232581.68544</v>
      </c>
      <c r="BE46" s="367">
        <v>72658.618571933999</v>
      </c>
      <c r="BF46" s="367">
        <v>28795.771306175</v>
      </c>
      <c r="BG46" s="367">
        <v>101454.389878109</v>
      </c>
      <c r="BH46" s="367">
        <v>8763.1497304910008</v>
      </c>
      <c r="BI46" s="367">
        <v>2940.2470827789998</v>
      </c>
      <c r="BJ46" s="367">
        <v>11703.396813269999</v>
      </c>
      <c r="BK46" s="367">
        <v>17084.432298634001</v>
      </c>
      <c r="BL46" s="367">
        <v>18121.945916222001</v>
      </c>
      <c r="BM46" s="367">
        <v>35206.378214855999</v>
      </c>
      <c r="BN46" s="367">
        <v>19449.350011033999</v>
      </c>
      <c r="BO46" s="367">
        <v>17736.184905890001</v>
      </c>
      <c r="BP46" s="367">
        <v>37185.534916923003</v>
      </c>
      <c r="BQ46" s="367">
        <v>1710.03919</v>
      </c>
      <c r="BR46" s="367">
        <v>6586.4314088459996</v>
      </c>
      <c r="BS46" s="367">
        <v>4336.2987811539997</v>
      </c>
      <c r="BT46" s="367">
        <v>10922.73019</v>
      </c>
      <c r="BU46" s="367">
        <v>16124.635289062</v>
      </c>
      <c r="BV46" s="367">
        <v>19984.620137779999</v>
      </c>
      <c r="BW46" s="367">
        <v>36109.255426841999</v>
      </c>
      <c r="BX46" s="367">
        <v>185531.67109237201</v>
      </c>
      <c r="BY46" s="367">
        <v>204377.492631095</v>
      </c>
      <c r="BZ46" s="368">
        <v>0.10157738299999999</v>
      </c>
      <c r="CA46" s="367" t="s">
        <v>446</v>
      </c>
      <c r="CB46" s="190"/>
      <c r="CC46" s="369">
        <f t="shared" si="24"/>
        <v>0.21020112412421685</v>
      </c>
      <c r="CE46" s="370">
        <f t="shared" si="25"/>
        <v>4.6962984937254572E-2</v>
      </c>
    </row>
    <row r="47" spans="1:83">
      <c r="A47" s="363">
        <v>210055</v>
      </c>
      <c r="B47" s="363" t="s">
        <v>72</v>
      </c>
      <c r="C47" s="87">
        <v>59332.420820000007</v>
      </c>
      <c r="D47" s="87">
        <v>41159.377370000002</v>
      </c>
      <c r="E47" s="87">
        <v>100491.79819</v>
      </c>
      <c r="F47" s="87">
        <v>30735.101279999999</v>
      </c>
      <c r="G47" s="87">
        <v>8351.79637</v>
      </c>
      <c r="H47" s="87">
        <v>39086.897649999999</v>
      </c>
      <c r="I47" s="87">
        <v>4446.73794</v>
      </c>
      <c r="J47" s="87">
        <v>1470.1448</v>
      </c>
      <c r="K47" s="87">
        <v>5916.88274</v>
      </c>
      <c r="L47" s="87">
        <v>5205.8677700000007</v>
      </c>
      <c r="M47" s="87">
        <v>7165.6007900000004</v>
      </c>
      <c r="N47" s="87">
        <v>12371.468560000001</v>
      </c>
      <c r="O47" s="87">
        <v>8270.9129699999994</v>
      </c>
      <c r="P47" s="87">
        <v>9009.1930200000006</v>
      </c>
      <c r="Q47" s="87">
        <v>17280.10599</v>
      </c>
      <c r="R47" s="87">
        <v>262.76544000000001</v>
      </c>
      <c r="S47" s="87">
        <v>4215.2936399999999</v>
      </c>
      <c r="T47" s="87">
        <v>6323.9657499999994</v>
      </c>
      <c r="U47" s="87">
        <v>10539.259389999999</v>
      </c>
      <c r="V47" s="87">
        <v>6458.5072200000086</v>
      </c>
      <c r="W47" s="87">
        <v>8838.6766400000033</v>
      </c>
      <c r="X47" s="87">
        <v>15297.183860000012</v>
      </c>
      <c r="Y47" s="87">
        <v>81760.927546666673</v>
      </c>
      <c r="Z47" s="87">
        <v>102200.6883725418</v>
      </c>
      <c r="AA47" s="131">
        <f t="shared" si="0"/>
        <v>0.38895609745283233</v>
      </c>
      <c r="AB47" s="351">
        <f t="shared" si="1"/>
        <v>5.8879260263737548E-2</v>
      </c>
      <c r="AC47" s="351">
        <f t="shared" si="2"/>
        <v>0.17195538642196925</v>
      </c>
      <c r="AD47" s="351">
        <f t="shared" si="3"/>
        <v>0.2308346466857068</v>
      </c>
      <c r="AE47" s="351">
        <f t="shared" si="4"/>
        <v>0.1048768116386315</v>
      </c>
      <c r="AF47" s="364">
        <f t="shared" si="5"/>
        <v>100491.79819</v>
      </c>
      <c r="AG47" s="365">
        <f t="shared" si="6"/>
        <v>0</v>
      </c>
      <c r="AH47" s="365">
        <f t="shared" si="7"/>
        <v>39086.897649999999</v>
      </c>
      <c r="AI47" s="365">
        <f t="shared" si="8"/>
        <v>0</v>
      </c>
      <c r="AJ47" s="365">
        <f t="shared" si="9"/>
        <v>5916.88274</v>
      </c>
      <c r="AK47" s="365">
        <f t="shared" si="10"/>
        <v>0</v>
      </c>
      <c r="AL47" s="365">
        <f t="shared" si="11"/>
        <v>12371.468560000001</v>
      </c>
      <c r="AM47" s="365">
        <f t="shared" si="12"/>
        <v>0</v>
      </c>
      <c r="AN47" s="365">
        <f t="shared" si="13"/>
        <v>17280.10599</v>
      </c>
      <c r="AO47" s="365">
        <f t="shared" si="14"/>
        <v>0</v>
      </c>
      <c r="AP47" s="365">
        <f t="shared" si="15"/>
        <v>262.76544000000001</v>
      </c>
      <c r="AQ47" s="365">
        <f t="shared" si="16"/>
        <v>10539.259389999999</v>
      </c>
      <c r="AR47" s="365">
        <f t="shared" si="17"/>
        <v>0</v>
      </c>
      <c r="AS47" s="365">
        <f t="shared" si="18"/>
        <v>15297.183860000012</v>
      </c>
      <c r="AT47" s="365">
        <f t="shared" si="19"/>
        <v>0</v>
      </c>
      <c r="AU47" s="365">
        <f t="shared" si="20"/>
        <v>100754.56363000002</v>
      </c>
      <c r="AV47" s="365">
        <f t="shared" si="21"/>
        <v>262.76544000001741</v>
      </c>
      <c r="AW47" s="366">
        <f t="shared" si="22"/>
        <v>-1.7394086171407253E-11</v>
      </c>
      <c r="AX47" s="116">
        <f t="shared" si="23"/>
        <v>0</v>
      </c>
      <c r="AY47" s="190">
        <v>210055</v>
      </c>
      <c r="AZ47" s="190" t="s">
        <v>72</v>
      </c>
      <c r="BA47" s="190" t="s">
        <v>187</v>
      </c>
      <c r="BB47" s="367">
        <v>59332.420820000007</v>
      </c>
      <c r="BC47" s="367">
        <v>41159.377370000002</v>
      </c>
      <c r="BD47" s="367">
        <v>100491.79819</v>
      </c>
      <c r="BE47" s="367">
        <v>30735.101279999999</v>
      </c>
      <c r="BF47" s="367">
        <v>8351.79637</v>
      </c>
      <c r="BG47" s="367">
        <v>39086.897649999999</v>
      </c>
      <c r="BH47" s="367">
        <v>4446.73794</v>
      </c>
      <c r="BI47" s="367">
        <v>1470.1448</v>
      </c>
      <c r="BJ47" s="367">
        <v>5916.88274</v>
      </c>
      <c r="BK47" s="367">
        <v>5205.8677700000007</v>
      </c>
      <c r="BL47" s="367">
        <v>7165.6007900000004</v>
      </c>
      <c r="BM47" s="367">
        <v>12371.468560000001</v>
      </c>
      <c r="BN47" s="367">
        <v>8270.9129699999994</v>
      </c>
      <c r="BO47" s="367">
        <v>9009.1930200000006</v>
      </c>
      <c r="BP47" s="367">
        <v>17280.10599</v>
      </c>
      <c r="BQ47" s="367">
        <v>262.76544000000001</v>
      </c>
      <c r="BR47" s="367">
        <v>4215.2936399999999</v>
      </c>
      <c r="BS47" s="367">
        <v>6323.9657499999994</v>
      </c>
      <c r="BT47" s="367">
        <v>10539.259389999999</v>
      </c>
      <c r="BU47" s="367">
        <v>6458.5072200000086</v>
      </c>
      <c r="BV47" s="367">
        <v>8838.6766400000033</v>
      </c>
      <c r="BW47" s="367">
        <v>15297.183860000012</v>
      </c>
      <c r="BX47" s="367">
        <v>81760.927546666673</v>
      </c>
      <c r="BY47" s="367">
        <v>102200.6883725418</v>
      </c>
      <c r="BZ47" s="368">
        <v>0.24999423855861624</v>
      </c>
      <c r="CA47" s="367" t="s">
        <v>446</v>
      </c>
      <c r="CB47" s="190"/>
      <c r="CC47" s="369">
        <f t="shared" si="24"/>
        <v>0.2308346466857068</v>
      </c>
      <c r="CE47" s="370">
        <f t="shared" si="25"/>
        <v>0.1048768116386315</v>
      </c>
    </row>
    <row r="48" spans="1:83">
      <c r="A48" s="363">
        <v>210056</v>
      </c>
      <c r="B48" s="363" t="s">
        <v>366</v>
      </c>
      <c r="C48" s="87">
        <v>158209.08953</v>
      </c>
      <c r="D48" s="87">
        <v>139368.71559000001</v>
      </c>
      <c r="E48" s="87">
        <v>297577.80511999998</v>
      </c>
      <c r="F48" s="87">
        <v>86144.516807483</v>
      </c>
      <c r="G48" s="87">
        <v>54322.279280438001</v>
      </c>
      <c r="H48" s="87">
        <v>140466.79608792099</v>
      </c>
      <c r="I48" s="87">
        <v>9749.9580543579996</v>
      </c>
      <c r="J48" s="87">
        <v>3983.8990457240002</v>
      </c>
      <c r="K48" s="87">
        <v>13733.857100081001</v>
      </c>
      <c r="L48" s="87">
        <v>11015.592397626</v>
      </c>
      <c r="M48" s="87">
        <v>16802.293033611</v>
      </c>
      <c r="N48" s="87">
        <v>27817.885431236999</v>
      </c>
      <c r="O48" s="87">
        <v>33584.769513109997</v>
      </c>
      <c r="P48" s="87">
        <v>37483.695501574002</v>
      </c>
      <c r="Q48" s="87">
        <v>71068.465014683999</v>
      </c>
      <c r="R48" s="87">
        <v>3847.4609999999998</v>
      </c>
      <c r="S48" s="87">
        <v>4087.1584604139998</v>
      </c>
      <c r="T48" s="87">
        <v>7715.318899586</v>
      </c>
      <c r="U48" s="87">
        <v>11802.477360000001</v>
      </c>
      <c r="V48" s="87">
        <v>13627.094297009</v>
      </c>
      <c r="W48" s="87">
        <v>19061.229829067001</v>
      </c>
      <c r="X48" s="87">
        <v>32688.324126077001</v>
      </c>
      <c r="Y48" s="87">
        <v>217674.439839208</v>
      </c>
      <c r="Z48" s="87">
        <v>239071.34381880399</v>
      </c>
      <c r="AA48" s="131">
        <f t="shared" si="0"/>
        <v>0.47203384684982447</v>
      </c>
      <c r="AB48" s="351">
        <f t="shared" si="1"/>
        <v>4.6152155381826085E-2</v>
      </c>
      <c r="AC48" s="351">
        <f t="shared" si="2"/>
        <v>0.23882313731706312</v>
      </c>
      <c r="AD48" s="351">
        <f t="shared" si="3"/>
        <v>0.28497529269888922</v>
      </c>
      <c r="AE48" s="351">
        <f t="shared" si="4"/>
        <v>3.9661820058255297E-2</v>
      </c>
      <c r="AF48" s="364">
        <f t="shared" si="5"/>
        <v>297577.80512000003</v>
      </c>
      <c r="AG48" s="365">
        <f t="shared" si="6"/>
        <v>0</v>
      </c>
      <c r="AH48" s="365">
        <f t="shared" si="7"/>
        <v>140466.79608792101</v>
      </c>
      <c r="AI48" s="365">
        <f t="shared" si="8"/>
        <v>0</v>
      </c>
      <c r="AJ48" s="365">
        <f t="shared" si="9"/>
        <v>13733.857100081999</v>
      </c>
      <c r="AK48" s="365">
        <f t="shared" si="10"/>
        <v>9.9862518254667521E-10</v>
      </c>
      <c r="AL48" s="365">
        <f t="shared" si="11"/>
        <v>27817.885431237002</v>
      </c>
      <c r="AM48" s="365">
        <f t="shared" si="12"/>
        <v>0</v>
      </c>
      <c r="AN48" s="365">
        <f t="shared" si="13"/>
        <v>71068.465014683999</v>
      </c>
      <c r="AO48" s="365">
        <f t="shared" si="14"/>
        <v>0</v>
      </c>
      <c r="AP48" s="365">
        <f t="shared" si="15"/>
        <v>3847.4609999999998</v>
      </c>
      <c r="AQ48" s="365">
        <f t="shared" si="16"/>
        <v>11802.477360000001</v>
      </c>
      <c r="AR48" s="365">
        <f t="shared" si="17"/>
        <v>0</v>
      </c>
      <c r="AS48" s="365">
        <f t="shared" si="18"/>
        <v>32688.324126076001</v>
      </c>
      <c r="AT48" s="365">
        <f t="shared" si="19"/>
        <v>-1.0004441719502211E-9</v>
      </c>
      <c r="AU48" s="365">
        <f t="shared" si="20"/>
        <v>301425.26612000004</v>
      </c>
      <c r="AV48" s="365">
        <f t="shared" si="21"/>
        <v>3847.4610000000102</v>
      </c>
      <c r="AW48" s="366">
        <f t="shared" si="22"/>
        <v>-1.0459189070388675E-11</v>
      </c>
      <c r="AX48" s="116">
        <f t="shared" si="23"/>
        <v>0</v>
      </c>
      <c r="AY48" s="190">
        <v>210056</v>
      </c>
      <c r="AZ48" s="190" t="s">
        <v>366</v>
      </c>
      <c r="BA48" s="190" t="s">
        <v>187</v>
      </c>
      <c r="BB48" s="367">
        <v>158209.08953</v>
      </c>
      <c r="BC48" s="367">
        <v>139368.71559000001</v>
      </c>
      <c r="BD48" s="367">
        <v>297577.80511999998</v>
      </c>
      <c r="BE48" s="367">
        <v>86144.516807483</v>
      </c>
      <c r="BF48" s="367">
        <v>54322.279280438001</v>
      </c>
      <c r="BG48" s="367">
        <v>140466.79608792099</v>
      </c>
      <c r="BH48" s="367">
        <v>9749.9580543579996</v>
      </c>
      <c r="BI48" s="367">
        <v>3983.8990457240002</v>
      </c>
      <c r="BJ48" s="367">
        <v>13733.857100081001</v>
      </c>
      <c r="BK48" s="367">
        <v>11015.592397626</v>
      </c>
      <c r="BL48" s="367">
        <v>16802.293033611</v>
      </c>
      <c r="BM48" s="367">
        <v>27817.885431236999</v>
      </c>
      <c r="BN48" s="367">
        <v>33584.769513109997</v>
      </c>
      <c r="BO48" s="367">
        <v>37483.695501574002</v>
      </c>
      <c r="BP48" s="367">
        <v>71068.465014683999</v>
      </c>
      <c r="BQ48" s="367">
        <v>3847.4609999999998</v>
      </c>
      <c r="BR48" s="367">
        <v>4087.1584604139998</v>
      </c>
      <c r="BS48" s="367">
        <v>7715.318899586</v>
      </c>
      <c r="BT48" s="367">
        <v>11802.477360000001</v>
      </c>
      <c r="BU48" s="367">
        <v>13627.094297009</v>
      </c>
      <c r="BV48" s="367">
        <v>19061.229829067001</v>
      </c>
      <c r="BW48" s="367">
        <v>32688.324126077001</v>
      </c>
      <c r="BX48" s="367">
        <v>217674.439839208</v>
      </c>
      <c r="BY48" s="367">
        <v>239071.34381880399</v>
      </c>
      <c r="BZ48" s="368">
        <v>9.8297732999999998E-2</v>
      </c>
      <c r="CA48" s="367" t="s">
        <v>446</v>
      </c>
      <c r="CB48" s="190"/>
      <c r="CC48" s="369">
        <f t="shared" si="24"/>
        <v>0.28497529269888922</v>
      </c>
      <c r="CE48" s="370">
        <f t="shared" si="25"/>
        <v>3.9661820058255297E-2</v>
      </c>
    </row>
    <row r="49" spans="1:83">
      <c r="A49" s="363">
        <v>210057</v>
      </c>
      <c r="B49" s="363" t="s">
        <v>69</v>
      </c>
      <c r="C49" s="87">
        <v>235212.70023479708</v>
      </c>
      <c r="D49" s="87">
        <v>166114.89976520292</v>
      </c>
      <c r="E49" s="87">
        <v>401327.6</v>
      </c>
      <c r="F49" s="87">
        <v>88897.929000000004</v>
      </c>
      <c r="G49" s="87">
        <v>40936.497000000003</v>
      </c>
      <c r="H49" s="87">
        <v>129834.42600000001</v>
      </c>
      <c r="I49" s="87">
        <v>15396.763000000001</v>
      </c>
      <c r="J49" s="87">
        <v>9337.5249999999996</v>
      </c>
      <c r="K49" s="87">
        <v>24734.288</v>
      </c>
      <c r="L49" s="87">
        <v>44192.052000000003</v>
      </c>
      <c r="M49" s="87">
        <v>37507.087</v>
      </c>
      <c r="N49" s="87">
        <v>81699.138999999996</v>
      </c>
      <c r="O49" s="87">
        <v>31943.575000000001</v>
      </c>
      <c r="P49" s="87">
        <v>21361.863000000001</v>
      </c>
      <c r="Q49" s="87">
        <v>53305.438000000002</v>
      </c>
      <c r="R49" s="87">
        <v>5953.5420000000004</v>
      </c>
      <c r="S49" s="87">
        <v>8111.269164934869</v>
      </c>
      <c r="T49" s="87">
        <v>5728.444835065131</v>
      </c>
      <c r="U49" s="87">
        <v>13839.714</v>
      </c>
      <c r="V49" s="87">
        <v>46671.112069862211</v>
      </c>
      <c r="W49" s="87">
        <v>51243.482930137798</v>
      </c>
      <c r="X49" s="87">
        <v>97914.595000000001</v>
      </c>
      <c r="Y49" s="87">
        <v>309345.39866538456</v>
      </c>
      <c r="Z49" s="87">
        <v>334458.46766068542</v>
      </c>
      <c r="AA49" s="131">
        <f t="shared" si="0"/>
        <v>0.32351232758474624</v>
      </c>
      <c r="AB49" s="351">
        <f t="shared" si="1"/>
        <v>6.1631166159516568E-2</v>
      </c>
      <c r="AC49" s="351">
        <f t="shared" si="2"/>
        <v>0.13282275627193346</v>
      </c>
      <c r="AD49" s="351">
        <f t="shared" si="3"/>
        <v>0.19445392243145002</v>
      </c>
      <c r="AE49" s="351">
        <f t="shared" si="4"/>
        <v>3.4484829849728754E-2</v>
      </c>
      <c r="AF49" s="364">
        <f t="shared" si="5"/>
        <v>401327.6</v>
      </c>
      <c r="AG49" s="365">
        <f t="shared" si="6"/>
        <v>0</v>
      </c>
      <c r="AH49" s="365">
        <f t="shared" si="7"/>
        <v>129834.42600000001</v>
      </c>
      <c r="AI49" s="365">
        <f t="shared" si="8"/>
        <v>0</v>
      </c>
      <c r="AJ49" s="365">
        <f t="shared" si="9"/>
        <v>24734.288</v>
      </c>
      <c r="AK49" s="365">
        <f t="shared" si="10"/>
        <v>0</v>
      </c>
      <c r="AL49" s="365">
        <f t="shared" si="11"/>
        <v>81699.138999999996</v>
      </c>
      <c r="AM49" s="365">
        <f t="shared" si="12"/>
        <v>0</v>
      </c>
      <c r="AN49" s="365">
        <f t="shared" si="13"/>
        <v>53305.438000000002</v>
      </c>
      <c r="AO49" s="365">
        <f t="shared" si="14"/>
        <v>0</v>
      </c>
      <c r="AP49" s="365">
        <f t="shared" si="15"/>
        <v>5953.5420000000004</v>
      </c>
      <c r="AQ49" s="365">
        <f t="shared" si="16"/>
        <v>13839.714</v>
      </c>
      <c r="AR49" s="365">
        <f t="shared" si="17"/>
        <v>0</v>
      </c>
      <c r="AS49" s="365">
        <f t="shared" si="18"/>
        <v>97914.595000000001</v>
      </c>
      <c r="AT49" s="365">
        <f t="shared" si="19"/>
        <v>0</v>
      </c>
      <c r="AU49" s="365">
        <f t="shared" si="20"/>
        <v>407281.14199999999</v>
      </c>
      <c r="AV49" s="365">
        <f t="shared" si="21"/>
        <v>5953.5420000000158</v>
      </c>
      <c r="AW49" s="366">
        <f t="shared" si="22"/>
        <v>-1.546140993013978E-11</v>
      </c>
      <c r="AX49" s="116">
        <f t="shared" si="23"/>
        <v>0</v>
      </c>
      <c r="AY49" s="190">
        <v>210057</v>
      </c>
      <c r="AZ49" s="190" t="s">
        <v>69</v>
      </c>
      <c r="BA49" s="190" t="s">
        <v>187</v>
      </c>
      <c r="BB49" s="367">
        <v>235212.70023479708</v>
      </c>
      <c r="BC49" s="367">
        <v>166114.89976520292</v>
      </c>
      <c r="BD49" s="367">
        <v>401327.6</v>
      </c>
      <c r="BE49" s="367">
        <v>88897.929000000004</v>
      </c>
      <c r="BF49" s="367">
        <v>40936.497000000003</v>
      </c>
      <c r="BG49" s="367">
        <v>129834.42600000001</v>
      </c>
      <c r="BH49" s="367">
        <v>15396.763000000001</v>
      </c>
      <c r="BI49" s="367">
        <v>9337.5249999999996</v>
      </c>
      <c r="BJ49" s="367">
        <v>24734.288</v>
      </c>
      <c r="BK49" s="367">
        <v>44192.052000000003</v>
      </c>
      <c r="BL49" s="367">
        <v>37507.087</v>
      </c>
      <c r="BM49" s="367">
        <v>81699.138999999996</v>
      </c>
      <c r="BN49" s="367">
        <v>31943.575000000001</v>
      </c>
      <c r="BO49" s="367">
        <v>21361.863000000001</v>
      </c>
      <c r="BP49" s="367">
        <v>53305.438000000002</v>
      </c>
      <c r="BQ49" s="367">
        <v>5953.5420000000004</v>
      </c>
      <c r="BR49" s="367">
        <v>8111.269164934869</v>
      </c>
      <c r="BS49" s="367">
        <v>5728.444835065131</v>
      </c>
      <c r="BT49" s="367">
        <v>13839.714</v>
      </c>
      <c r="BU49" s="367">
        <v>46671.112069862211</v>
      </c>
      <c r="BV49" s="367">
        <v>51243.482930137798</v>
      </c>
      <c r="BW49" s="367">
        <v>97914.595000000001</v>
      </c>
      <c r="BX49" s="367">
        <v>309345.39866538456</v>
      </c>
      <c r="BY49" s="367">
        <v>334458.46766068542</v>
      </c>
      <c r="BZ49" s="368">
        <v>8.1181323865319177E-2</v>
      </c>
      <c r="CA49" s="367" t="s">
        <v>446</v>
      </c>
      <c r="CB49" s="190"/>
      <c r="CC49" s="369">
        <f t="shared" si="24"/>
        <v>0.19445392243145002</v>
      </c>
      <c r="CE49" s="370">
        <f t="shared" si="25"/>
        <v>3.4484829849728754E-2</v>
      </c>
    </row>
    <row r="50" spans="1:83">
      <c r="A50" s="363">
        <v>210058</v>
      </c>
      <c r="B50" s="363" t="s">
        <v>367</v>
      </c>
      <c r="C50" s="87">
        <v>72082.151280000005</v>
      </c>
      <c r="D50" s="87">
        <v>52204.671829999999</v>
      </c>
      <c r="E50" s="87">
        <v>124286.82311</v>
      </c>
      <c r="F50" s="87">
        <v>27189.614135333999</v>
      </c>
      <c r="G50" s="87">
        <v>8469.8479690780005</v>
      </c>
      <c r="H50" s="87">
        <v>35659.462104411999</v>
      </c>
      <c r="I50" s="87">
        <v>7094.5233372789999</v>
      </c>
      <c r="J50" s="87">
        <v>5982.3542891139996</v>
      </c>
      <c r="K50" s="87">
        <v>13076.877626392999</v>
      </c>
      <c r="L50" s="87">
        <v>6733.6755373449996</v>
      </c>
      <c r="M50" s="87">
        <v>8053.3214081249998</v>
      </c>
      <c r="N50" s="87">
        <v>14786.996945469</v>
      </c>
      <c r="O50" s="87">
        <v>10151.202706325001</v>
      </c>
      <c r="P50" s="87">
        <v>11174.475579921</v>
      </c>
      <c r="Q50" s="87">
        <v>21325.678286245999</v>
      </c>
      <c r="R50" s="87">
        <v>551.8630895</v>
      </c>
      <c r="S50" s="87">
        <v>4263.3586187199999</v>
      </c>
      <c r="T50" s="87">
        <v>3087.6886112799998</v>
      </c>
      <c r="U50" s="87">
        <v>7351.0472300000001</v>
      </c>
      <c r="V50" s="87">
        <v>16649.776944998001</v>
      </c>
      <c r="W50" s="87">
        <v>15436.983972481999</v>
      </c>
      <c r="X50" s="87">
        <v>32086.760917480002</v>
      </c>
      <c r="Y50" s="87">
        <v>103667.04082109799</v>
      </c>
      <c r="Z50" s="87">
        <v>115279.830402098</v>
      </c>
      <c r="AA50" s="131">
        <f t="shared" si="0"/>
        <v>0.28691265262168308</v>
      </c>
      <c r="AB50" s="351">
        <f t="shared" si="1"/>
        <v>0.10521531807776047</v>
      </c>
      <c r="AC50" s="351">
        <f t="shared" si="2"/>
        <v>0.1715843864427343</v>
      </c>
      <c r="AD50" s="351">
        <f t="shared" si="3"/>
        <v>0.27679970452049479</v>
      </c>
      <c r="AE50" s="351">
        <f t="shared" si="4"/>
        <v>5.9145829349053027E-2</v>
      </c>
      <c r="AF50" s="364">
        <f t="shared" si="5"/>
        <v>124286.82311</v>
      </c>
      <c r="AG50" s="365">
        <f t="shared" si="6"/>
        <v>0</v>
      </c>
      <c r="AH50" s="365">
        <f t="shared" si="7"/>
        <v>35659.462104411999</v>
      </c>
      <c r="AI50" s="365">
        <f t="shared" si="8"/>
        <v>0</v>
      </c>
      <c r="AJ50" s="365">
        <f t="shared" si="9"/>
        <v>13076.877626392999</v>
      </c>
      <c r="AK50" s="365">
        <f t="shared" si="10"/>
        <v>0</v>
      </c>
      <c r="AL50" s="365">
        <f t="shared" si="11"/>
        <v>14786.99694547</v>
      </c>
      <c r="AM50" s="365">
        <f t="shared" si="12"/>
        <v>1.0004441719502211E-9</v>
      </c>
      <c r="AN50" s="365">
        <f t="shared" si="13"/>
        <v>21325.678286246002</v>
      </c>
      <c r="AO50" s="365">
        <f t="shared" si="14"/>
        <v>0</v>
      </c>
      <c r="AP50" s="365">
        <f t="shared" si="15"/>
        <v>551.8630895</v>
      </c>
      <c r="AQ50" s="365">
        <f t="shared" si="16"/>
        <v>7351.0472300000001</v>
      </c>
      <c r="AR50" s="365">
        <f t="shared" si="17"/>
        <v>0</v>
      </c>
      <c r="AS50" s="365">
        <f t="shared" si="18"/>
        <v>32086.760917480002</v>
      </c>
      <c r="AT50" s="365">
        <f t="shared" si="19"/>
        <v>0</v>
      </c>
      <c r="AU50" s="365">
        <f t="shared" si="20"/>
        <v>124838.68619950199</v>
      </c>
      <c r="AV50" s="365">
        <f t="shared" si="21"/>
        <v>551.86308950198872</v>
      </c>
      <c r="AW50" s="366">
        <f t="shared" si="22"/>
        <v>-1.9887238522642292E-9</v>
      </c>
      <c r="AX50" s="116">
        <f t="shared" si="23"/>
        <v>0</v>
      </c>
      <c r="AY50" s="190">
        <v>210058</v>
      </c>
      <c r="AZ50" s="190" t="s">
        <v>367</v>
      </c>
      <c r="BA50" s="190" t="s">
        <v>187</v>
      </c>
      <c r="BB50" s="367">
        <v>72082.151280000005</v>
      </c>
      <c r="BC50" s="367">
        <v>52204.671829999999</v>
      </c>
      <c r="BD50" s="367">
        <v>124286.82311</v>
      </c>
      <c r="BE50" s="367">
        <v>27189.614135333999</v>
      </c>
      <c r="BF50" s="367">
        <v>8469.8479690780005</v>
      </c>
      <c r="BG50" s="367">
        <v>35659.462104411999</v>
      </c>
      <c r="BH50" s="367">
        <v>7094.5233372789999</v>
      </c>
      <c r="BI50" s="367">
        <v>5982.3542891139996</v>
      </c>
      <c r="BJ50" s="367">
        <v>13076.877626392999</v>
      </c>
      <c r="BK50" s="367">
        <v>6733.6755373449996</v>
      </c>
      <c r="BL50" s="367">
        <v>8053.3214081249998</v>
      </c>
      <c r="BM50" s="367">
        <v>14786.996945469</v>
      </c>
      <c r="BN50" s="367">
        <v>10151.202706325001</v>
      </c>
      <c r="BO50" s="367">
        <v>11174.475579921</v>
      </c>
      <c r="BP50" s="367">
        <v>21325.678286245999</v>
      </c>
      <c r="BQ50" s="367">
        <v>551.8630895</v>
      </c>
      <c r="BR50" s="367">
        <v>4263.3586187199999</v>
      </c>
      <c r="BS50" s="367">
        <v>3087.6886112799998</v>
      </c>
      <c r="BT50" s="367">
        <v>7351.0472300000001</v>
      </c>
      <c r="BU50" s="367">
        <v>16649.776944998001</v>
      </c>
      <c r="BV50" s="367">
        <v>15436.983972481999</v>
      </c>
      <c r="BW50" s="367">
        <v>32086.760917480002</v>
      </c>
      <c r="BX50" s="367">
        <v>103667.04082109799</v>
      </c>
      <c r="BY50" s="367">
        <v>115279.830402098</v>
      </c>
      <c r="BZ50" s="368">
        <v>0.112020074</v>
      </c>
      <c r="CA50" s="367" t="s">
        <v>446</v>
      </c>
      <c r="CB50" s="190"/>
      <c r="CC50" s="369">
        <f t="shared" si="24"/>
        <v>0.27679970452049479</v>
      </c>
      <c r="CE50" s="370">
        <f t="shared" si="25"/>
        <v>5.9145829349053027E-2</v>
      </c>
    </row>
    <row r="51" spans="1:83">
      <c r="A51" s="363">
        <v>210060</v>
      </c>
      <c r="B51" s="363" t="s">
        <v>343</v>
      </c>
      <c r="C51" s="87">
        <v>19534.243000000002</v>
      </c>
      <c r="D51" s="87">
        <v>29510.404000000002</v>
      </c>
      <c r="E51" s="87">
        <v>49044.647000000004</v>
      </c>
      <c r="F51" s="87">
        <v>12044.3</v>
      </c>
      <c r="G51" s="87">
        <v>7726</v>
      </c>
      <c r="H51" s="87">
        <v>19770.3</v>
      </c>
      <c r="I51" s="87">
        <v>1443.6</v>
      </c>
      <c r="J51" s="87">
        <v>2238</v>
      </c>
      <c r="K51" s="87">
        <v>3681.6</v>
      </c>
      <c r="L51" s="87">
        <v>2400.8000000000002</v>
      </c>
      <c r="M51" s="87">
        <v>5692.2</v>
      </c>
      <c r="N51" s="87">
        <v>8093</v>
      </c>
      <c r="O51" s="87">
        <v>1862.4161300000001</v>
      </c>
      <c r="P51" s="87">
        <v>8349.5725000000039</v>
      </c>
      <c r="Q51" s="87">
        <v>10211.988630000003</v>
      </c>
      <c r="R51" s="87">
        <v>628.79999999999995</v>
      </c>
      <c r="S51" s="87">
        <v>1111.0711043000001</v>
      </c>
      <c r="T51" s="87">
        <v>3087.4018956999998</v>
      </c>
      <c r="U51" s="87">
        <v>4198.473</v>
      </c>
      <c r="V51" s="87">
        <v>672.05576570000221</v>
      </c>
      <c r="W51" s="87">
        <v>2417.2296042999978</v>
      </c>
      <c r="X51" s="87">
        <v>3089.2853700000032</v>
      </c>
      <c r="Y51" s="87">
        <v>40302.84659443597</v>
      </c>
      <c r="Z51" s="87">
        <v>46417.280073905953</v>
      </c>
      <c r="AA51" s="131">
        <f t="shared" si="0"/>
        <v>0.40310821280862713</v>
      </c>
      <c r="AB51" s="351">
        <f t="shared" si="1"/>
        <v>7.5066296225967319E-2</v>
      </c>
      <c r="AC51" s="351">
        <f t="shared" si="2"/>
        <v>0.20821821043996916</v>
      </c>
      <c r="AD51" s="351">
        <f t="shared" si="3"/>
        <v>0.28328450666593652</v>
      </c>
      <c r="AE51" s="351">
        <f t="shared" si="4"/>
        <v>8.5605122206303161E-2</v>
      </c>
      <c r="AF51" s="364">
        <f t="shared" si="5"/>
        <v>49044.647000000004</v>
      </c>
      <c r="AG51" s="365">
        <f t="shared" si="6"/>
        <v>0</v>
      </c>
      <c r="AH51" s="365">
        <f t="shared" si="7"/>
        <v>19770.3</v>
      </c>
      <c r="AI51" s="365">
        <f t="shared" si="8"/>
        <v>0</v>
      </c>
      <c r="AJ51" s="365">
        <f t="shared" si="9"/>
        <v>3681.6</v>
      </c>
      <c r="AK51" s="365">
        <f t="shared" si="10"/>
        <v>0</v>
      </c>
      <c r="AL51" s="365">
        <f t="shared" si="11"/>
        <v>8093</v>
      </c>
      <c r="AM51" s="365">
        <f t="shared" si="12"/>
        <v>0</v>
      </c>
      <c r="AN51" s="365">
        <f t="shared" si="13"/>
        <v>10211.988630000003</v>
      </c>
      <c r="AO51" s="365">
        <f t="shared" si="14"/>
        <v>0</v>
      </c>
      <c r="AP51" s="365">
        <f t="shared" si="15"/>
        <v>628.79999999999995</v>
      </c>
      <c r="AQ51" s="365">
        <f t="shared" si="16"/>
        <v>4198.473</v>
      </c>
      <c r="AR51" s="365">
        <f t="shared" si="17"/>
        <v>0</v>
      </c>
      <c r="AS51" s="365">
        <f t="shared" si="18"/>
        <v>3089.2853700000001</v>
      </c>
      <c r="AT51" s="365">
        <f t="shared" si="19"/>
        <v>0</v>
      </c>
      <c r="AU51" s="365">
        <f t="shared" si="20"/>
        <v>49673.447</v>
      </c>
      <c r="AV51" s="365">
        <f t="shared" si="21"/>
        <v>628.79999999999563</v>
      </c>
      <c r="AW51" s="366">
        <f t="shared" si="22"/>
        <v>4.3200998334214091E-12</v>
      </c>
      <c r="AX51" s="116">
        <f t="shared" si="23"/>
        <v>0</v>
      </c>
      <c r="AY51" s="190">
        <v>210060</v>
      </c>
      <c r="AZ51" s="190" t="s">
        <v>343</v>
      </c>
      <c r="BA51" s="190" t="s">
        <v>187</v>
      </c>
      <c r="BB51" s="367">
        <v>19534.243000000002</v>
      </c>
      <c r="BC51" s="367">
        <v>29510.404000000002</v>
      </c>
      <c r="BD51" s="367">
        <v>49044.647000000004</v>
      </c>
      <c r="BE51" s="367">
        <v>12044.3</v>
      </c>
      <c r="BF51" s="367">
        <v>7726</v>
      </c>
      <c r="BG51" s="367">
        <v>19770.3</v>
      </c>
      <c r="BH51" s="367">
        <v>1443.6</v>
      </c>
      <c r="BI51" s="367">
        <v>2238</v>
      </c>
      <c r="BJ51" s="367">
        <v>3681.6</v>
      </c>
      <c r="BK51" s="367">
        <v>2400.8000000000002</v>
      </c>
      <c r="BL51" s="367">
        <v>5692.2</v>
      </c>
      <c r="BM51" s="367">
        <v>8093</v>
      </c>
      <c r="BN51" s="367">
        <v>1862.4161300000001</v>
      </c>
      <c r="BO51" s="367">
        <v>8349.5725000000039</v>
      </c>
      <c r="BP51" s="367">
        <v>10211.988630000003</v>
      </c>
      <c r="BQ51" s="367">
        <v>628.79999999999995</v>
      </c>
      <c r="BR51" s="367">
        <v>1111.0711043000001</v>
      </c>
      <c r="BS51" s="367">
        <v>3087.4018956999998</v>
      </c>
      <c r="BT51" s="367">
        <v>4198.473</v>
      </c>
      <c r="BU51" s="367">
        <v>672.05576570000221</v>
      </c>
      <c r="BV51" s="367">
        <v>2417.2296042999978</v>
      </c>
      <c r="BW51" s="367">
        <v>3089.2853700000032</v>
      </c>
      <c r="BX51" s="367">
        <v>40302.84659443597</v>
      </c>
      <c r="BY51" s="367">
        <v>46417.280073905953</v>
      </c>
      <c r="BZ51" s="368">
        <v>0.15171219891733687</v>
      </c>
      <c r="CA51" s="367" t="s">
        <v>446</v>
      </c>
      <c r="CB51" s="190"/>
      <c r="CC51" s="369">
        <f t="shared" si="24"/>
        <v>0.28328450666593652</v>
      </c>
      <c r="CE51" s="370">
        <f t="shared" si="25"/>
        <v>8.5605122206303161E-2</v>
      </c>
    </row>
    <row r="52" spans="1:83">
      <c r="A52" s="363">
        <v>210061</v>
      </c>
      <c r="B52" s="363" t="s">
        <v>73</v>
      </c>
      <c r="C52" s="87">
        <v>38173.800000000003</v>
      </c>
      <c r="D52" s="87">
        <v>69091.3</v>
      </c>
      <c r="E52" s="87">
        <v>107265.1</v>
      </c>
      <c r="F52" s="87">
        <v>24896.6</v>
      </c>
      <c r="G52" s="87">
        <v>31295.4</v>
      </c>
      <c r="H52" s="87">
        <v>56192</v>
      </c>
      <c r="I52" s="87">
        <v>555.29999999999995</v>
      </c>
      <c r="J52" s="87">
        <v>1031.5999999999999</v>
      </c>
      <c r="K52" s="87">
        <v>1586.9</v>
      </c>
      <c r="L52" s="87">
        <v>4426.6000000000004</v>
      </c>
      <c r="M52" s="87">
        <v>14003.8</v>
      </c>
      <c r="N52" s="87">
        <v>18430.400000000001</v>
      </c>
      <c r="O52" s="87">
        <v>3226.2</v>
      </c>
      <c r="P52" s="87">
        <v>9178.7000000000007</v>
      </c>
      <c r="Q52" s="87">
        <v>12404.9</v>
      </c>
      <c r="R52" s="87">
        <v>1685.76</v>
      </c>
      <c r="S52" s="87">
        <v>4200.8879999999999</v>
      </c>
      <c r="T52" s="87">
        <v>1816.5</v>
      </c>
      <c r="U52" s="87">
        <v>6017.3879999999999</v>
      </c>
      <c r="V52" s="87">
        <v>868.21199999999999</v>
      </c>
      <c r="W52" s="87">
        <v>11765.3</v>
      </c>
      <c r="X52" s="87">
        <v>12633.512000000001</v>
      </c>
      <c r="Y52" s="87">
        <v>76417.628106157004</v>
      </c>
      <c r="Z52" s="87">
        <v>85056.464047242</v>
      </c>
      <c r="AA52" s="131">
        <f t="shared" si="0"/>
        <v>0.52386097621686822</v>
      </c>
      <c r="AB52" s="351">
        <f t="shared" si="1"/>
        <v>1.4794187485025418E-2</v>
      </c>
      <c r="AC52" s="351">
        <f t="shared" si="2"/>
        <v>0.11564712101140072</v>
      </c>
      <c r="AD52" s="351">
        <f t="shared" si="3"/>
        <v>0.13044130849642613</v>
      </c>
      <c r="AE52" s="351">
        <f t="shared" si="4"/>
        <v>5.6098283598299908E-2</v>
      </c>
      <c r="AF52" s="364">
        <f t="shared" si="5"/>
        <v>107265.1</v>
      </c>
      <c r="AG52" s="365">
        <f t="shared" si="6"/>
        <v>0</v>
      </c>
      <c r="AH52" s="365">
        <f t="shared" si="7"/>
        <v>56192</v>
      </c>
      <c r="AI52" s="365">
        <f t="shared" si="8"/>
        <v>0</v>
      </c>
      <c r="AJ52" s="365">
        <f t="shared" si="9"/>
        <v>1586.8999999999999</v>
      </c>
      <c r="AK52" s="365">
        <f t="shared" si="10"/>
        <v>0</v>
      </c>
      <c r="AL52" s="365">
        <f t="shared" si="11"/>
        <v>18430.400000000001</v>
      </c>
      <c r="AM52" s="365">
        <f t="shared" si="12"/>
        <v>0</v>
      </c>
      <c r="AN52" s="365">
        <f t="shared" si="13"/>
        <v>12404.900000000001</v>
      </c>
      <c r="AO52" s="365">
        <f t="shared" si="14"/>
        <v>0</v>
      </c>
      <c r="AP52" s="365">
        <f t="shared" si="15"/>
        <v>1685.76</v>
      </c>
      <c r="AQ52" s="365">
        <f t="shared" si="16"/>
        <v>6017.3879999999999</v>
      </c>
      <c r="AR52" s="365">
        <f t="shared" si="17"/>
        <v>0</v>
      </c>
      <c r="AS52" s="365">
        <f t="shared" si="18"/>
        <v>12633.511999999999</v>
      </c>
      <c r="AT52" s="365">
        <f t="shared" si="19"/>
        <v>0</v>
      </c>
      <c r="AU52" s="365">
        <f t="shared" si="20"/>
        <v>108950.86000000002</v>
      </c>
      <c r="AV52" s="365">
        <f t="shared" si="21"/>
        <v>1685.7600000000093</v>
      </c>
      <c r="AW52" s="366">
        <f t="shared" si="22"/>
        <v>-9.3223206931725144E-12</v>
      </c>
      <c r="AX52" s="116">
        <f t="shared" si="23"/>
        <v>0</v>
      </c>
      <c r="AY52" s="190">
        <v>210061</v>
      </c>
      <c r="AZ52" s="190" t="s">
        <v>73</v>
      </c>
      <c r="BA52" s="190" t="s">
        <v>187</v>
      </c>
      <c r="BB52" s="367">
        <v>38173.800000000003</v>
      </c>
      <c r="BC52" s="367">
        <v>69091.3</v>
      </c>
      <c r="BD52" s="367">
        <v>107265.1</v>
      </c>
      <c r="BE52" s="367">
        <v>24896.6</v>
      </c>
      <c r="BF52" s="367">
        <v>31295.4</v>
      </c>
      <c r="BG52" s="367">
        <v>56192</v>
      </c>
      <c r="BH52" s="367">
        <v>555.29999999999995</v>
      </c>
      <c r="BI52" s="367">
        <v>1031.5999999999999</v>
      </c>
      <c r="BJ52" s="367">
        <v>1586.9</v>
      </c>
      <c r="BK52" s="367">
        <v>4426.6000000000004</v>
      </c>
      <c r="BL52" s="367">
        <v>14003.8</v>
      </c>
      <c r="BM52" s="367">
        <v>18430.400000000001</v>
      </c>
      <c r="BN52" s="367">
        <v>3226.2</v>
      </c>
      <c r="BO52" s="367">
        <v>9178.7000000000007</v>
      </c>
      <c r="BP52" s="367">
        <v>12404.9</v>
      </c>
      <c r="BQ52" s="367">
        <v>1685.76</v>
      </c>
      <c r="BR52" s="367">
        <v>4200.8879999999999</v>
      </c>
      <c r="BS52" s="367">
        <v>1816.5</v>
      </c>
      <c r="BT52" s="367">
        <v>6017.3879999999999</v>
      </c>
      <c r="BU52" s="367">
        <v>868.21199999999999</v>
      </c>
      <c r="BV52" s="367">
        <v>11765.3</v>
      </c>
      <c r="BW52" s="367">
        <v>12633.512000000001</v>
      </c>
      <c r="BX52" s="367">
        <v>76417.628106157004</v>
      </c>
      <c r="BY52" s="367">
        <v>85056.464047242</v>
      </c>
      <c r="BZ52" s="368">
        <v>0.11304768499999999</v>
      </c>
      <c r="CA52" s="367" t="s">
        <v>446</v>
      </c>
      <c r="CB52" s="190"/>
      <c r="CC52" s="369">
        <f t="shared" si="24"/>
        <v>0.13044130849642613</v>
      </c>
      <c r="CE52" s="370">
        <f t="shared" si="25"/>
        <v>5.6098283598299908E-2</v>
      </c>
    </row>
    <row r="53" spans="1:83">
      <c r="A53" s="363">
        <v>210062</v>
      </c>
      <c r="B53" s="363" t="s">
        <v>368</v>
      </c>
      <c r="C53" s="87">
        <v>163277.70413999999</v>
      </c>
      <c r="D53" s="87">
        <v>107044.99586</v>
      </c>
      <c r="E53" s="87">
        <v>270322.7</v>
      </c>
      <c r="F53" s="87">
        <v>74043.801426227001</v>
      </c>
      <c r="G53" s="87">
        <v>29798.340390732999</v>
      </c>
      <c r="H53" s="87">
        <v>103842.141816961</v>
      </c>
      <c r="I53" s="87">
        <v>5882.5430099730002</v>
      </c>
      <c r="J53" s="87">
        <v>4514.924859488</v>
      </c>
      <c r="K53" s="87">
        <v>10397.467869460999</v>
      </c>
      <c r="L53" s="87">
        <v>13177.175607513</v>
      </c>
      <c r="M53" s="87">
        <v>12792.479754808999</v>
      </c>
      <c r="N53" s="87">
        <v>25969.655362322999</v>
      </c>
      <c r="O53" s="87">
        <v>32888.052631535997</v>
      </c>
      <c r="P53" s="87">
        <v>22969.674730226001</v>
      </c>
      <c r="Q53" s="87">
        <v>55857.727361760997</v>
      </c>
      <c r="R53" s="87">
        <v>1117.903</v>
      </c>
      <c r="S53" s="87">
        <v>5533.0189344219998</v>
      </c>
      <c r="T53" s="87">
        <v>6245.9578055780003</v>
      </c>
      <c r="U53" s="87">
        <v>11778.97674</v>
      </c>
      <c r="V53" s="87">
        <v>31753.112530327999</v>
      </c>
      <c r="W53" s="87">
        <v>30723.618319165998</v>
      </c>
      <c r="X53" s="87">
        <v>62476.730849494001</v>
      </c>
      <c r="Y53" s="87">
        <v>212377.378316938</v>
      </c>
      <c r="Z53" s="87">
        <v>232889.437647388</v>
      </c>
      <c r="AA53" s="131">
        <f t="shared" si="0"/>
        <v>0.38414140513157419</v>
      </c>
      <c r="AB53" s="351">
        <f t="shared" si="1"/>
        <v>3.8463169646725928E-2</v>
      </c>
      <c r="AC53" s="351">
        <f t="shared" si="2"/>
        <v>0.20663350640460826</v>
      </c>
      <c r="AD53" s="351">
        <f t="shared" si="3"/>
        <v>0.24509667605133417</v>
      </c>
      <c r="AE53" s="351">
        <f t="shared" si="4"/>
        <v>4.3573761064091172E-2</v>
      </c>
      <c r="AF53" s="364">
        <f t="shared" si="5"/>
        <v>270322.69999999995</v>
      </c>
      <c r="AG53" s="365">
        <f t="shared" si="6"/>
        <v>0</v>
      </c>
      <c r="AH53" s="365">
        <f t="shared" si="7"/>
        <v>103842.14181696001</v>
      </c>
      <c r="AI53" s="365">
        <f t="shared" si="8"/>
        <v>-9.8953023552894592E-10</v>
      </c>
      <c r="AJ53" s="365">
        <f t="shared" si="9"/>
        <v>10397.467869461001</v>
      </c>
      <c r="AK53" s="365">
        <f t="shared" si="10"/>
        <v>0</v>
      </c>
      <c r="AL53" s="365">
        <f t="shared" si="11"/>
        <v>25969.655362321999</v>
      </c>
      <c r="AM53" s="365">
        <f t="shared" si="12"/>
        <v>-1.0004441719502211E-9</v>
      </c>
      <c r="AN53" s="365">
        <f t="shared" si="13"/>
        <v>55857.727361761994</v>
      </c>
      <c r="AO53" s="365">
        <f t="shared" si="14"/>
        <v>9.9680619314312935E-10</v>
      </c>
      <c r="AP53" s="365">
        <f t="shared" si="15"/>
        <v>1117.903</v>
      </c>
      <c r="AQ53" s="365">
        <f t="shared" si="16"/>
        <v>11778.97674</v>
      </c>
      <c r="AR53" s="365">
        <f t="shared" si="17"/>
        <v>0</v>
      </c>
      <c r="AS53" s="365">
        <f t="shared" si="18"/>
        <v>62476.730849493993</v>
      </c>
      <c r="AT53" s="365">
        <f t="shared" si="19"/>
        <v>0</v>
      </c>
      <c r="AU53" s="365">
        <f t="shared" si="20"/>
        <v>271440.60299999802</v>
      </c>
      <c r="AV53" s="365">
        <f t="shared" si="21"/>
        <v>1117.9029999980703</v>
      </c>
      <c r="AW53" s="366">
        <f t="shared" si="22"/>
        <v>1.9297203834867105E-9</v>
      </c>
      <c r="AX53" s="116">
        <f t="shared" si="23"/>
        <v>0</v>
      </c>
      <c r="AY53" s="190">
        <v>210062</v>
      </c>
      <c r="AZ53" s="190" t="s">
        <v>368</v>
      </c>
      <c r="BA53" s="190" t="s">
        <v>187</v>
      </c>
      <c r="BB53" s="367">
        <v>163277.70413999999</v>
      </c>
      <c r="BC53" s="367">
        <v>107044.99586</v>
      </c>
      <c r="BD53" s="367">
        <v>270322.7</v>
      </c>
      <c r="BE53" s="367">
        <v>74043.801426227001</v>
      </c>
      <c r="BF53" s="367">
        <v>29798.340390732999</v>
      </c>
      <c r="BG53" s="367">
        <v>103842.141816961</v>
      </c>
      <c r="BH53" s="367">
        <v>5882.5430099730002</v>
      </c>
      <c r="BI53" s="367">
        <v>4514.924859488</v>
      </c>
      <c r="BJ53" s="367">
        <v>10397.467869460999</v>
      </c>
      <c r="BK53" s="367">
        <v>13177.175607513</v>
      </c>
      <c r="BL53" s="367">
        <v>12792.479754808999</v>
      </c>
      <c r="BM53" s="367">
        <v>25969.655362322999</v>
      </c>
      <c r="BN53" s="367">
        <v>32888.052631535997</v>
      </c>
      <c r="BO53" s="367">
        <v>22969.674730226001</v>
      </c>
      <c r="BP53" s="367">
        <v>55857.727361760997</v>
      </c>
      <c r="BQ53" s="367">
        <v>1117.903</v>
      </c>
      <c r="BR53" s="367">
        <v>5533.0189344219998</v>
      </c>
      <c r="BS53" s="367">
        <v>6245.9578055780003</v>
      </c>
      <c r="BT53" s="367">
        <v>11778.97674</v>
      </c>
      <c r="BU53" s="367">
        <v>31753.112530327999</v>
      </c>
      <c r="BV53" s="367">
        <v>30723.618319165998</v>
      </c>
      <c r="BW53" s="367">
        <v>62476.730849494001</v>
      </c>
      <c r="BX53" s="367">
        <v>212377.378316938</v>
      </c>
      <c r="BY53" s="367">
        <v>232889.437647388</v>
      </c>
      <c r="BZ53" s="368">
        <v>9.6583071000000006E-2</v>
      </c>
      <c r="CA53" s="367" t="s">
        <v>446</v>
      </c>
      <c r="CB53" s="190"/>
      <c r="CC53" s="369">
        <f t="shared" si="24"/>
        <v>0.24509667605133417</v>
      </c>
      <c r="CE53" s="370">
        <f t="shared" si="25"/>
        <v>4.3573761064091172E-2</v>
      </c>
    </row>
    <row r="54" spans="1:83">
      <c r="A54" s="363">
        <v>210063</v>
      </c>
      <c r="B54" s="363" t="s">
        <v>369</v>
      </c>
      <c r="C54" s="87">
        <v>243572.76553999999</v>
      </c>
      <c r="D54" s="87">
        <v>164604.12628999999</v>
      </c>
      <c r="E54" s="87">
        <v>408176.89182999998</v>
      </c>
      <c r="F54" s="87">
        <v>119423.88311661901</v>
      </c>
      <c r="G54" s="87">
        <v>58327.298480129</v>
      </c>
      <c r="H54" s="87">
        <v>177751.18159674801</v>
      </c>
      <c r="I54" s="87">
        <v>7572.551157549</v>
      </c>
      <c r="J54" s="87">
        <v>1743.661065625</v>
      </c>
      <c r="K54" s="87">
        <v>9316.2122231739995</v>
      </c>
      <c r="L54" s="87">
        <v>27070.533514554001</v>
      </c>
      <c r="M54" s="87">
        <v>24502.998779402002</v>
      </c>
      <c r="N54" s="87">
        <v>51573.532293955999</v>
      </c>
      <c r="O54" s="87">
        <v>25037.029843818</v>
      </c>
      <c r="P54" s="87">
        <v>17544.815458526002</v>
      </c>
      <c r="Q54" s="87">
        <v>42581.845302344002</v>
      </c>
      <c r="R54" s="87">
        <v>418.32279999999997</v>
      </c>
      <c r="S54" s="87">
        <v>10034.582479375</v>
      </c>
      <c r="T54" s="87">
        <v>6781.2740806250004</v>
      </c>
      <c r="U54" s="87">
        <v>16815.85656</v>
      </c>
      <c r="V54" s="87">
        <v>54434.185428085002</v>
      </c>
      <c r="W54" s="87">
        <v>55704.078425692998</v>
      </c>
      <c r="X54" s="87">
        <v>110138.263853778</v>
      </c>
      <c r="Y54" s="87">
        <v>312344.76401935302</v>
      </c>
      <c r="Z54" s="87">
        <v>340639.915173963</v>
      </c>
      <c r="AA54" s="131">
        <f t="shared" si="0"/>
        <v>0.43547585655774679</v>
      </c>
      <c r="AB54" s="351">
        <f t="shared" si="1"/>
        <v>2.2823957969316088E-2</v>
      </c>
      <c r="AC54" s="351">
        <f t="shared" si="2"/>
        <v>0.10432203820121877</v>
      </c>
      <c r="AD54" s="351">
        <f t="shared" si="3"/>
        <v>0.12714599617053488</v>
      </c>
      <c r="AE54" s="351">
        <f t="shared" si="4"/>
        <v>4.1197473195037144E-2</v>
      </c>
      <c r="AF54" s="364">
        <f t="shared" si="5"/>
        <v>408176.89182999998</v>
      </c>
      <c r="AG54" s="365">
        <f t="shared" si="6"/>
        <v>0</v>
      </c>
      <c r="AH54" s="365">
        <f t="shared" si="7"/>
        <v>177751.18159674801</v>
      </c>
      <c r="AI54" s="365">
        <f t="shared" si="8"/>
        <v>0</v>
      </c>
      <c r="AJ54" s="365">
        <f t="shared" si="9"/>
        <v>9316.2122231739995</v>
      </c>
      <c r="AK54" s="365">
        <f t="shared" si="10"/>
        <v>0</v>
      </c>
      <c r="AL54" s="365">
        <f t="shared" si="11"/>
        <v>51573.532293955999</v>
      </c>
      <c r="AM54" s="365">
        <f t="shared" si="12"/>
        <v>0</v>
      </c>
      <c r="AN54" s="365">
        <f t="shared" si="13"/>
        <v>42581.845302344002</v>
      </c>
      <c r="AO54" s="365">
        <f t="shared" si="14"/>
        <v>0</v>
      </c>
      <c r="AP54" s="365">
        <f t="shared" si="15"/>
        <v>418.32279999999997</v>
      </c>
      <c r="AQ54" s="365">
        <f t="shared" si="16"/>
        <v>16815.85656</v>
      </c>
      <c r="AR54" s="365">
        <f t="shared" si="17"/>
        <v>0</v>
      </c>
      <c r="AS54" s="365">
        <f t="shared" si="18"/>
        <v>110138.263853778</v>
      </c>
      <c r="AT54" s="365">
        <f t="shared" si="19"/>
        <v>0</v>
      </c>
      <c r="AU54" s="365">
        <f t="shared" si="20"/>
        <v>408595.21463</v>
      </c>
      <c r="AV54" s="365">
        <f t="shared" si="21"/>
        <v>418.32280000002356</v>
      </c>
      <c r="AW54" s="366">
        <f t="shared" si="22"/>
        <v>-2.3590018827235326E-11</v>
      </c>
      <c r="AX54" s="116">
        <f t="shared" si="23"/>
        <v>0</v>
      </c>
      <c r="AY54" s="190">
        <v>210063</v>
      </c>
      <c r="AZ54" s="190" t="s">
        <v>369</v>
      </c>
      <c r="BA54" s="190" t="s">
        <v>187</v>
      </c>
      <c r="BB54" s="367">
        <v>243572.76553999999</v>
      </c>
      <c r="BC54" s="367">
        <v>164604.12628999999</v>
      </c>
      <c r="BD54" s="367">
        <v>408176.89182999998</v>
      </c>
      <c r="BE54" s="367">
        <v>119423.88311661901</v>
      </c>
      <c r="BF54" s="367">
        <v>58327.298480129</v>
      </c>
      <c r="BG54" s="367">
        <v>177751.18159674801</v>
      </c>
      <c r="BH54" s="367">
        <v>7572.551157549</v>
      </c>
      <c r="BI54" s="367">
        <v>1743.661065625</v>
      </c>
      <c r="BJ54" s="367">
        <v>9316.2122231739995</v>
      </c>
      <c r="BK54" s="367">
        <v>27070.533514554001</v>
      </c>
      <c r="BL54" s="367">
        <v>24502.998779402002</v>
      </c>
      <c r="BM54" s="367">
        <v>51573.532293955999</v>
      </c>
      <c r="BN54" s="367">
        <v>25037.029843818</v>
      </c>
      <c r="BO54" s="367">
        <v>17544.815458526002</v>
      </c>
      <c r="BP54" s="367">
        <v>42581.845302344002</v>
      </c>
      <c r="BQ54" s="367">
        <v>418.32279999999997</v>
      </c>
      <c r="BR54" s="367">
        <v>10034.582479375</v>
      </c>
      <c r="BS54" s="367">
        <v>6781.2740806250004</v>
      </c>
      <c r="BT54" s="367">
        <v>16815.85656</v>
      </c>
      <c r="BU54" s="367">
        <v>54434.185428085002</v>
      </c>
      <c r="BV54" s="367">
        <v>55704.078425692998</v>
      </c>
      <c r="BW54" s="367">
        <v>110138.263853778</v>
      </c>
      <c r="BX54" s="367">
        <v>312344.76401935302</v>
      </c>
      <c r="BY54" s="367">
        <v>340639.915173963</v>
      </c>
      <c r="BZ54" s="368">
        <v>9.0589483999999998E-2</v>
      </c>
      <c r="CA54" s="367" t="s">
        <v>446</v>
      </c>
      <c r="CB54" s="190"/>
      <c r="CC54" s="369">
        <f t="shared" si="24"/>
        <v>0.12714599617053488</v>
      </c>
      <c r="CE54" s="370">
        <f t="shared" si="25"/>
        <v>4.1197473195037144E-2</v>
      </c>
    </row>
    <row r="55" spans="1:83">
      <c r="A55" s="363">
        <v>210064</v>
      </c>
      <c r="B55" s="363" t="s">
        <v>74</v>
      </c>
      <c r="C55" s="87">
        <v>56643.603999999992</v>
      </c>
      <c r="D55" s="87">
        <v>2788.4199999999996</v>
      </c>
      <c r="E55" s="87">
        <v>59432.02399999999</v>
      </c>
      <c r="F55" s="87">
        <v>46662.59</v>
      </c>
      <c r="G55" s="87">
        <v>2650.79</v>
      </c>
      <c r="H55" s="87">
        <v>49313.38</v>
      </c>
      <c r="I55" s="87">
        <v>1398.9</v>
      </c>
      <c r="J55" s="87">
        <v>10.76</v>
      </c>
      <c r="K55" s="87">
        <v>1409.66</v>
      </c>
      <c r="L55" s="87">
        <v>1414.13</v>
      </c>
      <c r="M55" s="87">
        <v>42.74</v>
      </c>
      <c r="N55" s="87">
        <v>1456.8700000000001</v>
      </c>
      <c r="O55" s="87">
        <v>2518.89</v>
      </c>
      <c r="P55" s="87">
        <v>71.430000000000007</v>
      </c>
      <c r="Q55" s="87">
        <v>2590.3199999999997</v>
      </c>
      <c r="R55" s="87">
        <v>0</v>
      </c>
      <c r="S55" s="87">
        <v>2555.2339999999999</v>
      </c>
      <c r="T55" s="87">
        <v>0</v>
      </c>
      <c r="U55" s="87">
        <v>2555.2339999999999</v>
      </c>
      <c r="V55" s="87">
        <v>2093.8599999999956</v>
      </c>
      <c r="W55" s="87">
        <v>12.699999999999648</v>
      </c>
      <c r="X55" s="87">
        <v>2106.5599999999954</v>
      </c>
      <c r="Y55" s="87">
        <v>42173.442899999995</v>
      </c>
      <c r="Z55" s="87">
        <v>46759.406090218661</v>
      </c>
      <c r="AA55" s="131">
        <f t="shared" si="0"/>
        <v>0.8297442469736519</v>
      </c>
      <c r="AB55" s="351">
        <f t="shared" si="1"/>
        <v>2.3718862409935766E-2</v>
      </c>
      <c r="AC55" s="351">
        <f t="shared" si="2"/>
        <v>4.3584583287959368E-2</v>
      </c>
      <c r="AD55" s="351">
        <f t="shared" si="3"/>
        <v>6.7303445697895134E-2</v>
      </c>
      <c r="AE55" s="351">
        <f t="shared" si="4"/>
        <v>4.2994228162244658E-2</v>
      </c>
      <c r="AF55" s="364">
        <f t="shared" si="5"/>
        <v>59432.02399999999</v>
      </c>
      <c r="AG55" s="365">
        <f t="shared" si="6"/>
        <v>0</v>
      </c>
      <c r="AH55" s="365">
        <f t="shared" si="7"/>
        <v>49313.38</v>
      </c>
      <c r="AI55" s="365">
        <f t="shared" si="8"/>
        <v>0</v>
      </c>
      <c r="AJ55" s="365">
        <f t="shared" si="9"/>
        <v>1409.66</v>
      </c>
      <c r="AK55" s="365">
        <f t="shared" si="10"/>
        <v>0</v>
      </c>
      <c r="AL55" s="365">
        <f t="shared" si="11"/>
        <v>1456.8700000000001</v>
      </c>
      <c r="AM55" s="365">
        <f t="shared" si="12"/>
        <v>0</v>
      </c>
      <c r="AN55" s="365">
        <f t="shared" si="13"/>
        <v>2590.3199999999997</v>
      </c>
      <c r="AO55" s="365">
        <f t="shared" si="14"/>
        <v>0</v>
      </c>
      <c r="AP55" s="365">
        <f t="shared" si="15"/>
        <v>0</v>
      </c>
      <c r="AQ55" s="365">
        <f t="shared" si="16"/>
        <v>2555.2339999999999</v>
      </c>
      <c r="AR55" s="365">
        <f t="shared" si="17"/>
        <v>0</v>
      </c>
      <c r="AS55" s="365">
        <f t="shared" si="18"/>
        <v>2106.5599999999954</v>
      </c>
      <c r="AT55" s="365">
        <f t="shared" si="19"/>
        <v>0</v>
      </c>
      <c r="AU55" s="365">
        <f t="shared" si="20"/>
        <v>59432.023999999998</v>
      </c>
      <c r="AV55" s="365">
        <f t="shared" si="21"/>
        <v>0</v>
      </c>
      <c r="AW55" s="366">
        <f t="shared" si="22"/>
        <v>0</v>
      </c>
      <c r="AX55" s="116">
        <f t="shared" si="23"/>
        <v>0</v>
      </c>
      <c r="AY55" s="190">
        <v>210064</v>
      </c>
      <c r="AZ55" s="190" t="s">
        <v>74</v>
      </c>
      <c r="BA55" s="190" t="s">
        <v>187</v>
      </c>
      <c r="BB55" s="367">
        <v>56643.603999999992</v>
      </c>
      <c r="BC55" s="367">
        <v>2788.4199999999996</v>
      </c>
      <c r="BD55" s="367">
        <v>59432.02399999999</v>
      </c>
      <c r="BE55" s="367">
        <v>46662.59</v>
      </c>
      <c r="BF55" s="367">
        <v>2650.79</v>
      </c>
      <c r="BG55" s="367">
        <v>49313.38</v>
      </c>
      <c r="BH55" s="367">
        <v>1398.9</v>
      </c>
      <c r="BI55" s="367">
        <v>10.76</v>
      </c>
      <c r="BJ55" s="367">
        <v>1409.66</v>
      </c>
      <c r="BK55" s="367">
        <v>1414.13</v>
      </c>
      <c r="BL55" s="367">
        <v>42.74</v>
      </c>
      <c r="BM55" s="367">
        <v>1456.8700000000001</v>
      </c>
      <c r="BN55" s="367">
        <v>2518.89</v>
      </c>
      <c r="BO55" s="367">
        <v>71.430000000000007</v>
      </c>
      <c r="BP55" s="367">
        <v>2590.3199999999997</v>
      </c>
      <c r="BQ55" s="367">
        <v>0</v>
      </c>
      <c r="BR55" s="367">
        <v>2555.2339999999999</v>
      </c>
      <c r="BS55" s="367">
        <v>0</v>
      </c>
      <c r="BT55" s="367">
        <v>2555.2339999999999</v>
      </c>
      <c r="BU55" s="367">
        <v>2093.8599999999956</v>
      </c>
      <c r="BV55" s="367">
        <v>12.699999999999648</v>
      </c>
      <c r="BW55" s="367">
        <v>2106.5599999999954</v>
      </c>
      <c r="BX55" s="367">
        <v>42173.442899999995</v>
      </c>
      <c r="BY55" s="367">
        <v>46759.406090218661</v>
      </c>
      <c r="BZ55" s="368">
        <v>0.10874054558677426</v>
      </c>
      <c r="CA55" s="367" t="s">
        <v>446</v>
      </c>
      <c r="CB55" s="190"/>
      <c r="CC55" s="369">
        <f t="shared" si="24"/>
        <v>6.7303445697895134E-2</v>
      </c>
      <c r="CE55" s="370">
        <f t="shared" si="25"/>
        <v>4.2994228162244658E-2</v>
      </c>
    </row>
    <row r="56" spans="1:83">
      <c r="A56" s="363">
        <v>210065</v>
      </c>
      <c r="B56" s="363" t="s">
        <v>370</v>
      </c>
      <c r="C56" s="87">
        <v>57097.8</v>
      </c>
      <c r="D56" s="87">
        <v>39242.5</v>
      </c>
      <c r="E56" s="87">
        <v>96340.3</v>
      </c>
      <c r="F56" s="87">
        <v>23992.696839052998</v>
      </c>
      <c r="G56" s="87">
        <v>6597.4223835419998</v>
      </c>
      <c r="H56" s="87">
        <v>30590.119222593999</v>
      </c>
      <c r="I56" s="87">
        <v>6323.6273057039998</v>
      </c>
      <c r="J56" s="87">
        <v>1846.483491039</v>
      </c>
      <c r="K56" s="87">
        <v>8170.1107967440003</v>
      </c>
      <c r="L56" s="87">
        <v>6758.2986516029996</v>
      </c>
      <c r="M56" s="87">
        <v>7424.3308743990001</v>
      </c>
      <c r="N56" s="87">
        <v>14182.629526000999</v>
      </c>
      <c r="O56" s="87">
        <v>6499.4681421969999</v>
      </c>
      <c r="P56" s="87">
        <v>5529.058808152</v>
      </c>
      <c r="Q56" s="87">
        <v>12028.526950349</v>
      </c>
      <c r="R56" s="87">
        <v>893.93889999999999</v>
      </c>
      <c r="S56" s="87">
        <v>2691.2091624959999</v>
      </c>
      <c r="T56" s="87">
        <v>6132.4983321159998</v>
      </c>
      <c r="U56" s="87">
        <v>8823.7074946119992</v>
      </c>
      <c r="V56" s="87">
        <v>10832.499898947999</v>
      </c>
      <c r="W56" s="87">
        <v>11712.706110752</v>
      </c>
      <c r="X56" s="87">
        <v>22545.206009699999</v>
      </c>
      <c r="Y56" s="87">
        <v>87447.13331823</v>
      </c>
      <c r="Z56" s="87">
        <v>100653.399220386</v>
      </c>
      <c r="AA56" s="131">
        <f t="shared" si="0"/>
        <v>0.31752152757043522</v>
      </c>
      <c r="AB56" s="351">
        <f t="shared" si="1"/>
        <v>8.4804705785055681E-2</v>
      </c>
      <c r="AC56" s="351">
        <f t="shared" si="2"/>
        <v>0.12485457228541949</v>
      </c>
      <c r="AD56" s="351">
        <f t="shared" si="3"/>
        <v>0.20965927807047519</v>
      </c>
      <c r="AE56" s="351">
        <f t="shared" si="4"/>
        <v>9.1588955967668764E-2</v>
      </c>
      <c r="AF56" s="364">
        <f t="shared" si="5"/>
        <v>96340.3</v>
      </c>
      <c r="AG56" s="365">
        <f t="shared" si="6"/>
        <v>0</v>
      </c>
      <c r="AH56" s="365">
        <f t="shared" si="7"/>
        <v>30590.119222595</v>
      </c>
      <c r="AI56" s="365">
        <f t="shared" si="8"/>
        <v>1.0004441719502211E-9</v>
      </c>
      <c r="AJ56" s="365">
        <f t="shared" si="9"/>
        <v>8170.1107967429998</v>
      </c>
      <c r="AK56" s="365">
        <f t="shared" si="10"/>
        <v>-1.0004441719502211E-9</v>
      </c>
      <c r="AL56" s="365">
        <f t="shared" si="11"/>
        <v>14182.629526002</v>
      </c>
      <c r="AM56" s="365">
        <f t="shared" si="12"/>
        <v>1.0004441719502211E-9</v>
      </c>
      <c r="AN56" s="365">
        <f t="shared" si="13"/>
        <v>12028.526950349</v>
      </c>
      <c r="AO56" s="365">
        <f t="shared" si="14"/>
        <v>0</v>
      </c>
      <c r="AP56" s="365">
        <f t="shared" si="15"/>
        <v>893.93889999999999</v>
      </c>
      <c r="AQ56" s="365">
        <f t="shared" si="16"/>
        <v>8823.7074946119992</v>
      </c>
      <c r="AR56" s="365">
        <f t="shared" si="17"/>
        <v>0</v>
      </c>
      <c r="AS56" s="365">
        <f t="shared" si="18"/>
        <v>22545.206009699999</v>
      </c>
      <c r="AT56" s="365">
        <f t="shared" si="19"/>
        <v>0</v>
      </c>
      <c r="AU56" s="365">
        <f t="shared" si="20"/>
        <v>97234.238900001976</v>
      </c>
      <c r="AV56" s="365">
        <f t="shared" si="21"/>
        <v>893.9389000019728</v>
      </c>
      <c r="AW56" s="366">
        <f t="shared" si="22"/>
        <v>-1.972807694983203E-9</v>
      </c>
      <c r="AX56" s="116">
        <f t="shared" si="23"/>
        <v>0</v>
      </c>
      <c r="AY56" s="190">
        <v>210065</v>
      </c>
      <c r="AZ56" s="190" t="s">
        <v>370</v>
      </c>
      <c r="BA56" s="190" t="s">
        <v>187</v>
      </c>
      <c r="BB56" s="367">
        <v>57097.8</v>
      </c>
      <c r="BC56" s="367">
        <v>39242.5</v>
      </c>
      <c r="BD56" s="367">
        <v>96340.3</v>
      </c>
      <c r="BE56" s="367">
        <v>23992.696839052998</v>
      </c>
      <c r="BF56" s="367">
        <v>6597.4223835419998</v>
      </c>
      <c r="BG56" s="367">
        <v>30590.119222593999</v>
      </c>
      <c r="BH56" s="367">
        <v>6323.6273057039998</v>
      </c>
      <c r="BI56" s="367">
        <v>1846.483491039</v>
      </c>
      <c r="BJ56" s="367">
        <v>8170.1107967440003</v>
      </c>
      <c r="BK56" s="367">
        <v>6758.2986516029996</v>
      </c>
      <c r="BL56" s="367">
        <v>7424.3308743990001</v>
      </c>
      <c r="BM56" s="367">
        <v>14182.629526000999</v>
      </c>
      <c r="BN56" s="367">
        <v>6499.4681421969999</v>
      </c>
      <c r="BO56" s="367">
        <v>5529.058808152</v>
      </c>
      <c r="BP56" s="367">
        <v>12028.526950349</v>
      </c>
      <c r="BQ56" s="367">
        <v>893.93889999999999</v>
      </c>
      <c r="BR56" s="367">
        <v>2691.2091624959999</v>
      </c>
      <c r="BS56" s="367">
        <v>6132.4983321159998</v>
      </c>
      <c r="BT56" s="367">
        <v>8823.7074946119992</v>
      </c>
      <c r="BU56" s="367">
        <v>10832.499898947999</v>
      </c>
      <c r="BV56" s="367">
        <v>11712.706110752</v>
      </c>
      <c r="BW56" s="367">
        <v>22545.206009699999</v>
      </c>
      <c r="BX56" s="367">
        <v>87447.13331823</v>
      </c>
      <c r="BY56" s="367">
        <v>100653.399220386</v>
      </c>
      <c r="BZ56" s="368">
        <v>0.15101999799999999</v>
      </c>
      <c r="CA56" s="367" t="s">
        <v>446</v>
      </c>
      <c r="CB56" s="190"/>
      <c r="CC56" s="369">
        <f t="shared" si="24"/>
        <v>0.20965927807047519</v>
      </c>
      <c r="CE56" s="370">
        <f t="shared" si="25"/>
        <v>9.1588955967668764E-2</v>
      </c>
    </row>
    <row r="57" spans="1:83">
      <c r="A57" s="363">
        <v>218992</v>
      </c>
      <c r="B57" s="363" t="s">
        <v>371</v>
      </c>
      <c r="C57" s="87">
        <v>187194.67</v>
      </c>
      <c r="D57" s="87">
        <v>26000.441999999999</v>
      </c>
      <c r="E57" s="87">
        <v>213195.11199999999</v>
      </c>
      <c r="F57" s="87">
        <v>59235.607322873999</v>
      </c>
      <c r="G57" s="87">
        <v>8227.5374068040001</v>
      </c>
      <c r="H57" s="87">
        <v>67463.144729677995</v>
      </c>
      <c r="I57" s="87">
        <v>11693.566909749001</v>
      </c>
      <c r="J57" s="87">
        <v>1624.179501436</v>
      </c>
      <c r="K57" s="87">
        <v>13317.746411186001</v>
      </c>
      <c r="L57" s="87">
        <v>28318.136722013998</v>
      </c>
      <c r="M57" s="87">
        <v>3933.2512943010001</v>
      </c>
      <c r="N57" s="87">
        <v>32251.388016314999</v>
      </c>
      <c r="O57" s="87">
        <v>52071.583242366003</v>
      </c>
      <c r="P57" s="87">
        <v>7232.4893475460003</v>
      </c>
      <c r="Q57" s="87">
        <v>59304.072589912001</v>
      </c>
      <c r="R57" s="87">
        <v>350.846800863</v>
      </c>
      <c r="S57" s="87">
        <v>11547.835424085</v>
      </c>
      <c r="T57" s="87">
        <v>1679.899575915</v>
      </c>
      <c r="U57" s="87">
        <v>13227.735000000001</v>
      </c>
      <c r="V57" s="87">
        <v>24327.940378912001</v>
      </c>
      <c r="W57" s="87">
        <v>3303.0848739980001</v>
      </c>
      <c r="X57" s="87">
        <v>27631.02525291</v>
      </c>
      <c r="Y57" s="87">
        <v>166518.858727101</v>
      </c>
      <c r="Z57" s="87">
        <v>186565.769460449</v>
      </c>
      <c r="AA57" s="131">
        <f t="shared" si="0"/>
        <v>0.3164385153899682</v>
      </c>
      <c r="AB57" s="351">
        <f t="shared" si="1"/>
        <v>6.2467409718033315E-2</v>
      </c>
      <c r="AC57" s="351">
        <f t="shared" si="2"/>
        <v>0.27816806883411099</v>
      </c>
      <c r="AD57" s="351">
        <f t="shared" si="3"/>
        <v>0.34063547855214432</v>
      </c>
      <c r="AE57" s="351">
        <f t="shared" si="4"/>
        <v>6.2045207678119753E-2</v>
      </c>
      <c r="AF57" s="364">
        <f t="shared" si="5"/>
        <v>213195.11200000002</v>
      </c>
      <c r="AG57" s="365">
        <f t="shared" si="6"/>
        <v>0</v>
      </c>
      <c r="AH57" s="365">
        <f t="shared" si="7"/>
        <v>67463.144729677995</v>
      </c>
      <c r="AI57" s="365">
        <f t="shared" si="8"/>
        <v>0</v>
      </c>
      <c r="AJ57" s="365">
        <f t="shared" si="9"/>
        <v>13317.746411185</v>
      </c>
      <c r="AK57" s="365">
        <f t="shared" si="10"/>
        <v>-1.0004441719502211E-9</v>
      </c>
      <c r="AL57" s="365">
        <f t="shared" si="11"/>
        <v>32251.388016314999</v>
      </c>
      <c r="AM57" s="365">
        <f t="shared" si="12"/>
        <v>0</v>
      </c>
      <c r="AN57" s="365">
        <f t="shared" si="13"/>
        <v>59304.072589912001</v>
      </c>
      <c r="AO57" s="365">
        <f t="shared" si="14"/>
        <v>0</v>
      </c>
      <c r="AP57" s="365">
        <f t="shared" si="15"/>
        <v>350.846800863</v>
      </c>
      <c r="AQ57" s="365">
        <f t="shared" si="16"/>
        <v>13227.735000000001</v>
      </c>
      <c r="AR57" s="365">
        <f t="shared" si="17"/>
        <v>0</v>
      </c>
      <c r="AS57" s="365">
        <f t="shared" si="18"/>
        <v>27631.02525291</v>
      </c>
      <c r="AT57" s="365">
        <f t="shared" si="19"/>
        <v>0</v>
      </c>
      <c r="AU57" s="365">
        <f t="shared" si="20"/>
        <v>213545.95880086199</v>
      </c>
      <c r="AV57" s="365">
        <f t="shared" si="21"/>
        <v>350.84680086196749</v>
      </c>
      <c r="AW57" s="366">
        <f t="shared" si="22"/>
        <v>1.0325038601877168E-9</v>
      </c>
      <c r="AX57" s="116">
        <f t="shared" si="23"/>
        <v>0</v>
      </c>
      <c r="AY57" s="190">
        <v>218992</v>
      </c>
      <c r="AZ57" s="190" t="s">
        <v>371</v>
      </c>
      <c r="BA57" s="190" t="s">
        <v>187</v>
      </c>
      <c r="BB57" s="367">
        <v>187194.67</v>
      </c>
      <c r="BC57" s="367">
        <v>26000.441999999999</v>
      </c>
      <c r="BD57" s="367">
        <v>213195.11199999999</v>
      </c>
      <c r="BE57" s="367">
        <v>59235.607322873999</v>
      </c>
      <c r="BF57" s="367">
        <v>8227.5374068040001</v>
      </c>
      <c r="BG57" s="367">
        <v>67463.144729677995</v>
      </c>
      <c r="BH57" s="367">
        <v>11693.566909749001</v>
      </c>
      <c r="BI57" s="367">
        <v>1624.179501436</v>
      </c>
      <c r="BJ57" s="367">
        <v>13317.746411186001</v>
      </c>
      <c r="BK57" s="367">
        <v>28318.136722013998</v>
      </c>
      <c r="BL57" s="367">
        <v>3933.2512943010001</v>
      </c>
      <c r="BM57" s="367">
        <v>32251.388016314999</v>
      </c>
      <c r="BN57" s="367">
        <v>52071.583242366003</v>
      </c>
      <c r="BO57" s="367">
        <v>7232.4893475460003</v>
      </c>
      <c r="BP57" s="367">
        <v>59304.072589912001</v>
      </c>
      <c r="BQ57" s="367">
        <v>350.846800863</v>
      </c>
      <c r="BR57" s="367">
        <v>11547.835424085</v>
      </c>
      <c r="BS57" s="367">
        <v>1679.899575915</v>
      </c>
      <c r="BT57" s="367">
        <v>13227.735000000001</v>
      </c>
      <c r="BU57" s="367">
        <v>24327.940378912001</v>
      </c>
      <c r="BV57" s="367">
        <v>3303.0848739980001</v>
      </c>
      <c r="BW57" s="367">
        <v>27631.02525291</v>
      </c>
      <c r="BX57" s="367">
        <v>166518.858727101</v>
      </c>
      <c r="BY57" s="367">
        <v>186565.769460449</v>
      </c>
      <c r="BZ57" s="368">
        <v>0.12038823</v>
      </c>
      <c r="CA57" s="367" t="s">
        <v>446</v>
      </c>
      <c r="CB57" s="190"/>
      <c r="CC57" s="369">
        <f>(BJ57+BP57)/BD57</f>
        <v>0.34063547855214432</v>
      </c>
      <c r="CE57" s="370">
        <f t="shared" si="25"/>
        <v>6.2045207678119753E-2</v>
      </c>
    </row>
    <row r="58" spans="1:83">
      <c r="A58" s="356"/>
      <c r="B58" s="356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371"/>
      <c r="AB58" s="351"/>
      <c r="AC58" s="351"/>
      <c r="AD58" s="351"/>
      <c r="AE58" s="351"/>
      <c r="AF58" s="361"/>
      <c r="AW58" s="362"/>
      <c r="CE58" s="370"/>
    </row>
    <row r="59" spans="1:83">
      <c r="A59" s="116" t="s">
        <v>187</v>
      </c>
      <c r="B59" s="116" t="s">
        <v>390</v>
      </c>
      <c r="C59" s="87">
        <f t="shared" ref="C59:Z59" si="26">SUM(C9:C57)</f>
        <v>9519975.3133147713</v>
      </c>
      <c r="D59" s="87">
        <f t="shared" si="26"/>
        <v>7202752.7922184067</v>
      </c>
      <c r="E59" s="87">
        <f t="shared" si="26"/>
        <v>16722728.10553317</v>
      </c>
      <c r="F59" s="87">
        <f t="shared" si="26"/>
        <v>4074503.7175811119</v>
      </c>
      <c r="G59" s="87">
        <f t="shared" si="26"/>
        <v>2239593.1517546731</v>
      </c>
      <c r="H59" s="87">
        <f t="shared" si="26"/>
        <v>6314096.8693357818</v>
      </c>
      <c r="I59" s="87">
        <f t="shared" si="26"/>
        <v>540390.4737771689</v>
      </c>
      <c r="J59" s="87">
        <f t="shared" si="26"/>
        <v>218112.30851522306</v>
      </c>
      <c r="K59" s="87">
        <f t="shared" si="26"/>
        <v>758502.78229239804</v>
      </c>
      <c r="L59" s="87">
        <f t="shared" si="26"/>
        <v>1110142.690833766</v>
      </c>
      <c r="M59" s="87">
        <f t="shared" si="26"/>
        <v>1176377.0378962287</v>
      </c>
      <c r="N59" s="87">
        <f t="shared" si="26"/>
        <v>2286519.7287299945</v>
      </c>
      <c r="O59" s="87">
        <f t="shared" si="26"/>
        <v>1816919.5234203283</v>
      </c>
      <c r="P59" s="87">
        <f t="shared" si="26"/>
        <v>1460268.2210853796</v>
      </c>
      <c r="Q59" s="87">
        <f t="shared" si="26"/>
        <v>3277187.744505703</v>
      </c>
      <c r="R59" s="87">
        <f t="shared" si="26"/>
        <v>102136.24111645199</v>
      </c>
      <c r="S59" s="87">
        <f t="shared" si="26"/>
        <v>305069.14670956094</v>
      </c>
      <c r="T59" s="87">
        <f t="shared" si="26"/>
        <v>390611.28888479888</v>
      </c>
      <c r="U59" s="87">
        <f t="shared" si="26"/>
        <v>695680.43559435918</v>
      </c>
      <c r="V59" s="87">
        <f t="shared" si="26"/>
        <v>1672949.7609928334</v>
      </c>
      <c r="W59" s="87">
        <f t="shared" si="26"/>
        <v>1717790.7840821019</v>
      </c>
      <c r="X59" s="87">
        <f t="shared" si="26"/>
        <v>3390740.5450749369</v>
      </c>
      <c r="Y59" s="87">
        <f t="shared" si="26"/>
        <v>13230570.502602531</v>
      </c>
      <c r="Z59" s="87">
        <f t="shared" si="26"/>
        <v>14493652.64488733</v>
      </c>
      <c r="AA59" s="131">
        <f>H59/E59</f>
        <v>0.37757576571771151</v>
      </c>
      <c r="AB59" s="351">
        <f>K59/E59</f>
        <v>4.5357598204411799E-2</v>
      </c>
      <c r="AC59" s="351">
        <f>Q59/E59</f>
        <v>0.19597207607659162</v>
      </c>
      <c r="AD59" s="351">
        <f>(K59+Q59)/E59</f>
        <v>0.24132967428100341</v>
      </c>
      <c r="AE59" s="351">
        <f>U59/E59</f>
        <v>4.1600893777862379E-2</v>
      </c>
      <c r="AF59" s="372">
        <f t="shared" ref="AF59:AV59" si="27">SUM(AF9:AF57)</f>
        <v>16722728.10553317</v>
      </c>
      <c r="AG59" s="373">
        <f t="shared" si="27"/>
        <v>0</v>
      </c>
      <c r="AH59" s="373">
        <f t="shared" si="27"/>
        <v>6314096.8693357846</v>
      </c>
      <c r="AI59" s="373">
        <f t="shared" si="27"/>
        <v>2.9722286853939295E-9</v>
      </c>
      <c r="AJ59" s="373">
        <f t="shared" si="27"/>
        <v>758502.7822923921</v>
      </c>
      <c r="AK59" s="373">
        <f t="shared" si="27"/>
        <v>-5.9958438214380294E-9</v>
      </c>
      <c r="AL59" s="373">
        <f t="shared" si="27"/>
        <v>2286519.728729994</v>
      </c>
      <c r="AM59" s="373">
        <f t="shared" si="27"/>
        <v>-1.4551915228366852E-11</v>
      </c>
      <c r="AN59" s="373">
        <f t="shared" si="27"/>
        <v>3277187.7445057076</v>
      </c>
      <c r="AO59" s="373">
        <f t="shared" si="27"/>
        <v>4.980392986908555E-9</v>
      </c>
      <c r="AP59" s="373">
        <f t="shared" si="27"/>
        <v>102136.24111645199</v>
      </c>
      <c r="AQ59" s="373">
        <f t="shared" si="27"/>
        <v>695680.43559436023</v>
      </c>
      <c r="AR59" s="373">
        <f t="shared" si="27"/>
        <v>9.9862518254667521E-10</v>
      </c>
      <c r="AS59" s="373">
        <f t="shared" si="27"/>
        <v>3390740.545074936</v>
      </c>
      <c r="AT59" s="373">
        <f t="shared" si="27"/>
        <v>-1.0113581083714962E-9</v>
      </c>
      <c r="AU59" s="373">
        <f t="shared" si="27"/>
        <v>16824864.346649632</v>
      </c>
      <c r="AV59" s="373">
        <f t="shared" si="27"/>
        <v>102136.24111645563</v>
      </c>
      <c r="AW59" s="374">
        <f>SUM(AW9:AW58)</f>
        <v>-3.6138203540758695E-9</v>
      </c>
      <c r="CE59" s="370">
        <f t="shared" si="25"/>
        <v>4.1600893777862379E-2</v>
      </c>
    </row>
    <row r="60" spans="1:83">
      <c r="C60" s="351">
        <f>C59/$E$59</f>
        <v>0.56928362724290349</v>
      </c>
      <c r="D60" s="351">
        <f>D59/$E$59</f>
        <v>0.43071637275709695</v>
      </c>
      <c r="E60" s="351">
        <f>E59/$E$59</f>
        <v>1</v>
      </c>
      <c r="F60" s="375"/>
      <c r="H60" s="351">
        <f>H59/$E$59</f>
        <v>0.37757576571771151</v>
      </c>
      <c r="K60" s="351">
        <f>K59/$E$59</f>
        <v>4.5357598204411799E-2</v>
      </c>
      <c r="N60" s="351">
        <f>N59/$E$59</f>
        <v>0.13673126264448665</v>
      </c>
      <c r="Q60" s="351">
        <f>Q59/$E$59</f>
        <v>0.19597207607659162</v>
      </c>
      <c r="T60" s="351"/>
      <c r="U60" s="376">
        <f>U59/$E$59</f>
        <v>4.1600893777862379E-2</v>
      </c>
      <c r="X60" s="351">
        <f>X59/$E$59</f>
        <v>0.20276240357893627</v>
      </c>
      <c r="Y60" s="351">
        <f>Y59/$E$59</f>
        <v>0.79117297244250695</v>
      </c>
      <c r="Z60" s="351">
        <f>Z59/$E$59</f>
        <v>0.86670383883666147</v>
      </c>
      <c r="AB60" s="351">
        <f>AB59/AD59</f>
        <v>0.18794869855746615</v>
      </c>
      <c r="AC60" s="351">
        <f>AC59/AD59</f>
        <v>0.8120513014425339</v>
      </c>
      <c r="CE60" s="370"/>
    </row>
    <row r="61" spans="1:83">
      <c r="C61" s="365"/>
      <c r="D61" s="365"/>
      <c r="E61" s="365"/>
      <c r="F61" s="365"/>
      <c r="G61" s="365"/>
      <c r="H61" s="365"/>
      <c r="I61" s="365"/>
      <c r="J61" s="365"/>
      <c r="K61" s="365"/>
      <c r="L61" s="365"/>
      <c r="M61" s="365"/>
      <c r="N61" s="365"/>
      <c r="O61" s="365"/>
      <c r="P61" s="365"/>
      <c r="Q61" s="365"/>
      <c r="R61" s="365"/>
      <c r="S61" s="365"/>
      <c r="T61" s="365"/>
      <c r="U61" s="365"/>
      <c r="V61" s="365"/>
      <c r="W61" s="365"/>
      <c r="X61" s="365"/>
      <c r="Z61" s="365"/>
      <c r="AY61" s="190">
        <v>210087</v>
      </c>
      <c r="AZ61" s="190" t="s">
        <v>344</v>
      </c>
      <c r="BA61" s="190" t="s">
        <v>187</v>
      </c>
      <c r="BB61" s="367">
        <v>0</v>
      </c>
      <c r="BC61" s="367">
        <v>14275.7</v>
      </c>
      <c r="BD61" s="367">
        <v>14275.7</v>
      </c>
      <c r="BE61" s="367">
        <v>0</v>
      </c>
      <c r="BF61" s="367">
        <v>1112.5229999999999</v>
      </c>
      <c r="BG61" s="367">
        <v>1112.5229999999999</v>
      </c>
      <c r="BH61" s="367">
        <v>0</v>
      </c>
      <c r="BI61" s="367">
        <v>420.04599999999999</v>
      </c>
      <c r="BJ61" s="367">
        <v>420.04599999999999</v>
      </c>
      <c r="BK61" s="367">
        <v>0</v>
      </c>
      <c r="BL61" s="367">
        <v>2595.56</v>
      </c>
      <c r="BM61" s="367">
        <v>2595.56</v>
      </c>
      <c r="BN61" s="367">
        <v>0</v>
      </c>
      <c r="BO61" s="367">
        <v>4792.674</v>
      </c>
      <c r="BP61" s="367">
        <v>4792.674</v>
      </c>
      <c r="BQ61" s="367">
        <v>110.727</v>
      </c>
      <c r="BR61" s="367">
        <v>0</v>
      </c>
      <c r="BS61" s="367">
        <v>2067.1410000000001</v>
      </c>
      <c r="BT61" s="367">
        <v>2067.1410000000001</v>
      </c>
      <c r="BU61" s="367">
        <v>0</v>
      </c>
      <c r="BV61" s="367">
        <v>3287.7560000000017</v>
      </c>
      <c r="BW61" s="367">
        <v>3287.7560000000017</v>
      </c>
      <c r="BX61" s="367">
        <v>10756.800999999999</v>
      </c>
      <c r="BY61" s="367">
        <v>13114.588693618009</v>
      </c>
      <c r="BZ61" s="368">
        <v>0.21919041670641759</v>
      </c>
      <c r="CA61" s="367" t="s">
        <v>446</v>
      </c>
      <c r="CB61" s="190"/>
      <c r="CC61" s="369">
        <f t="shared" ref="CC61:CC67" si="28">(BJ61+BP61)/BD61</f>
        <v>0.36514636760369018</v>
      </c>
      <c r="CE61" s="370"/>
    </row>
    <row r="62" spans="1:83">
      <c r="A62" s="116" t="s">
        <v>187</v>
      </c>
      <c r="B62" s="116" t="s">
        <v>381</v>
      </c>
      <c r="C62" s="87">
        <f>C119</f>
        <v>9389029.8354667276</v>
      </c>
      <c r="D62" s="87">
        <f t="shared" ref="D62:AE62" si="29">D119</f>
        <v>6985006.0660162354</v>
      </c>
      <c r="E62" s="87">
        <f t="shared" si="29"/>
        <v>16374035.901482966</v>
      </c>
      <c r="F62" s="87">
        <f t="shared" si="29"/>
        <v>3932868.5107381409</v>
      </c>
      <c r="G62" s="87">
        <f t="shared" si="29"/>
        <v>2185346.0636900058</v>
      </c>
      <c r="H62" s="87">
        <f t="shared" si="29"/>
        <v>6118214.5744281467</v>
      </c>
      <c r="I62" s="87">
        <f t="shared" si="29"/>
        <v>628408.31382317771</v>
      </c>
      <c r="J62" s="87">
        <f t="shared" si="29"/>
        <v>289828.12575003091</v>
      </c>
      <c r="K62" s="87">
        <f t="shared" si="29"/>
        <v>918236.43957321194</v>
      </c>
      <c r="L62" s="87">
        <f t="shared" si="29"/>
        <v>1122423.517857404</v>
      </c>
      <c r="M62" s="87">
        <f t="shared" si="29"/>
        <v>1155226.8518741303</v>
      </c>
      <c r="N62" s="87">
        <f t="shared" si="29"/>
        <v>2277650.3697315301</v>
      </c>
      <c r="O62" s="87">
        <f t="shared" si="29"/>
        <v>1602566.1305565059</v>
      </c>
      <c r="P62" s="87">
        <f t="shared" si="29"/>
        <v>1241390.6153549312</v>
      </c>
      <c r="Q62" s="87">
        <f t="shared" si="29"/>
        <v>2843956.7459114343</v>
      </c>
      <c r="R62" s="87">
        <f t="shared" si="29"/>
        <v>101707.44250784299</v>
      </c>
      <c r="S62" s="87">
        <f t="shared" si="29"/>
        <v>333201.12933193101</v>
      </c>
      <c r="T62" s="87">
        <f t="shared" si="29"/>
        <v>413791.16450138611</v>
      </c>
      <c r="U62" s="87">
        <f t="shared" si="29"/>
        <v>746992.293833317</v>
      </c>
      <c r="V62" s="87">
        <f t="shared" si="29"/>
        <v>1769562.2331595744</v>
      </c>
      <c r="W62" s="87">
        <f t="shared" si="29"/>
        <v>1699423.2448457519</v>
      </c>
      <c r="X62" s="87">
        <f t="shared" si="29"/>
        <v>3468985.4780053231</v>
      </c>
      <c r="Y62" s="87">
        <f t="shared" si="29"/>
        <v>2.5884189192505338</v>
      </c>
      <c r="Z62" s="87">
        <f t="shared" si="29"/>
        <v>12674453.56041144</v>
      </c>
      <c r="AA62" s="87"/>
      <c r="AB62" s="175">
        <f t="shared" si="29"/>
        <v>5.6078809469939477E-2</v>
      </c>
      <c r="AC62" s="175">
        <f t="shared" si="29"/>
        <v>0.17368697387880178</v>
      </c>
      <c r="AD62" s="175">
        <f t="shared" si="29"/>
        <v>0.22976578334874126</v>
      </c>
      <c r="AE62" s="175">
        <f t="shared" si="29"/>
        <v>4.5620535970955292E-2</v>
      </c>
      <c r="AF62" s="351"/>
      <c r="AY62" s="190">
        <v>210088</v>
      </c>
      <c r="AZ62" s="190" t="s">
        <v>372</v>
      </c>
      <c r="BA62" s="190" t="s">
        <v>187</v>
      </c>
      <c r="BB62" s="367">
        <v>0</v>
      </c>
      <c r="BC62" s="367">
        <v>6432.8073299999996</v>
      </c>
      <c r="BD62" s="367">
        <v>6432.8073299999996</v>
      </c>
      <c r="BE62" s="367">
        <v>0</v>
      </c>
      <c r="BF62" s="367">
        <v>1209.4359999999999</v>
      </c>
      <c r="BG62" s="367">
        <v>1209.4359999999999</v>
      </c>
      <c r="BH62" s="367">
        <v>0</v>
      </c>
      <c r="BI62" s="367">
        <v>157.90600000000001</v>
      </c>
      <c r="BJ62" s="367">
        <v>157.90600000000001</v>
      </c>
      <c r="BK62" s="367">
        <v>0</v>
      </c>
      <c r="BL62" s="367">
        <v>835.81899999999996</v>
      </c>
      <c r="BM62" s="367">
        <v>835.81899999999996</v>
      </c>
      <c r="BN62" s="367">
        <v>0</v>
      </c>
      <c r="BO62" s="367">
        <v>1698.924</v>
      </c>
      <c r="BP62" s="367">
        <v>1698.924</v>
      </c>
      <c r="BQ62" s="367">
        <v>0</v>
      </c>
      <c r="BR62" s="367">
        <v>0</v>
      </c>
      <c r="BS62" s="367">
        <v>704.33497999999997</v>
      </c>
      <c r="BT62" s="367">
        <v>704.33497999999997</v>
      </c>
      <c r="BU62" s="367">
        <v>0</v>
      </c>
      <c r="BV62" s="367">
        <v>1826.38735</v>
      </c>
      <c r="BW62" s="367">
        <v>1826.38735</v>
      </c>
      <c r="BX62" s="367">
        <v>7116.4332925400004</v>
      </c>
      <c r="BY62" s="367">
        <v>8336.6492842009993</v>
      </c>
      <c r="BZ62" s="368">
        <v>0.171464544</v>
      </c>
      <c r="CA62" s="367" t="s">
        <v>446</v>
      </c>
      <c r="CB62" s="190"/>
      <c r="CC62" s="369">
        <f t="shared" si="28"/>
        <v>0.28865002552470354</v>
      </c>
      <c r="CE62" s="370"/>
    </row>
    <row r="63" spans="1:83">
      <c r="C63" s="351">
        <f>+C120</f>
        <v>0.5734096280206874</v>
      </c>
      <c r="D63" s="351">
        <f>+D120</f>
        <v>0.42659037197931249</v>
      </c>
      <c r="E63" s="351">
        <f>+E120</f>
        <v>1</v>
      </c>
      <c r="F63" s="351"/>
      <c r="G63" s="351"/>
      <c r="H63" s="351">
        <f>+H120</f>
        <v>0.37365342370319532</v>
      </c>
      <c r="I63" s="351"/>
      <c r="J63" s="351"/>
      <c r="K63" s="351">
        <f>+K120</f>
        <v>5.6078809469939477E-2</v>
      </c>
      <c r="L63" s="351"/>
      <c r="M63" s="351"/>
      <c r="N63" s="351">
        <f>+N120</f>
        <v>0.13910134211475911</v>
      </c>
      <c r="O63" s="351"/>
      <c r="P63" s="351"/>
      <c r="Q63" s="351">
        <f>+Q120</f>
        <v>0.17368697387880178</v>
      </c>
      <c r="R63" s="351"/>
      <c r="S63" s="351"/>
      <c r="T63" s="351"/>
      <c r="U63" s="351">
        <f>+U120</f>
        <v>4.5620535970955292E-2</v>
      </c>
      <c r="V63" s="351"/>
      <c r="W63" s="351"/>
      <c r="X63" s="351">
        <f>+X120</f>
        <v>0.21185891486234884</v>
      </c>
      <c r="Y63" s="351">
        <f>+Y120</f>
        <v>1.58080691579289E-7</v>
      </c>
      <c r="Z63" s="351">
        <f>+Z120</f>
        <v>0.77405800479914288</v>
      </c>
      <c r="AA63" s="351"/>
      <c r="AB63" s="351"/>
      <c r="AC63" s="351"/>
      <c r="AD63" s="351"/>
      <c r="AE63" s="351"/>
      <c r="AY63" s="190">
        <v>210333</v>
      </c>
      <c r="AZ63" s="190" t="s">
        <v>373</v>
      </c>
      <c r="BA63" s="190" t="s">
        <v>187</v>
      </c>
      <c r="BB63" s="367">
        <v>0</v>
      </c>
      <c r="BC63" s="367">
        <v>19933.603769999994</v>
      </c>
      <c r="BD63" s="367">
        <v>19933.603769999994</v>
      </c>
      <c r="BE63" s="367">
        <v>0</v>
      </c>
      <c r="BF63" s="367">
        <v>3052.89849</v>
      </c>
      <c r="BG63" s="367">
        <v>3052.89849</v>
      </c>
      <c r="BH63" s="367">
        <v>0</v>
      </c>
      <c r="BI63" s="367">
        <v>334.02525000000003</v>
      </c>
      <c r="BJ63" s="367">
        <v>334.02525000000003</v>
      </c>
      <c r="BK63" s="367">
        <v>0</v>
      </c>
      <c r="BL63" s="367">
        <v>3961.5959000000003</v>
      </c>
      <c r="BM63" s="367">
        <v>3961.5959000000003</v>
      </c>
      <c r="BN63" s="367">
        <v>0</v>
      </c>
      <c r="BO63" s="367">
        <v>4613.7987999999996</v>
      </c>
      <c r="BP63" s="367">
        <v>4613.7987999999996</v>
      </c>
      <c r="BQ63" s="367">
        <v>0</v>
      </c>
      <c r="BR63" s="367">
        <v>0</v>
      </c>
      <c r="BS63" s="367">
        <v>3673.8410000000003</v>
      </c>
      <c r="BT63" s="367">
        <v>3673.8410000000003</v>
      </c>
      <c r="BU63" s="367">
        <v>0</v>
      </c>
      <c r="BV63" s="367">
        <v>4297.4443299999957</v>
      </c>
      <c r="BW63" s="367">
        <v>4297.4443299999957</v>
      </c>
      <c r="BX63" s="367">
        <v>14809.314695954014</v>
      </c>
      <c r="BY63" s="367">
        <v>18905.650597233267</v>
      </c>
      <c r="BZ63" s="368">
        <v>0.27660536529744983</v>
      </c>
      <c r="CA63" s="367" t="s">
        <v>446</v>
      </c>
      <c r="CB63" s="190"/>
      <c r="CC63" s="369">
        <f t="shared" si="28"/>
        <v>0.24821523027594528</v>
      </c>
      <c r="CE63" s="370"/>
    </row>
    <row r="64" spans="1:83">
      <c r="C64" s="356"/>
      <c r="D64" s="356"/>
      <c r="E64" s="87"/>
      <c r="F64" s="356"/>
      <c r="G64" s="356"/>
      <c r="H64" s="356"/>
      <c r="I64" s="356"/>
      <c r="J64" s="356"/>
      <c r="K64" s="356"/>
      <c r="L64" s="356"/>
      <c r="M64" s="356"/>
      <c r="N64" s="356"/>
      <c r="O64" s="356"/>
      <c r="P64" s="356"/>
      <c r="Q64" s="356"/>
      <c r="R64" s="356"/>
      <c r="S64" s="356"/>
      <c r="T64" s="356"/>
      <c r="U64" s="356"/>
      <c r="V64" s="356"/>
      <c r="W64" s="356"/>
      <c r="X64" s="356"/>
      <c r="Y64" s="356"/>
      <c r="Z64" s="356"/>
      <c r="AA64" s="356"/>
      <c r="AY64" s="190">
        <v>213300</v>
      </c>
      <c r="AZ64" s="190" t="s">
        <v>383</v>
      </c>
      <c r="BA64" s="190" t="s">
        <v>187</v>
      </c>
      <c r="BB64" s="367">
        <v>44498.235999999997</v>
      </c>
      <c r="BC64" s="367">
        <v>14948.563</v>
      </c>
      <c r="BD64" s="367">
        <v>59446.798999999999</v>
      </c>
      <c r="BE64" s="367">
        <v>0</v>
      </c>
      <c r="BF64" s="367">
        <v>85.325388697999998</v>
      </c>
      <c r="BG64" s="367">
        <v>85.325388697999998</v>
      </c>
      <c r="BH64" s="367">
        <v>14146.197711785</v>
      </c>
      <c r="BI64" s="367">
        <v>3030.4638696279999</v>
      </c>
      <c r="BJ64" s="367">
        <v>17176.661581412998</v>
      </c>
      <c r="BK64" s="367">
        <v>4521.0108419210001</v>
      </c>
      <c r="BL64" s="367">
        <v>3398.104805941</v>
      </c>
      <c r="BM64" s="367">
        <v>7919.1156478619996</v>
      </c>
      <c r="BN64" s="367">
        <v>23160.175782908998</v>
      </c>
      <c r="BO64" s="367">
        <v>6498.8056493089998</v>
      </c>
      <c r="BP64" s="367">
        <v>29658.981432217999</v>
      </c>
      <c r="BQ64" s="367">
        <v>0</v>
      </c>
      <c r="BR64" s="367">
        <v>424.90936522800001</v>
      </c>
      <c r="BS64" s="367">
        <v>385.25099477200001</v>
      </c>
      <c r="BT64" s="367">
        <v>810.16035999999997</v>
      </c>
      <c r="BU64" s="367">
        <v>2245.9422981570001</v>
      </c>
      <c r="BV64" s="367">
        <v>1550.6122916530001</v>
      </c>
      <c r="BW64" s="367">
        <v>3796.5545898099999</v>
      </c>
      <c r="BX64" s="367">
        <v>48582.547769527999</v>
      </c>
      <c r="BY64" s="367">
        <v>51966.481662315004</v>
      </c>
      <c r="BZ64" s="368">
        <v>6.9653281999999997E-2</v>
      </c>
      <c r="CA64" s="367" t="s">
        <v>446</v>
      </c>
      <c r="CB64" s="190"/>
      <c r="CC64" s="369">
        <f t="shared" si="28"/>
        <v>0.78785811518011251</v>
      </c>
      <c r="CE64" s="370"/>
    </row>
    <row r="65" spans="1:81">
      <c r="C65" s="365"/>
      <c r="D65" s="365"/>
      <c r="E65" s="365"/>
      <c r="F65" s="365"/>
      <c r="G65" s="365"/>
      <c r="H65" s="365"/>
      <c r="I65" s="365"/>
      <c r="J65" s="365"/>
      <c r="K65" s="365"/>
      <c r="L65" s="365"/>
      <c r="M65" s="365"/>
      <c r="N65" s="365"/>
      <c r="O65" s="365"/>
      <c r="P65" s="365"/>
      <c r="Q65" s="365"/>
      <c r="R65" s="365"/>
      <c r="S65" s="365"/>
      <c r="T65" s="365"/>
      <c r="U65" s="365"/>
      <c r="V65" s="365"/>
      <c r="W65" s="365"/>
      <c r="X65" s="365"/>
      <c r="Y65" s="365"/>
      <c r="Z65" s="365"/>
      <c r="AA65" s="365"/>
      <c r="AY65" s="190">
        <v>214000</v>
      </c>
      <c r="AZ65" s="190" t="s">
        <v>374</v>
      </c>
      <c r="BA65" s="190" t="s">
        <v>187</v>
      </c>
      <c r="BB65" s="367">
        <v>134288.34821</v>
      </c>
      <c r="BC65" s="367">
        <v>16581.02694</v>
      </c>
      <c r="BD65" s="367">
        <v>150869.37515000001</v>
      </c>
      <c r="BE65" s="367">
        <v>23645.907858213999</v>
      </c>
      <c r="BF65" s="367">
        <v>1820.191341474</v>
      </c>
      <c r="BG65" s="367">
        <v>25466.099199688</v>
      </c>
      <c r="BH65" s="367">
        <v>53803.225851463001</v>
      </c>
      <c r="BI65" s="367">
        <v>4250.4934572620004</v>
      </c>
      <c r="BJ65" s="367">
        <v>58053.719308724001</v>
      </c>
      <c r="BK65" s="367">
        <v>21478.346368494</v>
      </c>
      <c r="BL65" s="367">
        <v>4774.7704316440004</v>
      </c>
      <c r="BM65" s="367">
        <v>26253.116800139</v>
      </c>
      <c r="BN65" s="367">
        <v>0</v>
      </c>
      <c r="BO65" s="367">
        <v>0</v>
      </c>
      <c r="BP65" s="367">
        <v>0</v>
      </c>
      <c r="BQ65" s="367">
        <v>0</v>
      </c>
      <c r="BR65" s="367">
        <v>5726.3909700000004</v>
      </c>
      <c r="BS65" s="367">
        <v>379.70195999999999</v>
      </c>
      <c r="BT65" s="367">
        <v>6106.0929299999998</v>
      </c>
      <c r="BU65" s="367">
        <v>29634.477161829</v>
      </c>
      <c r="BV65" s="367">
        <v>5355.8697496200002</v>
      </c>
      <c r="BW65" s="367">
        <v>34990.346911449</v>
      </c>
      <c r="BX65" s="367">
        <v>125304.39156173301</v>
      </c>
      <c r="BY65" s="367">
        <v>136521.36647124999</v>
      </c>
      <c r="BZ65" s="368">
        <v>8.9517812000000002E-2</v>
      </c>
      <c r="CA65" s="367" t="s">
        <v>446</v>
      </c>
      <c r="CB65" s="190"/>
      <c r="CC65" s="369">
        <f t="shared" si="28"/>
        <v>0.38479458969724512</v>
      </c>
    </row>
    <row r="66" spans="1:81">
      <c r="AY66" s="377">
        <v>214003</v>
      </c>
      <c r="AZ66" s="377" t="s">
        <v>375</v>
      </c>
      <c r="BA66" s="377" t="s">
        <v>187</v>
      </c>
      <c r="BB66" s="378">
        <v>20467.5</v>
      </c>
      <c r="BC66" s="378">
        <v>1516.2</v>
      </c>
      <c r="BD66" s="378">
        <v>21983.7</v>
      </c>
      <c r="BE66" s="378">
        <v>2187.1999999999998</v>
      </c>
      <c r="BF66" s="378">
        <v>156.80000000000001</v>
      </c>
      <c r="BG66" s="378">
        <v>2344</v>
      </c>
      <c r="BH66" s="378">
        <v>10471.6</v>
      </c>
      <c r="BI66" s="378">
        <v>593.29999999999995</v>
      </c>
      <c r="BJ66" s="378">
        <v>11064.9</v>
      </c>
      <c r="BK66" s="378">
        <v>3545.7</v>
      </c>
      <c r="BL66" s="378">
        <v>315.8</v>
      </c>
      <c r="BM66" s="378">
        <v>3861.5</v>
      </c>
      <c r="BN66" s="378">
        <v>0</v>
      </c>
      <c r="BO66" s="378">
        <v>0</v>
      </c>
      <c r="BP66" s="378">
        <v>0</v>
      </c>
      <c r="BQ66" s="378">
        <v>0</v>
      </c>
      <c r="BR66" s="378">
        <v>840.2</v>
      </c>
      <c r="BS66" s="378">
        <v>6</v>
      </c>
      <c r="BT66" s="378">
        <v>846.2</v>
      </c>
      <c r="BU66" s="378">
        <v>3422.8</v>
      </c>
      <c r="BV66" s="378">
        <v>444.3</v>
      </c>
      <c r="BW66" s="378">
        <v>3867.1</v>
      </c>
      <c r="BX66" s="367">
        <v>15474.8</v>
      </c>
      <c r="BY66" s="378">
        <v>17362.8</v>
      </c>
      <c r="BZ66" s="379">
        <v>0.12200480800000001</v>
      </c>
      <c r="CA66" s="378" t="s">
        <v>446</v>
      </c>
      <c r="CB66" s="377"/>
      <c r="CC66" s="369">
        <f t="shared" si="28"/>
        <v>0.50332291652451588</v>
      </c>
    </row>
    <row r="67" spans="1:81">
      <c r="A67" s="116" t="s">
        <v>392</v>
      </c>
      <c r="C67" s="116" t="s">
        <v>188</v>
      </c>
      <c r="D67" s="116" t="s">
        <v>191</v>
      </c>
      <c r="E67" s="116" t="s">
        <v>193</v>
      </c>
      <c r="F67" s="116" t="s">
        <v>195</v>
      </c>
      <c r="G67" s="116" t="s">
        <v>198</v>
      </c>
      <c r="H67" s="116" t="s">
        <v>200</v>
      </c>
      <c r="I67" s="116" t="s">
        <v>202</v>
      </c>
      <c r="J67" s="116" t="s">
        <v>204</v>
      </c>
      <c r="K67" s="116" t="s">
        <v>206</v>
      </c>
      <c r="L67" s="116" t="s">
        <v>208</v>
      </c>
      <c r="M67" s="116" t="s">
        <v>211</v>
      </c>
      <c r="N67" s="116" t="s">
        <v>213</v>
      </c>
      <c r="O67" s="116" t="s">
        <v>215</v>
      </c>
      <c r="P67" s="116" t="s">
        <v>217</v>
      </c>
      <c r="Q67" s="116" t="s">
        <v>219</v>
      </c>
      <c r="R67" s="116" t="s">
        <v>221</v>
      </c>
      <c r="S67" s="116" t="s">
        <v>225</v>
      </c>
      <c r="T67" s="116" t="s">
        <v>227</v>
      </c>
      <c r="U67" s="116" t="s">
        <v>229</v>
      </c>
      <c r="V67" s="116" t="s">
        <v>231</v>
      </c>
      <c r="W67" s="116" t="s">
        <v>234</v>
      </c>
      <c r="X67" s="116" t="s">
        <v>236</v>
      </c>
      <c r="Y67" s="116" t="s">
        <v>238</v>
      </c>
      <c r="Z67" s="116" t="s">
        <v>242</v>
      </c>
      <c r="AA67" s="116" t="s">
        <v>245</v>
      </c>
      <c r="AY67" s="190">
        <v>214013</v>
      </c>
      <c r="AZ67" s="190" t="s">
        <v>376</v>
      </c>
      <c r="BA67" s="190" t="s">
        <v>187</v>
      </c>
      <c r="BB67" s="367">
        <v>36860.999981396883</v>
      </c>
      <c r="BC67" s="367">
        <v>5272.1000186031188</v>
      </c>
      <c r="BD67" s="367">
        <v>42133.1</v>
      </c>
      <c r="BE67" s="367">
        <v>9091.8340000000007</v>
      </c>
      <c r="BF67" s="367">
        <v>267.65600000000001</v>
      </c>
      <c r="BG67" s="367">
        <v>9359.4900000000016</v>
      </c>
      <c r="BH67" s="367">
        <v>15048.254000000001</v>
      </c>
      <c r="BI67" s="367">
        <v>1104.462</v>
      </c>
      <c r="BJ67" s="367">
        <v>16152.716</v>
      </c>
      <c r="BK67" s="367">
        <v>4255.0259999999998</v>
      </c>
      <c r="BL67" s="367">
        <v>1550.7860000000001</v>
      </c>
      <c r="BM67" s="367">
        <v>5805.8119999999999</v>
      </c>
      <c r="BN67" s="367">
        <v>313.71100000000001</v>
      </c>
      <c r="BO67" s="367">
        <v>93.72</v>
      </c>
      <c r="BP67" s="367">
        <v>407.43100000000004</v>
      </c>
      <c r="BQ67" s="367">
        <v>2096.386</v>
      </c>
      <c r="BR67" s="367">
        <v>2438.5337806668185</v>
      </c>
      <c r="BS67" s="367">
        <v>348.78021933318172</v>
      </c>
      <c r="BT67" s="367">
        <v>2787.3140000000003</v>
      </c>
      <c r="BU67" s="367">
        <v>5713.6412007300605</v>
      </c>
      <c r="BV67" s="367">
        <v>1906.6957992699372</v>
      </c>
      <c r="BW67" s="367">
        <v>7620.3369999999977</v>
      </c>
      <c r="BX67" s="367">
        <v>34832.812750000005</v>
      </c>
      <c r="BY67" s="367">
        <v>39168.219979162044</v>
      </c>
      <c r="BZ67" s="368">
        <v>0.12446331165610625</v>
      </c>
      <c r="CA67" s="367" t="s">
        <v>446</v>
      </c>
      <c r="CB67" s="190"/>
      <c r="CC67" s="369">
        <f t="shared" si="28"/>
        <v>0.39304364027332434</v>
      </c>
    </row>
    <row r="68" spans="1:81">
      <c r="A68" s="356"/>
      <c r="C68" s="116" t="s">
        <v>189</v>
      </c>
      <c r="D68" s="116" t="s">
        <v>192</v>
      </c>
      <c r="E68" s="116" t="s">
        <v>194</v>
      </c>
      <c r="F68" s="116" t="s">
        <v>196</v>
      </c>
      <c r="G68" s="116" t="s">
        <v>199</v>
      </c>
      <c r="H68" s="116" t="s">
        <v>201</v>
      </c>
      <c r="I68" s="116" t="s">
        <v>203</v>
      </c>
      <c r="J68" s="116" t="s">
        <v>205</v>
      </c>
      <c r="K68" s="116" t="s">
        <v>207</v>
      </c>
      <c r="L68" s="116" t="s">
        <v>209</v>
      </c>
      <c r="M68" s="116" t="s">
        <v>212</v>
      </c>
      <c r="N68" s="116" t="s">
        <v>214</v>
      </c>
      <c r="O68" s="116" t="s">
        <v>216</v>
      </c>
      <c r="P68" s="116" t="s">
        <v>218</v>
      </c>
      <c r="Q68" s="116" t="s">
        <v>220</v>
      </c>
      <c r="R68" s="116" t="s">
        <v>222</v>
      </c>
      <c r="S68" s="116" t="s">
        <v>226</v>
      </c>
      <c r="T68" s="116" t="s">
        <v>228</v>
      </c>
      <c r="U68" s="116" t="s">
        <v>230</v>
      </c>
      <c r="V68" s="116" t="s">
        <v>232</v>
      </c>
      <c r="W68" s="116" t="s">
        <v>235</v>
      </c>
      <c r="X68" s="116" t="s">
        <v>237</v>
      </c>
      <c r="Y68" s="116" t="s">
        <v>239</v>
      </c>
      <c r="Z68" s="116" t="s">
        <v>243</v>
      </c>
      <c r="AA68" s="116" t="s">
        <v>246</v>
      </c>
    </row>
    <row r="69" spans="1:81">
      <c r="A69" s="363">
        <v>210001</v>
      </c>
      <c r="B69" s="363" t="s">
        <v>0</v>
      </c>
      <c r="C69" s="87">
        <v>189244.84</v>
      </c>
      <c r="D69" s="87">
        <v>132503.92000000001</v>
      </c>
      <c r="E69" s="87">
        <v>321748.76</v>
      </c>
      <c r="F69" s="87">
        <v>92833.232090000005</v>
      </c>
      <c r="G69" s="87">
        <v>43124.088170000003</v>
      </c>
      <c r="H69" s="87">
        <v>135957.32026000001</v>
      </c>
      <c r="I69" s="87">
        <v>6899.6832700000004</v>
      </c>
      <c r="J69" s="87">
        <v>4202.5661700000001</v>
      </c>
      <c r="K69" s="87">
        <v>11102.24944</v>
      </c>
      <c r="L69" s="87">
        <v>3484.2547599999998</v>
      </c>
      <c r="M69" s="87">
        <v>4337.36805</v>
      </c>
      <c r="N69" s="87">
        <v>7821.6228099999998</v>
      </c>
      <c r="O69" s="87">
        <v>38793.52764</v>
      </c>
      <c r="P69" s="87">
        <v>31149.661049999999</v>
      </c>
      <c r="Q69" s="87">
        <v>69943.188689999995</v>
      </c>
      <c r="R69" s="87">
        <v>0</v>
      </c>
      <c r="S69" s="87">
        <v>5736.8869999999997</v>
      </c>
      <c r="T69" s="87">
        <v>9417.7790000000005</v>
      </c>
      <c r="U69" s="87">
        <v>15154.665999999999</v>
      </c>
      <c r="V69" s="87">
        <v>41497.255239999999</v>
      </c>
      <c r="W69" s="87">
        <v>40272.457560000003</v>
      </c>
      <c r="X69" s="87">
        <v>81769.712799999994</v>
      </c>
      <c r="Y69" s="87">
        <v>4.7100930552148819E-2</v>
      </c>
      <c r="Z69" s="87">
        <v>211216.40435487201</v>
      </c>
      <c r="AA69" s="131">
        <v>0.42255740242790679</v>
      </c>
      <c r="AB69" s="351">
        <v>3.4505958748683285E-2</v>
      </c>
      <c r="AC69" s="351">
        <v>0.2173844856154224</v>
      </c>
      <c r="AD69" s="351">
        <v>0.25189044436410568</v>
      </c>
      <c r="AE69" s="351">
        <v>4.7100930552148819E-2</v>
      </c>
      <c r="AF69" s="364">
        <v>321748.76</v>
      </c>
      <c r="AG69" s="365">
        <v>0</v>
      </c>
      <c r="AH69" s="365">
        <v>135957.32026000001</v>
      </c>
      <c r="AI69" s="365">
        <v>0</v>
      </c>
      <c r="AJ69" s="365">
        <v>11102.24944</v>
      </c>
      <c r="AK69" s="365">
        <v>0</v>
      </c>
      <c r="AL69" s="365">
        <v>7821.6228099999998</v>
      </c>
      <c r="AM69" s="365">
        <v>0</v>
      </c>
      <c r="AN69" s="365">
        <v>69943.188689999995</v>
      </c>
      <c r="AO69" s="365">
        <v>0</v>
      </c>
      <c r="AP69" s="365">
        <v>0</v>
      </c>
      <c r="AQ69" s="365">
        <v>15154.666000000001</v>
      </c>
      <c r="AR69" s="365">
        <v>0</v>
      </c>
      <c r="AS69" s="365">
        <v>81769.712800000008</v>
      </c>
      <c r="AT69" s="365">
        <v>0</v>
      </c>
      <c r="AU69" s="365">
        <v>321748.76</v>
      </c>
      <c r="AV69" s="365">
        <v>0</v>
      </c>
      <c r="AW69" s="366">
        <v>0</v>
      </c>
    </row>
    <row r="70" spans="1:81">
      <c r="A70" s="363">
        <v>210002</v>
      </c>
      <c r="B70" s="363" t="s">
        <v>1</v>
      </c>
      <c r="C70" s="87">
        <v>894054.80200000003</v>
      </c>
      <c r="D70" s="87">
        <v>451403.59700000001</v>
      </c>
      <c r="E70" s="87">
        <v>1345458.398999999</v>
      </c>
      <c r="F70" s="87">
        <v>265976.001359355</v>
      </c>
      <c r="G70" s="87">
        <v>134289.89303643399</v>
      </c>
      <c r="H70" s="87">
        <v>400265.89439578902</v>
      </c>
      <c r="I70" s="87">
        <v>85659.656405151007</v>
      </c>
      <c r="J70" s="87">
        <v>43249.112842490998</v>
      </c>
      <c r="K70" s="87">
        <v>128908.76924764201</v>
      </c>
      <c r="L70" s="87">
        <v>137362.54700673101</v>
      </c>
      <c r="M70" s="87">
        <v>69353.632096390997</v>
      </c>
      <c r="N70" s="87">
        <v>206716.17910312201</v>
      </c>
      <c r="O70" s="87">
        <v>230300.65798466399</v>
      </c>
      <c r="P70" s="87">
        <v>116277.598613853</v>
      </c>
      <c r="Q70" s="87">
        <v>346578.25659851701</v>
      </c>
      <c r="R70" s="87">
        <v>2096.9267396760001</v>
      </c>
      <c r="S70" s="87">
        <v>30656.391029945</v>
      </c>
      <c r="T70" s="87">
        <v>23516.680858663</v>
      </c>
      <c r="U70" s="87">
        <v>54173.071888607999</v>
      </c>
      <c r="V70" s="87">
        <v>144099.54821415499</v>
      </c>
      <c r="W70" s="87">
        <v>64716.679552168003</v>
      </c>
      <c r="X70" s="87">
        <v>208816.227766322</v>
      </c>
      <c r="Y70" s="87">
        <v>4.0263654326935482E-2</v>
      </c>
      <c r="Z70" s="87">
        <v>1147932.7925761449</v>
      </c>
      <c r="AA70" s="131">
        <v>0.29749406945118734</v>
      </c>
      <c r="AB70" s="351">
        <v>9.5810297325768221E-2</v>
      </c>
      <c r="AC70" s="351">
        <v>0.2575912096993177</v>
      </c>
      <c r="AD70" s="351">
        <v>0.35340150702508594</v>
      </c>
      <c r="AE70" s="351">
        <v>4.0263654326935482E-2</v>
      </c>
      <c r="AF70" s="364">
        <v>1345458.399</v>
      </c>
      <c r="AG70" s="365">
        <v>0</v>
      </c>
      <c r="AH70" s="365">
        <v>400265.89439578902</v>
      </c>
      <c r="AI70" s="365">
        <v>0</v>
      </c>
      <c r="AJ70" s="365">
        <v>128908.76924764201</v>
      </c>
      <c r="AK70" s="365">
        <v>0</v>
      </c>
      <c r="AL70" s="365">
        <v>206716.17910312201</v>
      </c>
      <c r="AM70" s="365">
        <v>0</v>
      </c>
      <c r="AN70" s="365">
        <v>346578.25659851701</v>
      </c>
      <c r="AO70" s="365">
        <v>0</v>
      </c>
      <c r="AP70" s="365">
        <v>2096.9267396760001</v>
      </c>
      <c r="AQ70" s="365">
        <v>54173.071888607999</v>
      </c>
      <c r="AR70" s="365">
        <v>0</v>
      </c>
      <c r="AS70" s="365">
        <v>208816.22776632299</v>
      </c>
      <c r="AT70" s="365">
        <v>9.8953023552894592E-10</v>
      </c>
      <c r="AU70" s="365">
        <v>1347555.3257396778</v>
      </c>
      <c r="AV70" s="365">
        <v>2096.9267396777868</v>
      </c>
      <c r="AW70" s="366">
        <v>-1.7867023416329175E-9</v>
      </c>
    </row>
    <row r="71" spans="1:81">
      <c r="A71" s="363">
        <v>210003</v>
      </c>
      <c r="B71" s="363" t="s">
        <v>75</v>
      </c>
      <c r="C71" s="87">
        <v>216839.073800265</v>
      </c>
      <c r="D71" s="87">
        <v>68843.578539734997</v>
      </c>
      <c r="E71" s="87">
        <v>285682.65233999997</v>
      </c>
      <c r="F71" s="87">
        <v>69993.669826430007</v>
      </c>
      <c r="G71" s="87">
        <v>11664.315763183</v>
      </c>
      <c r="H71" s="87">
        <v>81657.985589613003</v>
      </c>
      <c r="I71" s="87">
        <v>36205.988455692001</v>
      </c>
      <c r="J71" s="87">
        <v>4062.8272801630001</v>
      </c>
      <c r="K71" s="87">
        <v>40268.815735855002</v>
      </c>
      <c r="L71" s="87">
        <v>16411.644555675</v>
      </c>
      <c r="M71" s="87">
        <v>8233.4104039489994</v>
      </c>
      <c r="N71" s="87">
        <v>24645.054959624002</v>
      </c>
      <c r="O71" s="87">
        <v>47290.547547847003</v>
      </c>
      <c r="P71" s="87">
        <v>20967.930776575999</v>
      </c>
      <c r="Q71" s="87">
        <v>68258.478324423006</v>
      </c>
      <c r="R71" s="87">
        <v>0</v>
      </c>
      <c r="S71" s="87">
        <v>16084.49116</v>
      </c>
      <c r="T71" s="87">
        <v>10974.025659999999</v>
      </c>
      <c r="U71" s="87">
        <v>27058.516820000001</v>
      </c>
      <c r="V71" s="87">
        <v>30852.732254621002</v>
      </c>
      <c r="W71" s="87">
        <v>12941.068655864001</v>
      </c>
      <c r="X71" s="87">
        <v>43793.800910484999</v>
      </c>
      <c r="Y71" s="87">
        <v>9.4715295445369926E-2</v>
      </c>
      <c r="Z71" s="87">
        <v>228081.67816148399</v>
      </c>
      <c r="AA71" s="131">
        <v>0.28583459625833091</v>
      </c>
      <c r="AB71" s="351">
        <v>0.14095646132523934</v>
      </c>
      <c r="AC71" s="351">
        <v>0.23893112782776332</v>
      </c>
      <c r="AD71" s="351">
        <v>0.37988758915300269</v>
      </c>
      <c r="AE71" s="351">
        <v>9.4715295445369926E-2</v>
      </c>
      <c r="AF71" s="364">
        <v>285682.65234000003</v>
      </c>
      <c r="AG71" s="365">
        <v>0</v>
      </c>
      <c r="AH71" s="365">
        <v>81657.985589613003</v>
      </c>
      <c r="AI71" s="365">
        <v>0</v>
      </c>
      <c r="AJ71" s="365">
        <v>40268.815735855002</v>
      </c>
      <c r="AK71" s="365">
        <v>0</v>
      </c>
      <c r="AL71" s="365">
        <v>24645.054959624002</v>
      </c>
      <c r="AM71" s="365">
        <v>0</v>
      </c>
      <c r="AN71" s="365">
        <v>68258.478324423006</v>
      </c>
      <c r="AO71" s="365">
        <v>0</v>
      </c>
      <c r="AP71" s="365">
        <v>0</v>
      </c>
      <c r="AQ71" s="365">
        <v>27058.516819999997</v>
      </c>
      <c r="AR71" s="365">
        <v>0</v>
      </c>
      <c r="AS71" s="365">
        <v>43793.800910485006</v>
      </c>
      <c r="AT71" s="365">
        <v>0</v>
      </c>
      <c r="AU71" s="365">
        <v>285682.65234000003</v>
      </c>
      <c r="AV71" s="365">
        <v>0</v>
      </c>
      <c r="AW71" s="366">
        <v>0</v>
      </c>
    </row>
    <row r="72" spans="1:81">
      <c r="A72" s="363">
        <v>210004</v>
      </c>
      <c r="B72" s="363" t="s">
        <v>3</v>
      </c>
      <c r="C72" s="87">
        <v>358048</v>
      </c>
      <c r="D72" s="87">
        <v>147664.4</v>
      </c>
      <c r="E72" s="87">
        <v>505712.4</v>
      </c>
      <c r="F72" s="87">
        <v>122504.7</v>
      </c>
      <c r="G72" s="87">
        <v>31149.9</v>
      </c>
      <c r="H72" s="87">
        <v>153654.6</v>
      </c>
      <c r="I72" s="87">
        <v>31030.3</v>
      </c>
      <c r="J72" s="87">
        <v>4508.5</v>
      </c>
      <c r="K72" s="87">
        <v>35538.800000000003</v>
      </c>
      <c r="L72" s="87">
        <v>38743.4</v>
      </c>
      <c r="M72" s="87">
        <v>21896.799999999999</v>
      </c>
      <c r="N72" s="87">
        <v>60640.2</v>
      </c>
      <c r="O72" s="87">
        <v>51369.3</v>
      </c>
      <c r="P72" s="87">
        <v>16721.5</v>
      </c>
      <c r="Q72" s="87">
        <v>68090.8</v>
      </c>
      <c r="R72" s="87">
        <v>4361.4283800000003</v>
      </c>
      <c r="S72" s="87">
        <v>14803.4</v>
      </c>
      <c r="T72" s="87">
        <v>30639.599999999999</v>
      </c>
      <c r="U72" s="87">
        <v>45443</v>
      </c>
      <c r="V72" s="87">
        <v>99596.9</v>
      </c>
      <c r="W72" s="87">
        <v>42748.1</v>
      </c>
      <c r="X72" s="87">
        <v>142345</v>
      </c>
      <c r="Y72" s="87">
        <v>8.9859374616877097E-2</v>
      </c>
      <c r="Z72" s="87">
        <v>362317.75311087602</v>
      </c>
      <c r="AA72" s="131">
        <v>0.30383791261594534</v>
      </c>
      <c r="AB72" s="351">
        <v>7.0274725318184808E-2</v>
      </c>
      <c r="AC72" s="351">
        <v>0.13464332691862016</v>
      </c>
      <c r="AD72" s="351">
        <v>0.20491805223680495</v>
      </c>
      <c r="AE72" s="351">
        <v>8.9859374616877097E-2</v>
      </c>
      <c r="AF72" s="364">
        <v>505712.4</v>
      </c>
      <c r="AG72" s="365">
        <v>0</v>
      </c>
      <c r="AH72" s="365">
        <v>153654.6</v>
      </c>
      <c r="AI72" s="365">
        <v>0</v>
      </c>
      <c r="AJ72" s="365">
        <v>35538.800000000003</v>
      </c>
      <c r="AK72" s="365">
        <v>0</v>
      </c>
      <c r="AL72" s="365">
        <v>60640.2</v>
      </c>
      <c r="AM72" s="365">
        <v>0</v>
      </c>
      <c r="AN72" s="365">
        <v>68090.8</v>
      </c>
      <c r="AO72" s="365">
        <v>0</v>
      </c>
      <c r="AP72" s="365">
        <v>4361.4283800000003</v>
      </c>
      <c r="AQ72" s="365">
        <v>45443</v>
      </c>
      <c r="AR72" s="365">
        <v>0</v>
      </c>
      <c r="AS72" s="365">
        <v>142345</v>
      </c>
      <c r="AT72" s="365">
        <v>0</v>
      </c>
      <c r="AU72" s="365">
        <v>510073.82838000002</v>
      </c>
      <c r="AV72" s="365">
        <v>4361.4283799999976</v>
      </c>
      <c r="AW72" s="366">
        <v>0</v>
      </c>
    </row>
    <row r="73" spans="1:81">
      <c r="A73" s="363">
        <v>210005</v>
      </c>
      <c r="B73" s="363" t="s">
        <v>4</v>
      </c>
      <c r="C73" s="87">
        <v>197675.8</v>
      </c>
      <c r="D73" s="87">
        <v>166119.9</v>
      </c>
      <c r="E73" s="87">
        <v>363795.7</v>
      </c>
      <c r="F73" s="87">
        <v>89812.780100175005</v>
      </c>
      <c r="G73" s="87">
        <v>53623.208940951998</v>
      </c>
      <c r="H73" s="87">
        <v>143435.989041127</v>
      </c>
      <c r="I73" s="87">
        <v>8324.1143489580008</v>
      </c>
      <c r="J73" s="87">
        <v>3073.2011889770001</v>
      </c>
      <c r="K73" s="87">
        <v>11397.315537934999</v>
      </c>
      <c r="L73" s="87">
        <v>28525.945736884001</v>
      </c>
      <c r="M73" s="87">
        <v>31546.386536196002</v>
      </c>
      <c r="N73" s="87">
        <v>60072.332273079002</v>
      </c>
      <c r="O73" s="87">
        <v>26450.147548514</v>
      </c>
      <c r="P73" s="87">
        <v>21959.171968238999</v>
      </c>
      <c r="Q73" s="87">
        <v>48409.319516752999</v>
      </c>
      <c r="R73" s="87">
        <v>1914.8219999999999</v>
      </c>
      <c r="S73" s="87">
        <v>5325.7671300000002</v>
      </c>
      <c r="T73" s="87">
        <v>9510.7096700000002</v>
      </c>
      <c r="U73" s="87">
        <v>14836.4768</v>
      </c>
      <c r="V73" s="87">
        <v>39237.045135469001</v>
      </c>
      <c r="W73" s="87">
        <v>46407.221695637003</v>
      </c>
      <c r="X73" s="87">
        <v>85644.266831105997</v>
      </c>
      <c r="Y73" s="87">
        <v>4.0782441353759816E-2</v>
      </c>
      <c r="Z73" s="87">
        <v>283507.308168947</v>
      </c>
      <c r="AA73" s="131">
        <v>0.39427620788570894</v>
      </c>
      <c r="AB73" s="351">
        <v>3.1328890192860989E-2</v>
      </c>
      <c r="AC73" s="351">
        <v>0.13306732189729839</v>
      </c>
      <c r="AD73" s="351">
        <v>0.16439621209015939</v>
      </c>
      <c r="AE73" s="351">
        <v>4.0782441353759816E-2</v>
      </c>
      <c r="AF73" s="364">
        <v>363795.69999999995</v>
      </c>
      <c r="AG73" s="365">
        <v>0</v>
      </c>
      <c r="AH73" s="365">
        <v>143435.989041127</v>
      </c>
      <c r="AI73" s="365">
        <v>0</v>
      </c>
      <c r="AJ73" s="365">
        <v>11397.315537935001</v>
      </c>
      <c r="AK73" s="365">
        <v>0</v>
      </c>
      <c r="AL73" s="365">
        <v>60072.332273079999</v>
      </c>
      <c r="AM73" s="365">
        <v>9.9680619314312935E-10</v>
      </c>
      <c r="AN73" s="365">
        <v>48409.319516752999</v>
      </c>
      <c r="AO73" s="365">
        <v>0</v>
      </c>
      <c r="AP73" s="365">
        <v>1914.8219999999999</v>
      </c>
      <c r="AQ73" s="365">
        <v>14836.4768</v>
      </c>
      <c r="AR73" s="365">
        <v>0</v>
      </c>
      <c r="AS73" s="365">
        <v>85644.266831106012</v>
      </c>
      <c r="AT73" s="365">
        <v>0</v>
      </c>
      <c r="AU73" s="365">
        <v>365710.52200000198</v>
      </c>
      <c r="AV73" s="365">
        <v>1914.8220000020228</v>
      </c>
      <c r="AW73" s="366">
        <v>-2.0229435904184356E-9</v>
      </c>
    </row>
    <row r="74" spans="1:81">
      <c r="A74" s="363">
        <v>210006</v>
      </c>
      <c r="B74" s="380" t="s">
        <v>5</v>
      </c>
      <c r="C74" s="121">
        <v>48913.625050000002</v>
      </c>
      <c r="D74" s="121">
        <v>55192.487260000002</v>
      </c>
      <c r="E74" s="121">
        <v>104106.11231</v>
      </c>
      <c r="F74" s="121">
        <v>26020.199496961999</v>
      </c>
      <c r="G74" s="121">
        <v>17509.048352473001</v>
      </c>
      <c r="H74" s="121">
        <v>43529.247849435997</v>
      </c>
      <c r="I74" s="121">
        <v>4377.8750253750004</v>
      </c>
      <c r="J74" s="121">
        <v>2051.8993124140002</v>
      </c>
      <c r="K74" s="121">
        <v>6429.7743377890001</v>
      </c>
      <c r="L74" s="121">
        <v>3001.360979092</v>
      </c>
      <c r="M74" s="121">
        <v>6284.2132155580002</v>
      </c>
      <c r="N74" s="121">
        <v>9285.5741946500002</v>
      </c>
      <c r="O74" s="121">
        <v>3358.9055850710001</v>
      </c>
      <c r="P74" s="121">
        <v>9389.559654482</v>
      </c>
      <c r="Q74" s="121">
        <v>12748.465239552999</v>
      </c>
      <c r="R74" s="121">
        <v>718.46925999999996</v>
      </c>
      <c r="S74" s="121">
        <v>3011.7656290469999</v>
      </c>
      <c r="T74" s="121">
        <v>3414.2343709530001</v>
      </c>
      <c r="U74" s="121">
        <v>6426</v>
      </c>
      <c r="V74" s="121">
        <v>9143.5183344519992</v>
      </c>
      <c r="W74" s="121">
        <v>16543.532354120001</v>
      </c>
      <c r="X74" s="121">
        <v>25687.050688571999</v>
      </c>
      <c r="Y74" s="121">
        <v>6.1725482369998606E-2</v>
      </c>
      <c r="Z74" s="121">
        <v>79297.706614523995</v>
      </c>
      <c r="AA74" s="131">
        <v>0.41812384387016205</v>
      </c>
      <c r="AB74" s="351">
        <v>6.1761737088432057E-2</v>
      </c>
      <c r="AC74" s="351">
        <v>0.122456452908274</v>
      </c>
      <c r="AD74" s="351">
        <v>0.18421818999670606</v>
      </c>
      <c r="AE74" s="351">
        <v>6.1725482369998606E-2</v>
      </c>
      <c r="AF74" s="364">
        <v>104106.11231</v>
      </c>
      <c r="AG74" s="365">
        <v>0</v>
      </c>
      <c r="AH74" s="365">
        <v>43529.247849435</v>
      </c>
      <c r="AI74" s="365">
        <v>-9.9680619314312935E-10</v>
      </c>
      <c r="AJ74" s="365">
        <v>6429.7743377890001</v>
      </c>
      <c r="AK74" s="365">
        <v>0</v>
      </c>
      <c r="AL74" s="365">
        <v>9285.5741946500002</v>
      </c>
      <c r="AM74" s="365">
        <v>0</v>
      </c>
      <c r="AN74" s="365">
        <v>12748.465239552999</v>
      </c>
      <c r="AO74" s="365">
        <v>0</v>
      </c>
      <c r="AP74" s="365">
        <v>718.46925999999996</v>
      </c>
      <c r="AQ74" s="365">
        <v>6426</v>
      </c>
      <c r="AR74" s="365">
        <v>0</v>
      </c>
      <c r="AS74" s="365">
        <v>25687.050688572002</v>
      </c>
      <c r="AT74" s="365">
        <v>0</v>
      </c>
      <c r="AU74" s="365">
        <v>104824.581569998</v>
      </c>
      <c r="AV74" s="365">
        <v>718.46925999800442</v>
      </c>
      <c r="AW74" s="366">
        <v>1.9955450625275262E-9</v>
      </c>
    </row>
    <row r="75" spans="1:81">
      <c r="A75" s="363">
        <v>210008</v>
      </c>
      <c r="B75" s="363" t="s">
        <v>7</v>
      </c>
      <c r="C75" s="87">
        <v>220597.4</v>
      </c>
      <c r="D75" s="87">
        <v>293002.2</v>
      </c>
      <c r="E75" s="87">
        <v>513599.6</v>
      </c>
      <c r="F75" s="87">
        <v>82465.21587</v>
      </c>
      <c r="G75" s="87">
        <v>90832.623330000002</v>
      </c>
      <c r="H75" s="87">
        <v>173297.83919999999</v>
      </c>
      <c r="I75" s="87">
        <v>10441.641729999999</v>
      </c>
      <c r="J75" s="87">
        <v>8680.7909199999995</v>
      </c>
      <c r="K75" s="87">
        <v>19122.432649999999</v>
      </c>
      <c r="L75" s="87">
        <v>46372.704899999997</v>
      </c>
      <c r="M75" s="87">
        <v>83590.72726</v>
      </c>
      <c r="N75" s="87">
        <v>129963.43216</v>
      </c>
      <c r="O75" s="87">
        <v>45315.529979999999</v>
      </c>
      <c r="P75" s="87">
        <v>47910.881009999997</v>
      </c>
      <c r="Q75" s="87">
        <v>93226.410990000004</v>
      </c>
      <c r="R75" s="87">
        <v>8592.8209999999999</v>
      </c>
      <c r="S75" s="87">
        <v>10102.82</v>
      </c>
      <c r="T75" s="87">
        <v>17150.439999999999</v>
      </c>
      <c r="U75" s="87">
        <v>27253.26</v>
      </c>
      <c r="V75" s="87">
        <v>25899.487519999999</v>
      </c>
      <c r="W75" s="87">
        <v>44836.737480000003</v>
      </c>
      <c r="X75" s="87">
        <v>70736.225000000006</v>
      </c>
      <c r="Y75" s="87">
        <v>5.3063242261092103E-2</v>
      </c>
      <c r="Z75" s="87">
        <v>436531.36456126499</v>
      </c>
      <c r="AA75" s="131">
        <v>0.33741817400169316</v>
      </c>
      <c r="AB75" s="351">
        <v>3.723217979531137E-2</v>
      </c>
      <c r="AC75" s="351">
        <v>0.18151573908936067</v>
      </c>
      <c r="AD75" s="351">
        <v>0.21874791888467204</v>
      </c>
      <c r="AE75" s="351">
        <v>5.3063242261092103E-2</v>
      </c>
      <c r="AF75" s="364">
        <v>513599.6</v>
      </c>
      <c r="AG75" s="365">
        <v>0</v>
      </c>
      <c r="AH75" s="365">
        <v>173297.83919999999</v>
      </c>
      <c r="AI75" s="365">
        <v>0</v>
      </c>
      <c r="AJ75" s="365">
        <v>19122.432649999999</v>
      </c>
      <c r="AK75" s="365">
        <v>0</v>
      </c>
      <c r="AL75" s="365">
        <v>129963.43216</v>
      </c>
      <c r="AM75" s="365">
        <v>0</v>
      </c>
      <c r="AN75" s="365">
        <v>93226.410990000004</v>
      </c>
      <c r="AO75" s="365">
        <v>0</v>
      </c>
      <c r="AP75" s="365">
        <v>8592.8209999999999</v>
      </c>
      <c r="AQ75" s="365">
        <v>27253.26</v>
      </c>
      <c r="AR75" s="365">
        <v>0</v>
      </c>
      <c r="AS75" s="365">
        <v>70736.225000000006</v>
      </c>
      <c r="AT75" s="365">
        <v>0</v>
      </c>
      <c r="AU75" s="365">
        <v>522192.42099999997</v>
      </c>
      <c r="AV75" s="365">
        <v>8592.8209999999963</v>
      </c>
      <c r="AW75" s="366">
        <v>0</v>
      </c>
    </row>
    <row r="76" spans="1:81">
      <c r="A76" s="363">
        <v>210009</v>
      </c>
      <c r="B76" s="363" t="s">
        <v>8</v>
      </c>
      <c r="C76" s="87">
        <v>1388327.9</v>
      </c>
      <c r="D76" s="87">
        <v>894355.5</v>
      </c>
      <c r="E76" s="87">
        <v>2282683.4</v>
      </c>
      <c r="F76" s="87">
        <v>402216.2</v>
      </c>
      <c r="G76" s="87">
        <v>220440.4</v>
      </c>
      <c r="H76" s="87">
        <v>622656.6</v>
      </c>
      <c r="I76" s="87">
        <v>110791.1</v>
      </c>
      <c r="J76" s="87">
        <v>40730.199999999997</v>
      </c>
      <c r="K76" s="87">
        <v>151521.29999999999</v>
      </c>
      <c r="L76" s="87">
        <v>212257.1</v>
      </c>
      <c r="M76" s="87">
        <v>172295.7</v>
      </c>
      <c r="N76" s="87">
        <v>384552.8</v>
      </c>
      <c r="O76" s="87">
        <v>202971.7</v>
      </c>
      <c r="P76" s="87">
        <v>122939.6</v>
      </c>
      <c r="Q76" s="87">
        <v>325911.3</v>
      </c>
      <c r="R76" s="87">
        <v>11576.066999999999</v>
      </c>
      <c r="S76" s="87">
        <v>11529.7</v>
      </c>
      <c r="T76" s="87">
        <v>36291.800000000003</v>
      </c>
      <c r="U76" s="87">
        <v>47821.5</v>
      </c>
      <c r="V76" s="87">
        <v>448562.1</v>
      </c>
      <c r="W76" s="87">
        <v>301657.8</v>
      </c>
      <c r="X76" s="87">
        <v>750219.9</v>
      </c>
      <c r="Y76" s="87">
        <v>2.0949685795235557E-2</v>
      </c>
      <c r="Z76" s="87">
        <v>1856015.3535824721</v>
      </c>
      <c r="AA76" s="131">
        <v>0.27277396418618544</v>
      </c>
      <c r="AB76" s="351">
        <v>6.6378587586872539E-2</v>
      </c>
      <c r="AC76" s="351">
        <v>0.14277551586873588</v>
      </c>
      <c r="AD76" s="351">
        <v>0.20915410345560842</v>
      </c>
      <c r="AE76" s="351">
        <v>2.0949685795235557E-2</v>
      </c>
      <c r="AF76" s="364">
        <v>2282683.4</v>
      </c>
      <c r="AG76" s="365">
        <v>0</v>
      </c>
      <c r="AH76" s="365">
        <v>622656.6</v>
      </c>
      <c r="AI76" s="365">
        <v>0</v>
      </c>
      <c r="AJ76" s="365">
        <v>151521.29999999999</v>
      </c>
      <c r="AK76" s="365">
        <v>0</v>
      </c>
      <c r="AL76" s="365">
        <v>384552.80000000005</v>
      </c>
      <c r="AM76" s="365">
        <v>0</v>
      </c>
      <c r="AN76" s="365">
        <v>325911.30000000005</v>
      </c>
      <c r="AO76" s="365">
        <v>0</v>
      </c>
      <c r="AP76" s="365">
        <v>11576.066999999999</v>
      </c>
      <c r="AQ76" s="365">
        <v>47821.5</v>
      </c>
      <c r="AR76" s="365">
        <v>0</v>
      </c>
      <c r="AS76" s="365">
        <v>750219.89999999991</v>
      </c>
      <c r="AT76" s="365">
        <v>0</v>
      </c>
      <c r="AU76" s="365">
        <v>2294259.4670000002</v>
      </c>
      <c r="AV76" s="365">
        <v>11576.067000000272</v>
      </c>
      <c r="AW76" s="366">
        <v>-2.7284841053187847E-10</v>
      </c>
    </row>
    <row r="77" spans="1:81">
      <c r="A77" s="363">
        <v>210010</v>
      </c>
      <c r="B77" s="363" t="s">
        <v>9</v>
      </c>
      <c r="C77" s="87">
        <v>25950.401000000002</v>
      </c>
      <c r="D77" s="87">
        <v>25502.400000000001</v>
      </c>
      <c r="E77" s="87">
        <v>51452.800999999999</v>
      </c>
      <c r="F77" s="87">
        <v>15847.386</v>
      </c>
      <c r="G77" s="87">
        <v>8791.0779999999995</v>
      </c>
      <c r="H77" s="87">
        <v>24638.464</v>
      </c>
      <c r="I77" s="87">
        <v>3961.1909999999998</v>
      </c>
      <c r="J77" s="87">
        <v>3406.31</v>
      </c>
      <c r="K77" s="87">
        <v>7367.5010000000002</v>
      </c>
      <c r="L77" s="87">
        <v>1629.8</v>
      </c>
      <c r="M77" s="87">
        <v>1629.8</v>
      </c>
      <c r="N77" s="87">
        <v>3259.6</v>
      </c>
      <c r="O77" s="87">
        <v>2722.7510000000002</v>
      </c>
      <c r="P77" s="87">
        <v>6470.3720000000003</v>
      </c>
      <c r="Q77" s="87">
        <v>9193.1229999999996</v>
      </c>
      <c r="R77" s="87">
        <v>766.78700000000003</v>
      </c>
      <c r="S77" s="87">
        <v>1261.18</v>
      </c>
      <c r="T77" s="87">
        <v>1239.5070000000001</v>
      </c>
      <c r="U77" s="87">
        <v>2500.6869999999999</v>
      </c>
      <c r="V77" s="87">
        <v>528.09299999999996</v>
      </c>
      <c r="W77" s="87">
        <v>3965.3330000000001</v>
      </c>
      <c r="X77" s="87">
        <v>4493.4260000000004</v>
      </c>
      <c r="Y77" s="87">
        <v>4.8601571758940781E-2</v>
      </c>
      <c r="Z77" s="87">
        <v>36898.443196635999</v>
      </c>
      <c r="AA77" s="131">
        <v>0.47885564092030675</v>
      </c>
      <c r="AB77" s="351">
        <v>0.1431895029388196</v>
      </c>
      <c r="AC77" s="351">
        <v>0.17867099208068379</v>
      </c>
      <c r="AD77" s="351">
        <v>0.32186049501950342</v>
      </c>
      <c r="AE77" s="351">
        <v>4.8601571758940781E-2</v>
      </c>
      <c r="AF77" s="364">
        <v>51452.801000000007</v>
      </c>
      <c r="AG77" s="365">
        <v>0</v>
      </c>
      <c r="AH77" s="365">
        <v>24638.464</v>
      </c>
      <c r="AI77" s="365">
        <v>0</v>
      </c>
      <c r="AJ77" s="365">
        <v>7367.5010000000002</v>
      </c>
      <c r="AK77" s="365">
        <v>0</v>
      </c>
      <c r="AL77" s="365">
        <v>3259.6</v>
      </c>
      <c r="AM77" s="365">
        <v>0</v>
      </c>
      <c r="AN77" s="365">
        <v>9193.1229999999996</v>
      </c>
      <c r="AO77" s="365">
        <v>0</v>
      </c>
      <c r="AP77" s="365">
        <v>766.78700000000003</v>
      </c>
      <c r="AQ77" s="365">
        <v>2500.6869999999999</v>
      </c>
      <c r="AR77" s="365">
        <v>0</v>
      </c>
      <c r="AS77" s="365">
        <v>4493.4260000000004</v>
      </c>
      <c r="AT77" s="365">
        <v>0</v>
      </c>
      <c r="AU77" s="365">
        <v>52219.587999999996</v>
      </c>
      <c r="AV77" s="365">
        <v>766.78699999998935</v>
      </c>
      <c r="AW77" s="366">
        <v>1.0686562745831907E-11</v>
      </c>
    </row>
    <row r="78" spans="1:81">
      <c r="A78" s="363">
        <v>210011</v>
      </c>
      <c r="B78" s="363" t="s">
        <v>10</v>
      </c>
      <c r="C78" s="87">
        <v>241969.09312000001</v>
      </c>
      <c r="D78" s="87">
        <v>190235.27736000001</v>
      </c>
      <c r="E78" s="87">
        <v>432204.37047999998</v>
      </c>
      <c r="F78" s="87">
        <v>110719.47578505</v>
      </c>
      <c r="G78" s="87">
        <v>61673.972803024997</v>
      </c>
      <c r="H78" s="87">
        <v>172393.448588075</v>
      </c>
      <c r="I78" s="87">
        <v>15085.905775388001</v>
      </c>
      <c r="J78" s="87">
        <v>5776.4421448229996</v>
      </c>
      <c r="K78" s="87">
        <v>20862.347920210999</v>
      </c>
      <c r="L78" s="87">
        <v>29034.682289254</v>
      </c>
      <c r="M78" s="87">
        <v>36836.726269967003</v>
      </c>
      <c r="N78" s="87">
        <v>65871.408559221003</v>
      </c>
      <c r="O78" s="87">
        <v>46339.777909999997</v>
      </c>
      <c r="P78" s="87">
        <v>39959.053160000003</v>
      </c>
      <c r="Q78" s="87">
        <v>86298.83107</v>
      </c>
      <c r="R78" s="87">
        <v>7434.8105599999999</v>
      </c>
      <c r="S78" s="87">
        <v>8537.5486322249999</v>
      </c>
      <c r="T78" s="87">
        <v>16351.552871775</v>
      </c>
      <c r="U78" s="87">
        <v>24889.101503999998</v>
      </c>
      <c r="V78" s="87">
        <v>32251.702728082</v>
      </c>
      <c r="W78" s="87">
        <v>29637.53011041</v>
      </c>
      <c r="X78" s="87">
        <v>61889.232838493001</v>
      </c>
      <c r="Y78" s="87">
        <v>5.758641791696488E-2</v>
      </c>
      <c r="Z78" s="87">
        <v>312847.77770540101</v>
      </c>
      <c r="AA78" s="131">
        <v>0.39887021132298434</v>
      </c>
      <c r="AB78" s="351">
        <v>4.8269636646759435E-2</v>
      </c>
      <c r="AC78" s="351">
        <v>0.19967135217572593</v>
      </c>
      <c r="AD78" s="351">
        <v>0.24794098882248539</v>
      </c>
      <c r="AE78" s="351">
        <v>5.758641791696488E-2</v>
      </c>
      <c r="AF78" s="364">
        <v>432204.37048000004</v>
      </c>
      <c r="AG78" s="365">
        <v>0</v>
      </c>
      <c r="AH78" s="365">
        <v>172393.448588075</v>
      </c>
      <c r="AI78" s="365">
        <v>0</v>
      </c>
      <c r="AJ78" s="365">
        <v>20862.347920210999</v>
      </c>
      <c r="AK78" s="365">
        <v>0</v>
      </c>
      <c r="AL78" s="365">
        <v>65871.408559221003</v>
      </c>
      <c r="AM78" s="365">
        <v>0</v>
      </c>
      <c r="AN78" s="365">
        <v>86298.83107</v>
      </c>
      <c r="AO78" s="365">
        <v>0</v>
      </c>
      <c r="AP78" s="365">
        <v>7434.8105599999999</v>
      </c>
      <c r="AQ78" s="365">
        <v>24889.101503999998</v>
      </c>
      <c r="AR78" s="365">
        <v>0</v>
      </c>
      <c r="AS78" s="365">
        <v>61889.232838491997</v>
      </c>
      <c r="AT78" s="365">
        <v>-1.0040821507573128E-9</v>
      </c>
      <c r="AU78" s="365">
        <v>439639.18103999802</v>
      </c>
      <c r="AV78" s="365">
        <v>7434.8105599979754</v>
      </c>
      <c r="AW78" s="366">
        <v>2.0245352061465383E-9</v>
      </c>
    </row>
    <row r="79" spans="1:81">
      <c r="A79" s="363">
        <v>210012</v>
      </c>
      <c r="B79" s="363" t="s">
        <v>11</v>
      </c>
      <c r="C79" s="87">
        <v>410241.26799999998</v>
      </c>
      <c r="D79" s="87">
        <v>322430.3</v>
      </c>
      <c r="E79" s="87">
        <v>732671.56799999997</v>
      </c>
      <c r="F79" s="87">
        <v>182905.1</v>
      </c>
      <c r="G79" s="87">
        <v>105250.9</v>
      </c>
      <c r="H79" s="87">
        <v>288156</v>
      </c>
      <c r="I79" s="87">
        <v>26866.5</v>
      </c>
      <c r="J79" s="87">
        <v>8823.7000000000007</v>
      </c>
      <c r="K79" s="87">
        <v>35690.199999999997</v>
      </c>
      <c r="L79" s="87">
        <v>43191.4</v>
      </c>
      <c r="M79" s="87">
        <v>50454.6</v>
      </c>
      <c r="N79" s="87">
        <v>93646</v>
      </c>
      <c r="O79" s="87">
        <v>80561.5</v>
      </c>
      <c r="P79" s="87">
        <v>74391.7</v>
      </c>
      <c r="Q79" s="87">
        <v>154953.20000000001</v>
      </c>
      <c r="R79" s="87">
        <v>0</v>
      </c>
      <c r="S79" s="87">
        <v>11417.442999999999</v>
      </c>
      <c r="T79" s="87">
        <v>17169.5</v>
      </c>
      <c r="U79" s="87">
        <v>28586.942999999999</v>
      </c>
      <c r="V79" s="87">
        <v>65299.324999999997</v>
      </c>
      <c r="W79" s="87">
        <v>66339.899999999994</v>
      </c>
      <c r="X79" s="87">
        <v>131639.22500000001</v>
      </c>
      <c r="Y79" s="87">
        <v>3.9017404589664656E-2</v>
      </c>
      <c r="Z79" s="87">
        <v>551275.35118436895</v>
      </c>
      <c r="AA79" s="131">
        <v>0.39329491218908608</v>
      </c>
      <c r="AB79" s="351">
        <v>4.8712412981200874E-2</v>
      </c>
      <c r="AC79" s="351">
        <v>0.21149066889954712</v>
      </c>
      <c r="AD79" s="351">
        <v>0.26020308188074803</v>
      </c>
      <c r="AE79" s="351">
        <v>3.9017404589664656E-2</v>
      </c>
      <c r="AF79" s="364">
        <v>732671.56799999997</v>
      </c>
      <c r="AG79" s="365">
        <v>0</v>
      </c>
      <c r="AH79" s="365">
        <v>288156</v>
      </c>
      <c r="AI79" s="365">
        <v>0</v>
      </c>
      <c r="AJ79" s="365">
        <v>35690.199999999997</v>
      </c>
      <c r="AK79" s="365">
        <v>0</v>
      </c>
      <c r="AL79" s="365">
        <v>93646</v>
      </c>
      <c r="AM79" s="365">
        <v>0</v>
      </c>
      <c r="AN79" s="365">
        <v>154953.20000000001</v>
      </c>
      <c r="AO79" s="365">
        <v>0</v>
      </c>
      <c r="AP79" s="365">
        <v>0</v>
      </c>
      <c r="AQ79" s="365">
        <v>28586.942999999999</v>
      </c>
      <c r="AR79" s="365">
        <v>0</v>
      </c>
      <c r="AS79" s="365">
        <v>131639.22499999998</v>
      </c>
      <c r="AT79" s="365">
        <v>0</v>
      </c>
      <c r="AU79" s="365">
        <v>732671.56799999997</v>
      </c>
      <c r="AV79" s="365">
        <v>0</v>
      </c>
      <c r="AW79" s="366">
        <v>0</v>
      </c>
    </row>
    <row r="80" spans="1:81">
      <c r="A80" s="363">
        <v>210013</v>
      </c>
      <c r="B80" s="363" t="s">
        <v>12</v>
      </c>
      <c r="C80" s="87">
        <v>59221.5</v>
      </c>
      <c r="D80" s="87">
        <v>47510.8</v>
      </c>
      <c r="E80" s="87">
        <v>106732.3</v>
      </c>
      <c r="F80" s="87">
        <v>19675.886042192</v>
      </c>
      <c r="G80" s="87">
        <v>10708.441355101</v>
      </c>
      <c r="H80" s="87">
        <v>30384.327397293</v>
      </c>
      <c r="I80" s="87">
        <v>6737.0311946060001</v>
      </c>
      <c r="J80" s="87">
        <v>13236.629398458999</v>
      </c>
      <c r="K80" s="87">
        <v>19973.660593065</v>
      </c>
      <c r="L80" s="87">
        <v>1391.7061420099999</v>
      </c>
      <c r="M80" s="87">
        <v>1607.80448017</v>
      </c>
      <c r="N80" s="87">
        <v>2999.5106221790002</v>
      </c>
      <c r="O80" s="87">
        <v>25806.981100000001</v>
      </c>
      <c r="P80" s="87">
        <v>7625.4590799999996</v>
      </c>
      <c r="Q80" s="87">
        <v>33432.440179999998</v>
      </c>
      <c r="R80" s="87">
        <v>1567.2201399999999</v>
      </c>
      <c r="S80" s="87">
        <v>1629.643136768</v>
      </c>
      <c r="T80" s="87">
        <v>2335.665843232</v>
      </c>
      <c r="U80" s="87">
        <v>3965.3089799999998</v>
      </c>
      <c r="V80" s="87">
        <v>3980.252384424</v>
      </c>
      <c r="W80" s="87">
        <v>11996.799843037999</v>
      </c>
      <c r="X80" s="87">
        <v>15977.052227463</v>
      </c>
      <c r="Y80" s="87">
        <v>3.7151911651861713E-2</v>
      </c>
      <c r="Z80" s="87">
        <v>79773.988728922996</v>
      </c>
      <c r="AA80" s="131">
        <v>0.28467790347713862</v>
      </c>
      <c r="AB80" s="351">
        <v>0.18713791975873284</v>
      </c>
      <c r="AC80" s="351">
        <v>0.31323638842224888</v>
      </c>
      <c r="AD80" s="351">
        <v>0.50037430818098172</v>
      </c>
      <c r="AE80" s="351">
        <v>3.7151911651861713E-2</v>
      </c>
      <c r="AF80" s="364">
        <v>106732.3</v>
      </c>
      <c r="AG80" s="365">
        <v>0</v>
      </c>
      <c r="AH80" s="365">
        <v>30384.327397293</v>
      </c>
      <c r="AI80" s="365">
        <v>0</v>
      </c>
      <c r="AJ80" s="365">
        <v>19973.660593065</v>
      </c>
      <c r="AK80" s="365">
        <v>0</v>
      </c>
      <c r="AL80" s="365">
        <v>2999.5106221799997</v>
      </c>
      <c r="AM80" s="365">
        <v>9.9953467724844813E-10</v>
      </c>
      <c r="AN80" s="365">
        <v>33432.440179999998</v>
      </c>
      <c r="AO80" s="365">
        <v>0</v>
      </c>
      <c r="AP80" s="365">
        <v>1567.2201399999999</v>
      </c>
      <c r="AQ80" s="365">
        <v>3965.3089799999998</v>
      </c>
      <c r="AR80" s="365">
        <v>0</v>
      </c>
      <c r="AS80" s="365">
        <v>15977.052227462</v>
      </c>
      <c r="AT80" s="365">
        <v>-1.0004441719502211E-9</v>
      </c>
      <c r="AU80" s="365">
        <v>108299.52014000001</v>
      </c>
      <c r="AV80" s="365">
        <v>1567.2201400000049</v>
      </c>
      <c r="AW80" s="366">
        <v>-5.0022208597511053E-12</v>
      </c>
    </row>
    <row r="81" spans="1:49">
      <c r="A81" s="363">
        <v>210015</v>
      </c>
      <c r="B81" s="363" t="s">
        <v>13</v>
      </c>
      <c r="C81" s="87">
        <v>295295.44082000002</v>
      </c>
      <c r="D81" s="87">
        <v>210440.65166999999</v>
      </c>
      <c r="E81" s="87">
        <v>505736.09249000001</v>
      </c>
      <c r="F81" s="87">
        <v>129702.452624117</v>
      </c>
      <c r="G81" s="87">
        <v>63917.807790516999</v>
      </c>
      <c r="H81" s="87">
        <v>193620.26041463399</v>
      </c>
      <c r="I81" s="87">
        <v>12376.94209357</v>
      </c>
      <c r="J81" s="87">
        <v>8298.9348176330004</v>
      </c>
      <c r="K81" s="87">
        <v>20675.876911202999</v>
      </c>
      <c r="L81" s="87">
        <v>21836.599827644</v>
      </c>
      <c r="M81" s="87">
        <v>26945.500328697999</v>
      </c>
      <c r="N81" s="87">
        <v>48782.100156342</v>
      </c>
      <c r="O81" s="87">
        <v>80442.128107434997</v>
      </c>
      <c r="P81" s="87">
        <v>58218.573394049999</v>
      </c>
      <c r="Q81" s="87">
        <v>138660.701501484</v>
      </c>
      <c r="R81" s="87">
        <v>2469.7812699999999</v>
      </c>
      <c r="S81" s="87">
        <v>11327.679072729999</v>
      </c>
      <c r="T81" s="87">
        <v>11099.38850727</v>
      </c>
      <c r="U81" s="87">
        <v>22427.067579999999</v>
      </c>
      <c r="V81" s="87">
        <v>39609.639094503997</v>
      </c>
      <c r="W81" s="87">
        <v>41960.446831832996</v>
      </c>
      <c r="X81" s="87">
        <v>81570.085926336993</v>
      </c>
      <c r="Y81" s="87">
        <v>4.4345396567565427E-2</v>
      </c>
      <c r="Z81" s="87">
        <v>379727.64372194902</v>
      </c>
      <c r="AA81" s="131">
        <v>0.38284841301585071</v>
      </c>
      <c r="AB81" s="351">
        <v>4.088273947268619E-2</v>
      </c>
      <c r="AC81" s="351">
        <v>0.27417600515475521</v>
      </c>
      <c r="AD81" s="351">
        <v>0.31505874462744138</v>
      </c>
      <c r="AE81" s="351">
        <v>4.4345396567565427E-2</v>
      </c>
      <c r="AF81" s="364">
        <v>505736.09249000001</v>
      </c>
      <c r="AG81" s="365">
        <v>0</v>
      </c>
      <c r="AH81" s="365">
        <v>193620.26041463399</v>
      </c>
      <c r="AI81" s="365">
        <v>0</v>
      </c>
      <c r="AJ81" s="365">
        <v>20675.876911202999</v>
      </c>
      <c r="AK81" s="365">
        <v>0</v>
      </c>
      <c r="AL81" s="365">
        <v>48782.100156342</v>
      </c>
      <c r="AM81" s="365">
        <v>0</v>
      </c>
      <c r="AN81" s="365">
        <v>138660.70150148499</v>
      </c>
      <c r="AO81" s="365">
        <v>9.8953023552894592E-10</v>
      </c>
      <c r="AP81" s="365">
        <v>2469.7812699999999</v>
      </c>
      <c r="AQ81" s="365">
        <v>22427.067579999999</v>
      </c>
      <c r="AR81" s="365">
        <v>0</v>
      </c>
      <c r="AS81" s="365">
        <v>81570.085926336993</v>
      </c>
      <c r="AT81" s="365">
        <v>0</v>
      </c>
      <c r="AU81" s="365">
        <v>508205.87376000185</v>
      </c>
      <c r="AV81" s="365">
        <v>2469.7812700018403</v>
      </c>
      <c r="AW81" s="366">
        <v>-1.8403625290375203E-9</v>
      </c>
    </row>
    <row r="82" spans="1:49">
      <c r="A82" s="363">
        <v>210016</v>
      </c>
      <c r="B82" s="363" t="s">
        <v>14</v>
      </c>
      <c r="C82" s="87">
        <v>154959.10002350001</v>
      </c>
      <c r="D82" s="87">
        <v>105662.79999650001</v>
      </c>
      <c r="E82" s="87">
        <v>260621.90002</v>
      </c>
      <c r="F82" s="87">
        <v>67685.714319999999</v>
      </c>
      <c r="G82" s="87">
        <v>32474.70721</v>
      </c>
      <c r="H82" s="87">
        <v>100160.42153000001</v>
      </c>
      <c r="I82" s="87">
        <v>35285.32357</v>
      </c>
      <c r="J82" s="87">
        <v>6002.14768</v>
      </c>
      <c r="K82" s="87">
        <v>41287.471250000002</v>
      </c>
      <c r="L82" s="87">
        <v>15240.127409999999</v>
      </c>
      <c r="M82" s="87">
        <v>18978.882720000001</v>
      </c>
      <c r="N82" s="87">
        <v>34219.010130000002</v>
      </c>
      <c r="O82" s="87">
        <v>17508.970549999998</v>
      </c>
      <c r="P82" s="87">
        <v>15958.119860000001</v>
      </c>
      <c r="Q82" s="87">
        <v>33467.090409999997</v>
      </c>
      <c r="R82" s="87">
        <v>5440.5280000000002</v>
      </c>
      <c r="S82" s="87">
        <v>8779.9927346999993</v>
      </c>
      <c r="T82" s="87">
        <v>17811.700265300002</v>
      </c>
      <c r="U82" s="87">
        <v>26591.692999999999</v>
      </c>
      <c r="V82" s="87">
        <v>10458.971438799999</v>
      </c>
      <c r="W82" s="87">
        <v>14437.242261199999</v>
      </c>
      <c r="X82" s="87">
        <v>24896.2137</v>
      </c>
      <c r="Y82" s="87">
        <v>0.10203169034512972</v>
      </c>
      <c r="Z82" s="87">
        <v>201570.78022112799</v>
      </c>
      <c r="AA82" s="131">
        <v>0.38431314299494301</v>
      </c>
      <c r="AB82" s="351">
        <v>0.15841904017594693</v>
      </c>
      <c r="AC82" s="351">
        <v>0.12841242584537887</v>
      </c>
      <c r="AD82" s="351">
        <v>0.28683146602132581</v>
      </c>
      <c r="AE82" s="351">
        <v>0.10203169034512972</v>
      </c>
      <c r="AF82" s="364">
        <v>260621.90002</v>
      </c>
      <c r="AG82" s="365">
        <v>0</v>
      </c>
      <c r="AH82" s="365">
        <v>100160.42152999999</v>
      </c>
      <c r="AI82" s="365">
        <v>0</v>
      </c>
      <c r="AJ82" s="365">
        <v>41287.471250000002</v>
      </c>
      <c r="AK82" s="365">
        <v>0</v>
      </c>
      <c r="AL82" s="365">
        <v>34219.010130000002</v>
      </c>
      <c r="AM82" s="365">
        <v>0</v>
      </c>
      <c r="AN82" s="365">
        <v>33467.090409999997</v>
      </c>
      <c r="AO82" s="365">
        <v>0</v>
      </c>
      <c r="AP82" s="365">
        <v>5440.5280000000002</v>
      </c>
      <c r="AQ82" s="365">
        <v>26591.692999999999</v>
      </c>
      <c r="AR82" s="365">
        <v>0</v>
      </c>
      <c r="AS82" s="365">
        <v>24896.2137</v>
      </c>
      <c r="AT82" s="365">
        <v>0</v>
      </c>
      <c r="AU82" s="365">
        <v>266062.42801999999</v>
      </c>
      <c r="AV82" s="365">
        <v>5440.5279999999912</v>
      </c>
      <c r="AW82" s="366">
        <v>9.0949470177292824E-12</v>
      </c>
    </row>
    <row r="83" spans="1:49">
      <c r="A83" s="363">
        <v>210017</v>
      </c>
      <c r="B83" s="363" t="s">
        <v>15</v>
      </c>
      <c r="C83" s="87">
        <v>19666.006389999999</v>
      </c>
      <c r="D83" s="87">
        <v>28813.717570000001</v>
      </c>
      <c r="E83" s="87">
        <v>48479.723960000003</v>
      </c>
      <c r="F83" s="87">
        <v>9816.0958200080004</v>
      </c>
      <c r="G83" s="87">
        <v>9361.9147087550009</v>
      </c>
      <c r="H83" s="87">
        <v>19178.010528761999</v>
      </c>
      <c r="I83" s="87">
        <v>926.36252468199996</v>
      </c>
      <c r="J83" s="87">
        <v>1415.193385131</v>
      </c>
      <c r="K83" s="87">
        <v>2341.5559098130002</v>
      </c>
      <c r="L83" s="87">
        <v>1661.7509257889999</v>
      </c>
      <c r="M83" s="87">
        <v>3710.9454560660001</v>
      </c>
      <c r="N83" s="87">
        <v>5372.6963818550003</v>
      </c>
      <c r="O83" s="87">
        <v>4266.4946188280001</v>
      </c>
      <c r="P83" s="87">
        <v>6239.9844468560004</v>
      </c>
      <c r="Q83" s="87">
        <v>10506.479065684</v>
      </c>
      <c r="R83" s="87">
        <v>221.67156</v>
      </c>
      <c r="S83" s="87">
        <v>977.83933879999995</v>
      </c>
      <c r="T83" s="87">
        <v>2369.2486611999998</v>
      </c>
      <c r="U83" s="87">
        <v>3347.0880000000002</v>
      </c>
      <c r="V83" s="87">
        <v>2017.463161893</v>
      </c>
      <c r="W83" s="87">
        <v>5716.4309119930003</v>
      </c>
      <c r="X83" s="87">
        <v>7733.8940738860001</v>
      </c>
      <c r="Y83" s="87">
        <v>6.9040987171495441E-2</v>
      </c>
      <c r="Z83" s="87">
        <v>39009.490456847001</v>
      </c>
      <c r="AA83" s="131">
        <v>0.39558827819616976</v>
      </c>
      <c r="AB83" s="351">
        <v>4.8299695595317084E-2</v>
      </c>
      <c r="AC83" s="351">
        <v>0.2167190364852894</v>
      </c>
      <c r="AD83" s="351">
        <v>0.2650187320806065</v>
      </c>
      <c r="AE83" s="351">
        <v>6.9040987171495441E-2</v>
      </c>
      <c r="AF83" s="364">
        <v>48479.723960000003</v>
      </c>
      <c r="AG83" s="365">
        <v>0</v>
      </c>
      <c r="AH83" s="365">
        <v>19178.010528762999</v>
      </c>
      <c r="AI83" s="365">
        <v>1.0004441719502211E-9</v>
      </c>
      <c r="AJ83" s="365">
        <v>2341.5559098129997</v>
      </c>
      <c r="AK83" s="365">
        <v>0</v>
      </c>
      <c r="AL83" s="365">
        <v>5372.6963818550003</v>
      </c>
      <c r="AM83" s="365">
        <v>0</v>
      </c>
      <c r="AN83" s="365">
        <v>10506.479065684001</v>
      </c>
      <c r="AO83" s="365">
        <v>0</v>
      </c>
      <c r="AP83" s="365">
        <v>221.67156</v>
      </c>
      <c r="AQ83" s="365">
        <v>3347.0879999999997</v>
      </c>
      <c r="AR83" s="365">
        <v>0</v>
      </c>
      <c r="AS83" s="365">
        <v>7733.8940738860001</v>
      </c>
      <c r="AT83" s="365">
        <v>0</v>
      </c>
      <c r="AU83" s="365">
        <v>48701.395520001999</v>
      </c>
      <c r="AV83" s="365">
        <v>221.67156000199611</v>
      </c>
      <c r="AW83" s="366">
        <v>-1.9961134967161343E-9</v>
      </c>
    </row>
    <row r="84" spans="1:49">
      <c r="A84" s="363">
        <v>210018</v>
      </c>
      <c r="B84" s="363" t="s">
        <v>16</v>
      </c>
      <c r="C84" s="87">
        <v>82052.432130000001</v>
      </c>
      <c r="D84" s="87">
        <v>93775.519799999995</v>
      </c>
      <c r="E84" s="87">
        <v>175827.95193000001</v>
      </c>
      <c r="F84" s="87">
        <v>44053.424448135003</v>
      </c>
      <c r="G84" s="87">
        <v>34457.002906524001</v>
      </c>
      <c r="H84" s="87">
        <v>78510.427354658998</v>
      </c>
      <c r="I84" s="87">
        <v>2763.8771117340002</v>
      </c>
      <c r="J84" s="87">
        <v>1701.8525553070001</v>
      </c>
      <c r="K84" s="87">
        <v>4465.7296670409996</v>
      </c>
      <c r="L84" s="87">
        <v>6675.1116799669999</v>
      </c>
      <c r="M84" s="87">
        <v>14000.492591339</v>
      </c>
      <c r="N84" s="87">
        <v>20675.604271306001</v>
      </c>
      <c r="O84" s="87">
        <v>11353.702065056001</v>
      </c>
      <c r="P84" s="87">
        <v>11777.56948504</v>
      </c>
      <c r="Q84" s="87">
        <v>23131.271550095</v>
      </c>
      <c r="R84" s="87">
        <v>982.51071000000002</v>
      </c>
      <c r="S84" s="87">
        <v>2746.110253883</v>
      </c>
      <c r="T84" s="87">
        <v>4355.4667461170002</v>
      </c>
      <c r="U84" s="87">
        <v>7101.5770000000002</v>
      </c>
      <c r="V84" s="87">
        <v>14460.206571225999</v>
      </c>
      <c r="W84" s="87">
        <v>27483.135515672999</v>
      </c>
      <c r="X84" s="87">
        <v>41943.342086898003</v>
      </c>
      <c r="Y84" s="87">
        <v>4.0389351761472229E-2</v>
      </c>
      <c r="Z84" s="87">
        <v>131533.31774274699</v>
      </c>
      <c r="AA84" s="131">
        <v>0.44651846588030147</v>
      </c>
      <c r="AB84" s="351">
        <v>2.5398292012289832E-2</v>
      </c>
      <c r="AC84" s="351">
        <v>0.13155628155928209</v>
      </c>
      <c r="AD84" s="351">
        <v>0.15695457357157194</v>
      </c>
      <c r="AE84" s="351">
        <v>4.0389351761472229E-2</v>
      </c>
      <c r="AF84" s="364">
        <v>175827.95192999998</v>
      </c>
      <c r="AG84" s="365">
        <v>0</v>
      </c>
      <c r="AH84" s="365">
        <v>78510.427354659012</v>
      </c>
      <c r="AI84" s="365">
        <v>0</v>
      </c>
      <c r="AJ84" s="365">
        <v>4465.7296670410005</v>
      </c>
      <c r="AK84" s="365">
        <v>0</v>
      </c>
      <c r="AL84" s="365">
        <v>20675.604271306001</v>
      </c>
      <c r="AM84" s="365">
        <v>0</v>
      </c>
      <c r="AN84" s="365">
        <v>23131.271550096</v>
      </c>
      <c r="AO84" s="365">
        <v>1.0004441719502211E-9</v>
      </c>
      <c r="AP84" s="365">
        <v>982.51071000000002</v>
      </c>
      <c r="AQ84" s="365">
        <v>7101.5770000000002</v>
      </c>
      <c r="AR84" s="365">
        <v>0</v>
      </c>
      <c r="AS84" s="365">
        <v>41943.342086899</v>
      </c>
      <c r="AT84" s="365">
        <v>9.9680619314312935E-10</v>
      </c>
      <c r="AU84" s="365">
        <v>176810.46264000301</v>
      </c>
      <c r="AV84" s="365">
        <v>982.51071000302909</v>
      </c>
      <c r="AW84" s="366">
        <v>-3.0290721042547375E-9</v>
      </c>
    </row>
    <row r="85" spans="1:49">
      <c r="A85" s="363">
        <v>210019</v>
      </c>
      <c r="B85" s="363" t="s">
        <v>76</v>
      </c>
      <c r="C85" s="87">
        <v>241599.7</v>
      </c>
      <c r="D85" s="87">
        <v>188471.1</v>
      </c>
      <c r="E85" s="87">
        <v>430070.8</v>
      </c>
      <c r="F85" s="87">
        <v>134987.29999999999</v>
      </c>
      <c r="G85" s="87">
        <v>85149.3</v>
      </c>
      <c r="H85" s="87">
        <v>220136.6</v>
      </c>
      <c r="I85" s="87">
        <v>7828.2</v>
      </c>
      <c r="J85" s="87">
        <v>4108.3</v>
      </c>
      <c r="K85" s="87">
        <v>11936.5</v>
      </c>
      <c r="L85" s="87">
        <v>12124.9</v>
      </c>
      <c r="M85" s="87">
        <v>15208.5</v>
      </c>
      <c r="N85" s="87">
        <v>27333.4</v>
      </c>
      <c r="O85" s="87">
        <v>32688.9</v>
      </c>
      <c r="P85" s="87">
        <v>30034.3</v>
      </c>
      <c r="Q85" s="87">
        <v>62723.199999999997</v>
      </c>
      <c r="R85" s="87">
        <v>0</v>
      </c>
      <c r="S85" s="87">
        <v>10949.2</v>
      </c>
      <c r="T85" s="87">
        <v>6787.6</v>
      </c>
      <c r="U85" s="87">
        <v>17736.8</v>
      </c>
      <c r="V85" s="87">
        <v>43021.2</v>
      </c>
      <c r="W85" s="87">
        <v>47183.1</v>
      </c>
      <c r="X85" s="87">
        <v>90204.3</v>
      </c>
      <c r="Y85" s="87">
        <v>4.1241581618654419E-2</v>
      </c>
      <c r="Z85" s="87">
        <v>331850.76772820501</v>
      </c>
      <c r="AA85" s="131">
        <v>0.51186130283664921</v>
      </c>
      <c r="AB85" s="351">
        <v>2.7754732476606179E-2</v>
      </c>
      <c r="AC85" s="351">
        <v>0.14584389361007535</v>
      </c>
      <c r="AD85" s="351">
        <v>0.17359862608668153</v>
      </c>
      <c r="AE85" s="351">
        <v>4.1241581618654419E-2</v>
      </c>
      <c r="AF85" s="364">
        <v>430070.80000000005</v>
      </c>
      <c r="AG85" s="365">
        <v>0</v>
      </c>
      <c r="AH85" s="365">
        <v>220136.59999999998</v>
      </c>
      <c r="AI85" s="365">
        <v>0</v>
      </c>
      <c r="AJ85" s="365">
        <v>11936.5</v>
      </c>
      <c r="AK85" s="365">
        <v>0</v>
      </c>
      <c r="AL85" s="365">
        <v>27333.4</v>
      </c>
      <c r="AM85" s="365">
        <v>0</v>
      </c>
      <c r="AN85" s="365">
        <v>62723.199999999997</v>
      </c>
      <c r="AO85" s="365">
        <v>0</v>
      </c>
      <c r="AP85" s="365">
        <v>0</v>
      </c>
      <c r="AQ85" s="365">
        <v>17736.800000000003</v>
      </c>
      <c r="AR85" s="365">
        <v>0</v>
      </c>
      <c r="AS85" s="365">
        <v>90204.299999999988</v>
      </c>
      <c r="AT85" s="365">
        <v>0</v>
      </c>
      <c r="AU85" s="365">
        <v>430070.79999999993</v>
      </c>
      <c r="AV85" s="365">
        <v>0</v>
      </c>
      <c r="AW85" s="366">
        <v>0</v>
      </c>
    </row>
    <row r="86" spans="1:49">
      <c r="A86" s="363">
        <v>210022</v>
      </c>
      <c r="B86" s="363" t="s">
        <v>18</v>
      </c>
      <c r="C86" s="87">
        <v>193353.429</v>
      </c>
      <c r="D86" s="87">
        <v>108545.819</v>
      </c>
      <c r="E86" s="87">
        <v>301899.24800000002</v>
      </c>
      <c r="F86" s="87">
        <v>104963.5</v>
      </c>
      <c r="G86" s="87">
        <v>40441.699999999997</v>
      </c>
      <c r="H86" s="87">
        <v>145405.20000000001</v>
      </c>
      <c r="I86" s="87">
        <v>9015.2999999999993</v>
      </c>
      <c r="J86" s="87">
        <v>2295.3000000000002</v>
      </c>
      <c r="K86" s="87">
        <v>11310.6</v>
      </c>
      <c r="L86" s="87">
        <v>27904.1</v>
      </c>
      <c r="M86" s="87">
        <v>25192.7</v>
      </c>
      <c r="N86" s="87">
        <v>53096.800000000003</v>
      </c>
      <c r="O86" s="87">
        <v>7651.8</v>
      </c>
      <c r="P86" s="87">
        <v>4933.2</v>
      </c>
      <c r="Q86" s="87">
        <v>12585</v>
      </c>
      <c r="R86" s="87">
        <v>2619.9980799999998</v>
      </c>
      <c r="S86" s="87">
        <v>4499.7479999999996</v>
      </c>
      <c r="T86" s="87">
        <v>1713.3389999999999</v>
      </c>
      <c r="U86" s="87">
        <v>6213.0870000000004</v>
      </c>
      <c r="V86" s="87">
        <v>39318.981</v>
      </c>
      <c r="W86" s="87">
        <v>33969.58</v>
      </c>
      <c r="X86" s="87">
        <v>73288.561000000002</v>
      </c>
      <c r="Y86" s="87">
        <v>2.0580001577214926E-2</v>
      </c>
      <c r="Z86" s="87">
        <v>231647.53815232599</v>
      </c>
      <c r="AA86" s="131">
        <v>0.4816348532275907</v>
      </c>
      <c r="AB86" s="351">
        <v>3.7464816739126161E-2</v>
      </c>
      <c r="AC86" s="351">
        <v>4.1686092573506507E-2</v>
      </c>
      <c r="AD86" s="351">
        <v>7.9150909312632661E-2</v>
      </c>
      <c r="AE86" s="351">
        <v>2.0580001577214926E-2</v>
      </c>
      <c r="AF86" s="364">
        <v>301899.24800000002</v>
      </c>
      <c r="AG86" s="365">
        <v>0</v>
      </c>
      <c r="AH86" s="365">
        <v>145405.20000000001</v>
      </c>
      <c r="AI86" s="365">
        <v>0</v>
      </c>
      <c r="AJ86" s="365">
        <v>11310.599999999999</v>
      </c>
      <c r="AK86" s="365">
        <v>0</v>
      </c>
      <c r="AL86" s="365">
        <v>53096.800000000003</v>
      </c>
      <c r="AM86" s="365">
        <v>0</v>
      </c>
      <c r="AN86" s="365">
        <v>12585</v>
      </c>
      <c r="AO86" s="365">
        <v>0</v>
      </c>
      <c r="AP86" s="365">
        <v>2619.9980799999998</v>
      </c>
      <c r="AQ86" s="365">
        <v>6213.0869999999995</v>
      </c>
      <c r="AR86" s="365">
        <v>0</v>
      </c>
      <c r="AS86" s="365">
        <v>73288.561000000002</v>
      </c>
      <c r="AT86" s="365">
        <v>0</v>
      </c>
      <c r="AU86" s="365">
        <v>304519.24608000001</v>
      </c>
      <c r="AV86" s="365">
        <v>2619.9980799999903</v>
      </c>
      <c r="AW86" s="366">
        <v>9.5496943686157465E-12</v>
      </c>
    </row>
    <row r="87" spans="1:49">
      <c r="A87" s="363">
        <v>210023</v>
      </c>
      <c r="B87" s="363" t="s">
        <v>19</v>
      </c>
      <c r="C87" s="87">
        <v>296377.3</v>
      </c>
      <c r="D87" s="87">
        <v>279936</v>
      </c>
      <c r="E87" s="87">
        <v>576313.30000000005</v>
      </c>
      <c r="F87" s="87">
        <v>129382.7</v>
      </c>
      <c r="G87" s="87">
        <v>92047.9</v>
      </c>
      <c r="H87" s="87">
        <v>221430.6</v>
      </c>
      <c r="I87" s="87">
        <v>8321.6</v>
      </c>
      <c r="J87" s="87">
        <v>5148.2</v>
      </c>
      <c r="K87" s="87">
        <v>13469.8</v>
      </c>
      <c r="L87" s="87">
        <v>44826.400000000001</v>
      </c>
      <c r="M87" s="87">
        <v>58247.7</v>
      </c>
      <c r="N87" s="87">
        <v>103074.1</v>
      </c>
      <c r="O87" s="87">
        <v>25750.3</v>
      </c>
      <c r="P87" s="87">
        <v>23148.2</v>
      </c>
      <c r="Q87" s="87">
        <v>48898.5</v>
      </c>
      <c r="R87" s="87">
        <v>271.60000000000002</v>
      </c>
      <c r="S87" s="87">
        <v>12613.731284386</v>
      </c>
      <c r="T87" s="87">
        <v>2035.3667401390001</v>
      </c>
      <c r="U87" s="87">
        <v>14649.098024524999</v>
      </c>
      <c r="V87" s="87">
        <v>75482.568715614005</v>
      </c>
      <c r="W87" s="87">
        <v>99308.633259861002</v>
      </c>
      <c r="X87" s="87">
        <v>174791.20197547501</v>
      </c>
      <c r="Y87" s="87">
        <v>2.5418636051822849E-2</v>
      </c>
      <c r="Z87" s="87">
        <v>452663.52315870399</v>
      </c>
      <c r="AA87" s="131">
        <v>0.38421913913838185</v>
      </c>
      <c r="AB87" s="351">
        <v>2.3372356667805513E-2</v>
      </c>
      <c r="AC87" s="351">
        <v>8.4847078837153325E-2</v>
      </c>
      <c r="AD87" s="351">
        <v>0.10821943550495884</v>
      </c>
      <c r="AE87" s="351">
        <v>2.5418636051822849E-2</v>
      </c>
      <c r="AF87" s="364">
        <v>576313.30000000005</v>
      </c>
      <c r="AG87" s="365">
        <v>0</v>
      </c>
      <c r="AH87" s="365">
        <v>221430.59999999998</v>
      </c>
      <c r="AI87" s="365">
        <v>0</v>
      </c>
      <c r="AJ87" s="365">
        <v>13469.8</v>
      </c>
      <c r="AK87" s="365">
        <v>0</v>
      </c>
      <c r="AL87" s="365">
        <v>103074.1</v>
      </c>
      <c r="AM87" s="365">
        <v>0</v>
      </c>
      <c r="AN87" s="365">
        <v>48898.5</v>
      </c>
      <c r="AO87" s="365">
        <v>0</v>
      </c>
      <c r="AP87" s="365">
        <v>271.60000000000002</v>
      </c>
      <c r="AQ87" s="365">
        <v>14649.098024524999</v>
      </c>
      <c r="AR87" s="365">
        <v>0</v>
      </c>
      <c r="AS87" s="365">
        <v>174791.20197547501</v>
      </c>
      <c r="AT87" s="365">
        <v>0</v>
      </c>
      <c r="AU87" s="365">
        <v>576584.89999999991</v>
      </c>
      <c r="AV87" s="365">
        <v>271.5999999998603</v>
      </c>
      <c r="AW87" s="366">
        <v>1.397211235598661E-10</v>
      </c>
    </row>
    <row r="88" spans="1:49">
      <c r="A88" s="363">
        <v>210024</v>
      </c>
      <c r="B88" s="363" t="s">
        <v>20</v>
      </c>
      <c r="C88" s="87">
        <v>237605.14029696601</v>
      </c>
      <c r="D88" s="87">
        <v>188738.69970999999</v>
      </c>
      <c r="E88" s="87">
        <v>426343.84000696603</v>
      </c>
      <c r="F88" s="87">
        <v>123118.11269454499</v>
      </c>
      <c r="G88" s="87">
        <v>59506.504577029998</v>
      </c>
      <c r="H88" s="87">
        <v>182624.617271575</v>
      </c>
      <c r="I88" s="87">
        <v>9885.5576900859996</v>
      </c>
      <c r="J88" s="87">
        <v>4615.6897212639997</v>
      </c>
      <c r="K88" s="87">
        <v>14501.247411349999</v>
      </c>
      <c r="L88" s="87">
        <v>21392.782202604001</v>
      </c>
      <c r="M88" s="87">
        <v>28227.955246866</v>
      </c>
      <c r="N88" s="87">
        <v>49620.737449469001</v>
      </c>
      <c r="O88" s="87">
        <v>47213.691659732001</v>
      </c>
      <c r="P88" s="87">
        <v>43768.335541303997</v>
      </c>
      <c r="Q88" s="87">
        <v>90982.027201036006</v>
      </c>
      <c r="R88" s="87">
        <v>2814.1735600000002</v>
      </c>
      <c r="S88" s="87">
        <v>5762.3487699999996</v>
      </c>
      <c r="T88" s="87">
        <v>12309.032966966</v>
      </c>
      <c r="U88" s="87">
        <v>18071.381736965999</v>
      </c>
      <c r="V88" s="87">
        <v>30232.647279999001</v>
      </c>
      <c r="W88" s="87">
        <v>40311.181656569999</v>
      </c>
      <c r="X88" s="87">
        <v>70543.828936569</v>
      </c>
      <c r="Y88" s="87">
        <v>4.2386871912282659E-2</v>
      </c>
      <c r="Z88" s="87">
        <v>314634.05441621703</v>
      </c>
      <c r="AA88" s="131">
        <v>0.42835054745622947</v>
      </c>
      <c r="AB88" s="351">
        <v>3.4013033731443293E-2</v>
      </c>
      <c r="AC88" s="351">
        <v>0.21340059047070892</v>
      </c>
      <c r="AD88" s="351">
        <v>0.24741362420215224</v>
      </c>
      <c r="AE88" s="351">
        <v>4.2386871912282659E-2</v>
      </c>
      <c r="AF88" s="364">
        <v>426343.84000696603</v>
      </c>
      <c r="AG88" s="365">
        <v>0</v>
      </c>
      <c r="AH88" s="365">
        <v>182624.617271575</v>
      </c>
      <c r="AI88" s="365">
        <v>0</v>
      </c>
      <c r="AJ88" s="365">
        <v>14501.247411349999</v>
      </c>
      <c r="AK88" s="365">
        <v>0</v>
      </c>
      <c r="AL88" s="365">
        <v>49620.737449470005</v>
      </c>
      <c r="AM88" s="365">
        <v>1.0040821507573128E-9</v>
      </c>
      <c r="AN88" s="365">
        <v>90982.027201035991</v>
      </c>
      <c r="AO88" s="365">
        <v>0</v>
      </c>
      <c r="AP88" s="365">
        <v>2814.1735600000002</v>
      </c>
      <c r="AQ88" s="365">
        <v>18071.381736965999</v>
      </c>
      <c r="AR88" s="365">
        <v>0</v>
      </c>
      <c r="AS88" s="365">
        <v>70543.828936569</v>
      </c>
      <c r="AT88" s="365">
        <v>0</v>
      </c>
      <c r="AU88" s="365">
        <v>429158.01356696704</v>
      </c>
      <c r="AV88" s="365">
        <v>2814.1735600010143</v>
      </c>
      <c r="AW88" s="366">
        <v>-1.014086592476815E-9</v>
      </c>
    </row>
    <row r="89" spans="1:49">
      <c r="A89" s="363">
        <v>210027</v>
      </c>
      <c r="B89" s="363" t="s">
        <v>21</v>
      </c>
      <c r="C89" s="87">
        <v>176714.6</v>
      </c>
      <c r="D89" s="87">
        <v>148893.4</v>
      </c>
      <c r="E89" s="87">
        <v>325608</v>
      </c>
      <c r="F89" s="87">
        <v>102598.2</v>
      </c>
      <c r="G89" s="87">
        <v>60714</v>
      </c>
      <c r="H89" s="87">
        <v>163312.20000000001</v>
      </c>
      <c r="I89" s="87">
        <v>8196.7000000000007</v>
      </c>
      <c r="J89" s="87">
        <v>6114</v>
      </c>
      <c r="K89" s="87">
        <v>14310.7</v>
      </c>
      <c r="L89" s="87">
        <v>13730.3</v>
      </c>
      <c r="M89" s="87">
        <v>19694.8</v>
      </c>
      <c r="N89" s="87">
        <v>33425.1</v>
      </c>
      <c r="O89" s="87">
        <v>33706.6</v>
      </c>
      <c r="P89" s="87">
        <v>35152.199999999997</v>
      </c>
      <c r="Q89" s="87">
        <v>68858.8</v>
      </c>
      <c r="R89" s="87">
        <v>2165.5</v>
      </c>
      <c r="S89" s="87">
        <v>8629.4</v>
      </c>
      <c r="T89" s="87">
        <v>7270.7</v>
      </c>
      <c r="U89" s="87">
        <v>15900.1</v>
      </c>
      <c r="V89" s="87">
        <v>9853.4</v>
      </c>
      <c r="W89" s="87">
        <v>19947.7</v>
      </c>
      <c r="X89" s="87">
        <v>29801.1</v>
      </c>
      <c r="Y89" s="87">
        <v>4.88320311540257E-2</v>
      </c>
      <c r="Z89" s="87">
        <v>239691.79013846201</v>
      </c>
      <c r="AA89" s="131">
        <v>0.50156077246259312</v>
      </c>
      <c r="AB89" s="351">
        <v>4.3950701456966661E-2</v>
      </c>
      <c r="AC89" s="351">
        <v>0.21147760497285079</v>
      </c>
      <c r="AD89" s="351">
        <v>0.25542830642981745</v>
      </c>
      <c r="AE89" s="351">
        <v>4.88320311540257E-2</v>
      </c>
      <c r="AF89" s="364">
        <v>325608</v>
      </c>
      <c r="AG89" s="365">
        <v>0</v>
      </c>
      <c r="AH89" s="365">
        <v>163312.20000000001</v>
      </c>
      <c r="AI89" s="365">
        <v>0</v>
      </c>
      <c r="AJ89" s="365">
        <v>14310.7</v>
      </c>
      <c r="AK89" s="365">
        <v>0</v>
      </c>
      <c r="AL89" s="365">
        <v>33425.1</v>
      </c>
      <c r="AM89" s="365">
        <v>0</v>
      </c>
      <c r="AN89" s="365">
        <v>68858.799999999988</v>
      </c>
      <c r="AO89" s="365">
        <v>0</v>
      </c>
      <c r="AP89" s="365">
        <v>2165.5</v>
      </c>
      <c r="AQ89" s="365">
        <v>15900.099999999999</v>
      </c>
      <c r="AR89" s="365">
        <v>0</v>
      </c>
      <c r="AS89" s="365">
        <v>29801.1</v>
      </c>
      <c r="AT89" s="365">
        <v>0</v>
      </c>
      <c r="AU89" s="365">
        <v>327773.5</v>
      </c>
      <c r="AV89" s="365">
        <v>2165.5</v>
      </c>
      <c r="AW89" s="366">
        <v>0</v>
      </c>
    </row>
    <row r="90" spans="1:49">
      <c r="A90" s="363">
        <v>210028</v>
      </c>
      <c r="B90" s="363" t="s">
        <v>22</v>
      </c>
      <c r="C90" s="87">
        <v>79797.280150000006</v>
      </c>
      <c r="D90" s="87">
        <v>98246.585959999997</v>
      </c>
      <c r="E90" s="87">
        <v>178043.86611</v>
      </c>
      <c r="F90" s="87">
        <v>39164.671186049003</v>
      </c>
      <c r="G90" s="87">
        <v>29160.190708843998</v>
      </c>
      <c r="H90" s="87">
        <v>68324.861894892994</v>
      </c>
      <c r="I90" s="87">
        <v>2297.079659296</v>
      </c>
      <c r="J90" s="87">
        <v>2779.3673136920002</v>
      </c>
      <c r="K90" s="87">
        <v>5076.4469729880002</v>
      </c>
      <c r="L90" s="87">
        <v>8329.8004324220001</v>
      </c>
      <c r="M90" s="87">
        <v>15516.24331414</v>
      </c>
      <c r="N90" s="87">
        <v>23846.043746562002</v>
      </c>
      <c r="O90" s="87">
        <v>12817.224177857001</v>
      </c>
      <c r="P90" s="87">
        <v>17304.985704833001</v>
      </c>
      <c r="Q90" s="87">
        <v>30122.20988269</v>
      </c>
      <c r="R90" s="87">
        <v>1055.1887899999999</v>
      </c>
      <c r="S90" s="87">
        <v>2674.5580292519999</v>
      </c>
      <c r="T90" s="87">
        <v>6618.4886807479998</v>
      </c>
      <c r="U90" s="87">
        <v>9293.0467100000005</v>
      </c>
      <c r="V90" s="87">
        <v>14513.946665124</v>
      </c>
      <c r="W90" s="87">
        <v>26867.310237743</v>
      </c>
      <c r="X90" s="87">
        <v>41381.256902866997</v>
      </c>
      <c r="Y90" s="87">
        <v>5.2195264644829278E-2</v>
      </c>
      <c r="Z90" s="87">
        <v>128015.99587224799</v>
      </c>
      <c r="AA90" s="131">
        <v>0.38375296710688234</v>
      </c>
      <c r="AB90" s="351">
        <v>2.8512338469732189E-2</v>
      </c>
      <c r="AC90" s="351">
        <v>0.16918420466156209</v>
      </c>
      <c r="AD90" s="351">
        <v>0.19769654313129426</v>
      </c>
      <c r="AE90" s="351">
        <v>5.2195264644829278E-2</v>
      </c>
      <c r="AF90" s="364">
        <v>178043.86611</v>
      </c>
      <c r="AG90" s="365">
        <v>0</v>
      </c>
      <c r="AH90" s="365">
        <v>68324.861894892994</v>
      </c>
      <c r="AI90" s="365">
        <v>0</v>
      </c>
      <c r="AJ90" s="365">
        <v>5076.4469729880002</v>
      </c>
      <c r="AK90" s="365">
        <v>0</v>
      </c>
      <c r="AL90" s="365">
        <v>23846.043746561998</v>
      </c>
      <c r="AM90" s="365">
        <v>0</v>
      </c>
      <c r="AN90" s="365">
        <v>30122.209882690004</v>
      </c>
      <c r="AO90" s="365">
        <v>0</v>
      </c>
      <c r="AP90" s="365">
        <v>1055.1887899999999</v>
      </c>
      <c r="AQ90" s="365">
        <v>9293.0467099999987</v>
      </c>
      <c r="AR90" s="365">
        <v>0</v>
      </c>
      <c r="AS90" s="365">
        <v>41381.256902866997</v>
      </c>
      <c r="AT90" s="365">
        <v>0</v>
      </c>
      <c r="AU90" s="365">
        <v>179099.05489999999</v>
      </c>
      <c r="AV90" s="365">
        <v>1055.1887899999856</v>
      </c>
      <c r="AW90" s="366">
        <v>1.432454155292362E-11</v>
      </c>
    </row>
    <row r="91" spans="1:49">
      <c r="A91" s="363">
        <v>210029</v>
      </c>
      <c r="B91" s="363" t="s">
        <v>23</v>
      </c>
      <c r="C91" s="87">
        <v>361458</v>
      </c>
      <c r="D91" s="87">
        <v>281997.40000000002</v>
      </c>
      <c r="E91" s="87">
        <v>643455.4</v>
      </c>
      <c r="F91" s="87">
        <v>160975</v>
      </c>
      <c r="G91" s="87">
        <v>80123</v>
      </c>
      <c r="H91" s="87">
        <v>241098</v>
      </c>
      <c r="I91" s="87">
        <v>31073</v>
      </c>
      <c r="J91" s="87">
        <v>11678</v>
      </c>
      <c r="K91" s="87">
        <v>42751</v>
      </c>
      <c r="L91" s="87">
        <v>41234</v>
      </c>
      <c r="M91" s="87">
        <v>43792</v>
      </c>
      <c r="N91" s="87">
        <v>85026</v>
      </c>
      <c r="O91" s="87">
        <v>65428</v>
      </c>
      <c r="P91" s="87">
        <v>64466</v>
      </c>
      <c r="Q91" s="87">
        <v>129894</v>
      </c>
      <c r="R91" s="87">
        <v>5675</v>
      </c>
      <c r="S91" s="87">
        <v>16059</v>
      </c>
      <c r="T91" s="87">
        <v>16788</v>
      </c>
      <c r="U91" s="87">
        <v>32847</v>
      </c>
      <c r="V91" s="87">
        <v>46689</v>
      </c>
      <c r="W91" s="87">
        <v>65150.400000000001</v>
      </c>
      <c r="X91" s="87">
        <v>111839.4</v>
      </c>
      <c r="Y91" s="87">
        <v>5.1047827091046244E-2</v>
      </c>
      <c r="Z91" s="87">
        <v>522783.40532153897</v>
      </c>
      <c r="AA91" s="131">
        <v>0.37469263603973174</v>
      </c>
      <c r="AB91" s="351">
        <v>6.6439725270780223E-2</v>
      </c>
      <c r="AC91" s="351">
        <v>0.20186946911938264</v>
      </c>
      <c r="AD91" s="351">
        <v>0.26830919439016288</v>
      </c>
      <c r="AE91" s="351">
        <v>5.1047827091046244E-2</v>
      </c>
      <c r="AF91" s="364">
        <v>643455.4</v>
      </c>
      <c r="AG91" s="365">
        <v>0</v>
      </c>
      <c r="AH91" s="365">
        <v>241098</v>
      </c>
      <c r="AI91" s="365">
        <v>0</v>
      </c>
      <c r="AJ91" s="365">
        <v>42751</v>
      </c>
      <c r="AK91" s="365">
        <v>0</v>
      </c>
      <c r="AL91" s="365">
        <v>85026</v>
      </c>
      <c r="AM91" s="365">
        <v>0</v>
      </c>
      <c r="AN91" s="365">
        <v>129894</v>
      </c>
      <c r="AO91" s="365">
        <v>0</v>
      </c>
      <c r="AP91" s="365">
        <v>5675</v>
      </c>
      <c r="AQ91" s="365">
        <v>32847</v>
      </c>
      <c r="AR91" s="365">
        <v>0</v>
      </c>
      <c r="AS91" s="365">
        <v>111839.4</v>
      </c>
      <c r="AT91" s="365">
        <v>0</v>
      </c>
      <c r="AU91" s="365">
        <v>649130.4</v>
      </c>
      <c r="AV91" s="365">
        <v>5675</v>
      </c>
      <c r="AW91" s="366">
        <v>0</v>
      </c>
    </row>
    <row r="92" spans="1:49">
      <c r="A92" s="363">
        <v>210030</v>
      </c>
      <c r="B92" s="363" t="s">
        <v>24</v>
      </c>
      <c r="C92" s="87">
        <v>21009.1</v>
      </c>
      <c r="D92" s="87">
        <v>39056.1</v>
      </c>
      <c r="E92" s="87">
        <v>60065.2</v>
      </c>
      <c r="F92" s="87">
        <v>15440.995359131</v>
      </c>
      <c r="G92" s="87">
        <v>16151.053427614999</v>
      </c>
      <c r="H92" s="87">
        <v>31592.048786747</v>
      </c>
      <c r="I92" s="87">
        <v>607.87543285200002</v>
      </c>
      <c r="J92" s="87">
        <v>1768.5637720499999</v>
      </c>
      <c r="K92" s="87">
        <v>2376.4392049019998</v>
      </c>
      <c r="L92" s="87">
        <v>1076.130457236</v>
      </c>
      <c r="M92" s="87">
        <v>5632.2156541860004</v>
      </c>
      <c r="N92" s="87">
        <v>6708.3461114219999</v>
      </c>
      <c r="O92" s="87">
        <v>2354.2365899030001</v>
      </c>
      <c r="P92" s="87">
        <v>8733.4780051779999</v>
      </c>
      <c r="Q92" s="87">
        <v>11087.714595082</v>
      </c>
      <c r="R92" s="87">
        <v>0</v>
      </c>
      <c r="S92" s="87">
        <v>1009.051127371</v>
      </c>
      <c r="T92" s="87">
        <v>1980.445872629</v>
      </c>
      <c r="U92" s="87">
        <v>2989.4969999999998</v>
      </c>
      <c r="V92" s="87">
        <v>520.81103350700005</v>
      </c>
      <c r="W92" s="87">
        <v>4790.3432683419996</v>
      </c>
      <c r="X92" s="87">
        <v>5311.1543018479997</v>
      </c>
      <c r="Y92" s="87">
        <v>4.9770865659316876E-2</v>
      </c>
      <c r="Z92" s="87">
        <v>41918.405085765997</v>
      </c>
      <c r="AA92" s="131">
        <v>0.52596260041999365</v>
      </c>
      <c r="AB92" s="351">
        <v>3.9564326846526776E-2</v>
      </c>
      <c r="AC92" s="351">
        <v>0.18459465039793424</v>
      </c>
      <c r="AD92" s="351">
        <v>0.22415897724446104</v>
      </c>
      <c r="AE92" s="351">
        <v>4.9770865659316876E-2</v>
      </c>
      <c r="AF92" s="364">
        <v>60065.2</v>
      </c>
      <c r="AG92" s="365">
        <v>0</v>
      </c>
      <c r="AH92" s="365">
        <v>31592.048786746</v>
      </c>
      <c r="AI92" s="365">
        <v>-1.0004441719502211E-9</v>
      </c>
      <c r="AJ92" s="365">
        <v>2376.4392049019998</v>
      </c>
      <c r="AK92" s="365">
        <v>0</v>
      </c>
      <c r="AL92" s="365">
        <v>6708.3461114220008</v>
      </c>
      <c r="AM92" s="365">
        <v>0</v>
      </c>
      <c r="AN92" s="365">
        <v>11087.714595081001</v>
      </c>
      <c r="AO92" s="365">
        <v>-9.9862518254667521E-10</v>
      </c>
      <c r="AP92" s="365">
        <v>0</v>
      </c>
      <c r="AQ92" s="365">
        <v>2989.4969999999998</v>
      </c>
      <c r="AR92" s="365">
        <v>0</v>
      </c>
      <c r="AS92" s="365">
        <v>5311.1543018489992</v>
      </c>
      <c r="AT92" s="365">
        <v>9.9953467724844813E-10</v>
      </c>
      <c r="AU92" s="365">
        <v>60065.199999999008</v>
      </c>
      <c r="AV92" s="365">
        <v>-9.8953023552894592E-10</v>
      </c>
      <c r="AW92" s="366">
        <v>9.8953023552894592E-10</v>
      </c>
    </row>
    <row r="93" spans="1:49">
      <c r="A93" s="363">
        <v>210032</v>
      </c>
      <c r="B93" s="363" t="s">
        <v>25</v>
      </c>
      <c r="C93" s="87">
        <v>69899.5</v>
      </c>
      <c r="D93" s="87">
        <v>90404.5</v>
      </c>
      <c r="E93" s="87">
        <v>160304</v>
      </c>
      <c r="F93" s="87">
        <v>35997.5</v>
      </c>
      <c r="G93" s="87">
        <v>30429.3</v>
      </c>
      <c r="H93" s="87">
        <v>66426.8</v>
      </c>
      <c r="I93" s="87">
        <v>2255.4</v>
      </c>
      <c r="J93" s="87">
        <v>2146.3000000000002</v>
      </c>
      <c r="K93" s="87">
        <v>4401.7</v>
      </c>
      <c r="L93" s="87">
        <v>7681.2</v>
      </c>
      <c r="M93" s="87">
        <v>19194.7</v>
      </c>
      <c r="N93" s="87">
        <v>26875.9</v>
      </c>
      <c r="O93" s="87">
        <v>16187.7</v>
      </c>
      <c r="P93" s="87">
        <v>23108.7</v>
      </c>
      <c r="Q93" s="87">
        <v>39296.400000000001</v>
      </c>
      <c r="R93" s="87">
        <v>0</v>
      </c>
      <c r="S93" s="87">
        <v>2111.4</v>
      </c>
      <c r="T93" s="87">
        <v>5586.7312700000002</v>
      </c>
      <c r="U93" s="87">
        <v>7698.1312699999999</v>
      </c>
      <c r="V93" s="87">
        <v>5666.3</v>
      </c>
      <c r="W93" s="87">
        <v>9938.7687299999998</v>
      </c>
      <c r="X93" s="87">
        <v>15605.068730000001</v>
      </c>
      <c r="Y93" s="87">
        <v>4.8022078488372096E-2</v>
      </c>
      <c r="Z93" s="87">
        <v>118156</v>
      </c>
      <c r="AA93" s="131">
        <v>0.4143801776624414</v>
      </c>
      <c r="AB93" s="351">
        <v>2.7458453937518713E-2</v>
      </c>
      <c r="AC93" s="351">
        <v>0.2451367401936321</v>
      </c>
      <c r="AD93" s="351">
        <v>0.2725951941311508</v>
      </c>
      <c r="AE93" s="351">
        <v>4.8022078488372096E-2</v>
      </c>
      <c r="AF93" s="364">
        <v>160304</v>
      </c>
      <c r="AG93" s="365">
        <v>0</v>
      </c>
      <c r="AH93" s="365">
        <v>66426.8</v>
      </c>
      <c r="AI93" s="365">
        <v>0</v>
      </c>
      <c r="AJ93" s="365">
        <v>4401.7000000000007</v>
      </c>
      <c r="AK93" s="365">
        <v>0</v>
      </c>
      <c r="AL93" s="365">
        <v>26875.9</v>
      </c>
      <c r="AM93" s="365">
        <v>0</v>
      </c>
      <c r="AN93" s="365">
        <v>39296.400000000001</v>
      </c>
      <c r="AO93" s="365">
        <v>0</v>
      </c>
      <c r="AP93" s="365">
        <v>0</v>
      </c>
      <c r="AQ93" s="365">
        <v>7698.1312699999999</v>
      </c>
      <c r="AR93" s="365">
        <v>0</v>
      </c>
      <c r="AS93" s="365">
        <v>15605.068729999999</v>
      </c>
      <c r="AT93" s="365">
        <v>0</v>
      </c>
      <c r="AU93" s="365">
        <v>160304</v>
      </c>
      <c r="AV93" s="365">
        <v>0</v>
      </c>
      <c r="AW93" s="366">
        <v>0</v>
      </c>
    </row>
    <row r="94" spans="1:49">
      <c r="A94" s="363">
        <v>210033</v>
      </c>
      <c r="B94" s="363" t="s">
        <v>26</v>
      </c>
      <c r="C94" s="87">
        <v>129295.6</v>
      </c>
      <c r="D94" s="87">
        <v>124768.9</v>
      </c>
      <c r="E94" s="87">
        <v>254064.5</v>
      </c>
      <c r="F94" s="87">
        <v>73491.600000000006</v>
      </c>
      <c r="G94" s="87">
        <v>45013.9</v>
      </c>
      <c r="H94" s="87">
        <v>118505.5</v>
      </c>
      <c r="I94" s="87">
        <v>3235.1</v>
      </c>
      <c r="J94" s="87">
        <v>1832.9</v>
      </c>
      <c r="K94" s="87">
        <v>5068</v>
      </c>
      <c r="L94" s="87">
        <v>9799.1</v>
      </c>
      <c r="M94" s="87">
        <v>15481.5</v>
      </c>
      <c r="N94" s="87">
        <v>25280.6</v>
      </c>
      <c r="O94" s="87">
        <v>15662.5</v>
      </c>
      <c r="P94" s="87">
        <v>17562.2</v>
      </c>
      <c r="Q94" s="87">
        <v>33224.699999999997</v>
      </c>
      <c r="R94" s="87">
        <v>0</v>
      </c>
      <c r="S94" s="87">
        <v>2533</v>
      </c>
      <c r="T94" s="87">
        <v>4784.3</v>
      </c>
      <c r="U94" s="87">
        <v>7317.3</v>
      </c>
      <c r="V94" s="87">
        <v>24574.3</v>
      </c>
      <c r="W94" s="87">
        <v>40094.1</v>
      </c>
      <c r="X94" s="87">
        <v>64668.4</v>
      </c>
      <c r="Y94" s="87">
        <v>2.8800954088430301E-2</v>
      </c>
      <c r="Z94" s="87">
        <v>200045.44320435901</v>
      </c>
      <c r="AA94" s="131">
        <v>0.46643864058142714</v>
      </c>
      <c r="AB94" s="351">
        <v>1.9947690448685274E-2</v>
      </c>
      <c r="AC94" s="351">
        <v>0.13077269748430023</v>
      </c>
      <c r="AD94" s="351">
        <v>0.15072038793298551</v>
      </c>
      <c r="AE94" s="351">
        <v>2.8800954088430301E-2</v>
      </c>
      <c r="AF94" s="364">
        <v>254064.5</v>
      </c>
      <c r="AG94" s="365">
        <v>0</v>
      </c>
      <c r="AH94" s="365">
        <v>118505.5</v>
      </c>
      <c r="AI94" s="365">
        <v>0</v>
      </c>
      <c r="AJ94" s="365">
        <v>5068</v>
      </c>
      <c r="AK94" s="365">
        <v>0</v>
      </c>
      <c r="AL94" s="365">
        <v>25280.6</v>
      </c>
      <c r="AM94" s="365">
        <v>0</v>
      </c>
      <c r="AN94" s="365">
        <v>33224.699999999997</v>
      </c>
      <c r="AO94" s="365">
        <v>0</v>
      </c>
      <c r="AP94" s="365">
        <v>0</v>
      </c>
      <c r="AQ94" s="365">
        <v>7317.3</v>
      </c>
      <c r="AR94" s="365">
        <v>0</v>
      </c>
      <c r="AS94" s="365">
        <v>64668.399999999994</v>
      </c>
      <c r="AT94" s="365">
        <v>0</v>
      </c>
      <c r="AU94" s="365">
        <v>254064.49999999997</v>
      </c>
      <c r="AV94" s="365">
        <v>0</v>
      </c>
      <c r="AW94" s="366">
        <v>0</v>
      </c>
    </row>
    <row r="95" spans="1:49">
      <c r="A95" s="363">
        <v>210034</v>
      </c>
      <c r="B95" s="363" t="s">
        <v>27</v>
      </c>
      <c r="C95" s="87">
        <v>109967.7426</v>
      </c>
      <c r="D95" s="87">
        <v>84401.112899999993</v>
      </c>
      <c r="E95" s="87">
        <v>194368.85550000001</v>
      </c>
      <c r="F95" s="87">
        <v>46318.681723647001</v>
      </c>
      <c r="G95" s="87">
        <v>16712.905732047999</v>
      </c>
      <c r="H95" s="87">
        <v>63031.587455694003</v>
      </c>
      <c r="I95" s="87">
        <v>6446.9265881829997</v>
      </c>
      <c r="J95" s="87">
        <v>3626.1273853130001</v>
      </c>
      <c r="K95" s="87">
        <v>10073.053973496</v>
      </c>
      <c r="L95" s="87">
        <v>6441.3717344810002</v>
      </c>
      <c r="M95" s="87">
        <v>9232.5234252139999</v>
      </c>
      <c r="N95" s="87">
        <v>15673.895159694999</v>
      </c>
      <c r="O95" s="87">
        <v>34101.691616659002</v>
      </c>
      <c r="P95" s="87">
        <v>31639.845403119001</v>
      </c>
      <c r="Q95" s="87">
        <v>65741.537019776995</v>
      </c>
      <c r="R95" s="87">
        <v>1135.4331999999999</v>
      </c>
      <c r="S95" s="87">
        <v>4070.31414296</v>
      </c>
      <c r="T95" s="87">
        <v>7125.1123370400001</v>
      </c>
      <c r="U95" s="87">
        <v>11195.42648</v>
      </c>
      <c r="V95" s="87">
        <v>12588.756794071</v>
      </c>
      <c r="W95" s="87">
        <v>16064.598617266</v>
      </c>
      <c r="X95" s="87">
        <v>28653.355411337001</v>
      </c>
      <c r="Y95" s="87">
        <v>5.7598870205828837E-2</v>
      </c>
      <c r="Z95" s="87">
        <v>136499.59648530101</v>
      </c>
      <c r="AA95" s="131">
        <v>0.32428851470854086</v>
      </c>
      <c r="AB95" s="351">
        <v>5.1824423967429291E-2</v>
      </c>
      <c r="AC95" s="351">
        <v>0.33823081815582845</v>
      </c>
      <c r="AD95" s="351">
        <v>0.39005524212325776</v>
      </c>
      <c r="AE95" s="351">
        <v>5.7598870205828837E-2</v>
      </c>
      <c r="AF95" s="364">
        <v>194368.85550000001</v>
      </c>
      <c r="AG95" s="365">
        <v>0</v>
      </c>
      <c r="AH95" s="365">
        <v>63031.587455695</v>
      </c>
      <c r="AI95" s="365">
        <v>9.9680619314312935E-10</v>
      </c>
      <c r="AJ95" s="365">
        <v>10073.053973496</v>
      </c>
      <c r="AK95" s="365">
        <v>0</v>
      </c>
      <c r="AL95" s="365">
        <v>15673.895159694999</v>
      </c>
      <c r="AM95" s="365">
        <v>0</v>
      </c>
      <c r="AN95" s="365">
        <v>65741.537019777999</v>
      </c>
      <c r="AO95" s="365">
        <v>1.0040821507573128E-9</v>
      </c>
      <c r="AP95" s="365">
        <v>1135.4331999999999</v>
      </c>
      <c r="AQ95" s="365">
        <v>11195.42648</v>
      </c>
      <c r="AR95" s="365">
        <v>0</v>
      </c>
      <c r="AS95" s="365">
        <v>28653.355411336997</v>
      </c>
      <c r="AT95" s="365">
        <v>0</v>
      </c>
      <c r="AU95" s="365">
        <v>195504.28870000294</v>
      </c>
      <c r="AV95" s="365">
        <v>1135.433200002939</v>
      </c>
      <c r="AW95" s="366">
        <v>-2.9390321287792176E-9</v>
      </c>
    </row>
    <row r="96" spans="1:49">
      <c r="A96" s="363">
        <v>210035</v>
      </c>
      <c r="B96" s="363" t="s">
        <v>28</v>
      </c>
      <c r="C96" s="87">
        <v>70751.612429999994</v>
      </c>
      <c r="D96" s="87">
        <v>77941.097630000004</v>
      </c>
      <c r="E96" s="87">
        <v>148692.71006000001</v>
      </c>
      <c r="F96" s="87">
        <v>38393.172481162997</v>
      </c>
      <c r="G96" s="87">
        <v>22514.658807690001</v>
      </c>
      <c r="H96" s="87">
        <v>60907.831288854002</v>
      </c>
      <c r="I96" s="87">
        <v>3438.5989106289999</v>
      </c>
      <c r="J96" s="87">
        <v>2525.4830657440002</v>
      </c>
      <c r="K96" s="87">
        <v>5964.0819763729996</v>
      </c>
      <c r="L96" s="87">
        <v>9449.5870738190006</v>
      </c>
      <c r="M96" s="87">
        <v>17524.659664810999</v>
      </c>
      <c r="N96" s="87">
        <v>26974.246738630001</v>
      </c>
      <c r="O96" s="87">
        <v>12521.095232215999</v>
      </c>
      <c r="P96" s="87">
        <v>20330.047206134001</v>
      </c>
      <c r="Q96" s="87">
        <v>32851.142438349998</v>
      </c>
      <c r="R96" s="87">
        <v>2826.7992399999998</v>
      </c>
      <c r="S96" s="87">
        <v>4117.9262868819997</v>
      </c>
      <c r="T96" s="87">
        <v>4551.3025431180004</v>
      </c>
      <c r="U96" s="87">
        <v>8669.22883</v>
      </c>
      <c r="V96" s="87">
        <v>2831.2324452900002</v>
      </c>
      <c r="W96" s="87">
        <v>10494.946342503001</v>
      </c>
      <c r="X96" s="87">
        <v>13326.178787793</v>
      </c>
      <c r="Y96" s="87">
        <v>5.8302984904248636E-2</v>
      </c>
      <c r="Z96" s="87">
        <v>108137.46045350299</v>
      </c>
      <c r="AA96" s="131">
        <v>0.40962217491547948</v>
      </c>
      <c r="AB96" s="351">
        <v>4.0110116857554029E-2</v>
      </c>
      <c r="AC96" s="351">
        <v>0.22093310711126329</v>
      </c>
      <c r="AD96" s="351">
        <v>0.2610432239688173</v>
      </c>
      <c r="AE96" s="351">
        <v>5.8302984904248636E-2</v>
      </c>
      <c r="AF96" s="364">
        <v>148692.71006000001</v>
      </c>
      <c r="AG96" s="365">
        <v>0</v>
      </c>
      <c r="AH96" s="365">
        <v>60907.831288852998</v>
      </c>
      <c r="AI96" s="365">
        <v>-1.0040821507573128E-9</v>
      </c>
      <c r="AJ96" s="365">
        <v>5964.0819763729996</v>
      </c>
      <c r="AK96" s="365">
        <v>0</v>
      </c>
      <c r="AL96" s="365">
        <v>26974.246738629998</v>
      </c>
      <c r="AM96" s="365">
        <v>0</v>
      </c>
      <c r="AN96" s="365">
        <v>32851.142438349998</v>
      </c>
      <c r="AO96" s="365">
        <v>0</v>
      </c>
      <c r="AP96" s="365">
        <v>2826.7992399999998</v>
      </c>
      <c r="AQ96" s="365">
        <v>8669.22883</v>
      </c>
      <c r="AR96" s="365">
        <v>0</v>
      </c>
      <c r="AS96" s="365">
        <v>13326.178787793</v>
      </c>
      <c r="AT96" s="365">
        <v>0</v>
      </c>
      <c r="AU96" s="365">
        <v>151519.509299998</v>
      </c>
      <c r="AV96" s="365">
        <v>2826.7992399979848</v>
      </c>
      <c r="AW96" s="366">
        <v>2.0149855117779225E-9</v>
      </c>
    </row>
    <row r="97" spans="1:49">
      <c r="A97" s="363">
        <v>210037</v>
      </c>
      <c r="B97" s="363" t="s">
        <v>29</v>
      </c>
      <c r="C97" s="87">
        <v>102114.6</v>
      </c>
      <c r="D97" s="87">
        <v>97499.498999999996</v>
      </c>
      <c r="E97" s="87">
        <v>199614.09899999999</v>
      </c>
      <c r="F97" s="87">
        <v>62993.872000000003</v>
      </c>
      <c r="G97" s="87">
        <v>43566.837</v>
      </c>
      <c r="H97" s="87">
        <v>106560.709</v>
      </c>
      <c r="I97" s="87">
        <v>2355.3339999999998</v>
      </c>
      <c r="J97" s="87">
        <v>3784.4090000000001</v>
      </c>
      <c r="K97" s="87">
        <v>6139.7430000000004</v>
      </c>
      <c r="L97" s="87">
        <v>9492.3850000000002</v>
      </c>
      <c r="M97" s="87">
        <v>15161.495000000001</v>
      </c>
      <c r="N97" s="87">
        <v>24653.88</v>
      </c>
      <c r="O97" s="87">
        <v>15074.945</v>
      </c>
      <c r="P97" s="87">
        <v>17344.308000000001</v>
      </c>
      <c r="Q97" s="87">
        <v>32419.253000000001</v>
      </c>
      <c r="R97" s="87">
        <v>3671.3</v>
      </c>
      <c r="S97" s="87">
        <v>3567.377</v>
      </c>
      <c r="T97" s="87">
        <v>3406.1480000000001</v>
      </c>
      <c r="U97" s="87">
        <v>6973.5249999999996</v>
      </c>
      <c r="V97" s="87">
        <v>8630.6869999999999</v>
      </c>
      <c r="W97" s="87">
        <v>14236.302</v>
      </c>
      <c r="X97" s="87">
        <v>22866.989000000001</v>
      </c>
      <c r="Y97" s="87">
        <v>3.4935032319535708E-2</v>
      </c>
      <c r="Z97" s="87">
        <v>148386.277919577</v>
      </c>
      <c r="AA97" s="131">
        <v>0.5338335795609308</v>
      </c>
      <c r="AB97" s="351">
        <v>3.0758062836032444E-2</v>
      </c>
      <c r="AC97" s="351">
        <v>0.1624096352031727</v>
      </c>
      <c r="AD97" s="351">
        <v>0.19316769803920514</v>
      </c>
      <c r="AE97" s="351">
        <v>3.4935032319535708E-2</v>
      </c>
      <c r="AF97" s="364">
        <v>199614.09899999999</v>
      </c>
      <c r="AG97" s="365">
        <v>0</v>
      </c>
      <c r="AH97" s="365">
        <v>106560.709</v>
      </c>
      <c r="AI97" s="365">
        <v>0</v>
      </c>
      <c r="AJ97" s="365">
        <v>6139.7430000000004</v>
      </c>
      <c r="AK97" s="365">
        <v>0</v>
      </c>
      <c r="AL97" s="365">
        <v>24653.88</v>
      </c>
      <c r="AM97" s="365">
        <v>0</v>
      </c>
      <c r="AN97" s="365">
        <v>32419.253000000001</v>
      </c>
      <c r="AO97" s="365">
        <v>0</v>
      </c>
      <c r="AP97" s="365">
        <v>3671.3</v>
      </c>
      <c r="AQ97" s="365">
        <v>6973.5249999999996</v>
      </c>
      <c r="AR97" s="365">
        <v>0</v>
      </c>
      <c r="AS97" s="365">
        <v>22866.989000000001</v>
      </c>
      <c r="AT97" s="365">
        <v>0</v>
      </c>
      <c r="AU97" s="365">
        <v>203285.39899999998</v>
      </c>
      <c r="AV97" s="365">
        <v>3671.2999999999884</v>
      </c>
      <c r="AW97" s="366">
        <v>1.1823431123048067E-11</v>
      </c>
    </row>
    <row r="98" spans="1:49">
      <c r="A98" s="363">
        <v>210038</v>
      </c>
      <c r="B98" s="363" t="s">
        <v>30</v>
      </c>
      <c r="C98" s="87">
        <v>114784.069</v>
      </c>
      <c r="D98" s="87">
        <v>112032.93</v>
      </c>
      <c r="E98" s="87">
        <v>226816.99900000001</v>
      </c>
      <c r="F98" s="87">
        <v>41022.390172737003</v>
      </c>
      <c r="G98" s="87">
        <v>39302.451690957998</v>
      </c>
      <c r="H98" s="87">
        <v>80324.841863694994</v>
      </c>
      <c r="I98" s="87">
        <v>10075.56913478</v>
      </c>
      <c r="J98" s="87">
        <v>9753.8754808619997</v>
      </c>
      <c r="K98" s="87">
        <v>19829.444615642999</v>
      </c>
      <c r="L98" s="87">
        <v>7965.9600078820004</v>
      </c>
      <c r="M98" s="87">
        <v>7693.5145649630003</v>
      </c>
      <c r="N98" s="87">
        <v>15659.474572845</v>
      </c>
      <c r="O98" s="87">
        <v>41357.45951624</v>
      </c>
      <c r="P98" s="87">
        <v>39983.039348003003</v>
      </c>
      <c r="Q98" s="87">
        <v>81340.498864242996</v>
      </c>
      <c r="R98" s="87">
        <v>0</v>
      </c>
      <c r="S98" s="87">
        <v>7392.9740095070001</v>
      </c>
      <c r="T98" s="87">
        <v>11134.704270493001</v>
      </c>
      <c r="U98" s="87">
        <v>18527.67828</v>
      </c>
      <c r="V98" s="87">
        <v>6969.7161588540002</v>
      </c>
      <c r="W98" s="87">
        <v>4165.3446447209999</v>
      </c>
      <c r="X98" s="87">
        <v>11135.060803574999</v>
      </c>
      <c r="Y98" s="87">
        <v>8.1685580717872033E-2</v>
      </c>
      <c r="Z98" s="87">
        <v>164444.36046098001</v>
      </c>
      <c r="AA98" s="131">
        <v>0.35413942613575883</v>
      </c>
      <c r="AB98" s="351">
        <v>8.7424861024825565E-2</v>
      </c>
      <c r="AC98" s="351">
        <v>0.35861729598248937</v>
      </c>
      <c r="AD98" s="351">
        <v>0.44604215700731487</v>
      </c>
      <c r="AE98" s="351">
        <v>8.1685580717872033E-2</v>
      </c>
      <c r="AF98" s="364">
        <v>226816.99900000001</v>
      </c>
      <c r="AG98" s="365">
        <v>0</v>
      </c>
      <c r="AH98" s="365">
        <v>80324.841863695008</v>
      </c>
      <c r="AI98" s="365">
        <v>0</v>
      </c>
      <c r="AJ98" s="365">
        <v>19829.444615642002</v>
      </c>
      <c r="AK98" s="365">
        <v>-9.9680619314312935E-10</v>
      </c>
      <c r="AL98" s="365">
        <v>15659.474572845</v>
      </c>
      <c r="AM98" s="365">
        <v>0</v>
      </c>
      <c r="AN98" s="365">
        <v>81340.498864243011</v>
      </c>
      <c r="AO98" s="365">
        <v>0</v>
      </c>
      <c r="AP98" s="365">
        <v>0</v>
      </c>
      <c r="AQ98" s="365">
        <v>18527.67828</v>
      </c>
      <c r="AR98" s="365">
        <v>0</v>
      </c>
      <c r="AS98" s="365">
        <v>11135.060803575001</v>
      </c>
      <c r="AT98" s="365">
        <v>0</v>
      </c>
      <c r="AU98" s="365">
        <v>226816.99899999902</v>
      </c>
      <c r="AV98" s="365">
        <v>-9.8953023552894592E-10</v>
      </c>
      <c r="AW98" s="366">
        <v>9.8953023552894592E-10</v>
      </c>
    </row>
    <row r="99" spans="1:49">
      <c r="A99" s="363">
        <v>210039</v>
      </c>
      <c r="B99" s="363" t="s">
        <v>31</v>
      </c>
      <c r="C99" s="87">
        <v>65497.3</v>
      </c>
      <c r="D99" s="87">
        <v>81201.3</v>
      </c>
      <c r="E99" s="87">
        <v>146698.6</v>
      </c>
      <c r="F99" s="87">
        <v>30373.710659523</v>
      </c>
      <c r="G99" s="87">
        <v>26580.367362591001</v>
      </c>
      <c r="H99" s="87">
        <v>56954.078022114998</v>
      </c>
      <c r="I99" s="87">
        <v>1506.991723628</v>
      </c>
      <c r="J99" s="87">
        <v>1787.1058886989999</v>
      </c>
      <c r="K99" s="87">
        <v>3294.0976123270002</v>
      </c>
      <c r="L99" s="87">
        <v>7241.3926842789997</v>
      </c>
      <c r="M99" s="87">
        <v>15228.070417221999</v>
      </c>
      <c r="N99" s="87">
        <v>22469.463101501002</v>
      </c>
      <c r="O99" s="87">
        <v>7359.7756881579999</v>
      </c>
      <c r="P99" s="87">
        <v>11686.956874582</v>
      </c>
      <c r="Q99" s="87">
        <v>19046.732562739999</v>
      </c>
      <c r="R99" s="87">
        <v>903.28561000000002</v>
      </c>
      <c r="S99" s="87">
        <v>1156.0999999999999</v>
      </c>
      <c r="T99" s="87">
        <v>3115.9</v>
      </c>
      <c r="U99" s="87">
        <v>4272</v>
      </c>
      <c r="V99" s="87">
        <v>17859.329244412002</v>
      </c>
      <c r="W99" s="87">
        <v>22802.899456905001</v>
      </c>
      <c r="X99" s="87">
        <v>40662.228701316999</v>
      </c>
      <c r="Y99" s="87">
        <v>2.9120932306102444E-2</v>
      </c>
      <c r="Z99" s="87">
        <v>111105.3705074</v>
      </c>
      <c r="AA99" s="131">
        <v>0.38823872908204304</v>
      </c>
      <c r="AB99" s="351">
        <v>2.2454867410643318E-2</v>
      </c>
      <c r="AC99" s="351">
        <v>0.12983581685673889</v>
      </c>
      <c r="AD99" s="351">
        <v>0.15229068426738224</v>
      </c>
      <c r="AE99" s="351">
        <v>2.9120932306102444E-2</v>
      </c>
      <c r="AF99" s="364">
        <v>146698.6</v>
      </c>
      <c r="AG99" s="365">
        <v>0</v>
      </c>
      <c r="AH99" s="365">
        <v>56954.078022114001</v>
      </c>
      <c r="AI99" s="365">
        <v>-9.9680619314312935E-10</v>
      </c>
      <c r="AJ99" s="365">
        <v>3294.0976123270002</v>
      </c>
      <c r="AK99" s="365">
        <v>0</v>
      </c>
      <c r="AL99" s="365">
        <v>22469.463101500998</v>
      </c>
      <c r="AM99" s="365">
        <v>0</v>
      </c>
      <c r="AN99" s="365">
        <v>19046.732562739999</v>
      </c>
      <c r="AO99" s="365">
        <v>0</v>
      </c>
      <c r="AP99" s="365">
        <v>903.28561000000002</v>
      </c>
      <c r="AQ99" s="365">
        <v>4272</v>
      </c>
      <c r="AR99" s="365">
        <v>0</v>
      </c>
      <c r="AS99" s="365">
        <v>40662.228701316999</v>
      </c>
      <c r="AT99" s="365">
        <v>0</v>
      </c>
      <c r="AU99" s="365">
        <v>147601.88560999802</v>
      </c>
      <c r="AV99" s="365">
        <v>903.28560999801266</v>
      </c>
      <c r="AW99" s="366">
        <v>1.9873596102115698E-9</v>
      </c>
    </row>
    <row r="100" spans="1:49">
      <c r="A100" s="363">
        <v>210040</v>
      </c>
      <c r="B100" s="363" t="s">
        <v>32</v>
      </c>
      <c r="C100" s="87">
        <v>130739.196276</v>
      </c>
      <c r="D100" s="87">
        <v>127205.46002</v>
      </c>
      <c r="E100" s="87">
        <v>257944.656296</v>
      </c>
      <c r="F100" s="87">
        <v>68177.912566183993</v>
      </c>
      <c r="G100" s="87">
        <v>39499.614841518996</v>
      </c>
      <c r="H100" s="87">
        <v>107677.527407703</v>
      </c>
      <c r="I100" s="87">
        <v>8091.3708292150004</v>
      </c>
      <c r="J100" s="87">
        <v>2999.3441296740002</v>
      </c>
      <c r="K100" s="87">
        <v>11090.714958889001</v>
      </c>
      <c r="L100" s="87">
        <v>11006.366126015</v>
      </c>
      <c r="M100" s="87">
        <v>20673.225317265002</v>
      </c>
      <c r="N100" s="87">
        <v>31679.591443279998</v>
      </c>
      <c r="O100" s="87">
        <v>22765.842853623999</v>
      </c>
      <c r="P100" s="87">
        <v>21809.812756854</v>
      </c>
      <c r="Q100" s="87">
        <v>44575.655610478003</v>
      </c>
      <c r="R100" s="87">
        <v>0</v>
      </c>
      <c r="S100" s="87">
        <v>7737.4329522640001</v>
      </c>
      <c r="T100" s="87">
        <v>6838.1840477360001</v>
      </c>
      <c r="U100" s="87">
        <v>14575.617</v>
      </c>
      <c r="V100" s="87">
        <v>12960.270948698</v>
      </c>
      <c r="W100" s="87">
        <v>35385.278926952</v>
      </c>
      <c r="X100" s="87">
        <v>48345.549875650002</v>
      </c>
      <c r="Y100" s="87">
        <v>5.6506760827307073E-2</v>
      </c>
      <c r="Z100" s="87">
        <v>183543.43047820299</v>
      </c>
      <c r="AA100" s="131">
        <v>0.41744430357238915</v>
      </c>
      <c r="AB100" s="351">
        <v>4.2996490480353429E-2</v>
      </c>
      <c r="AC100" s="351">
        <v>0.17281092871071524</v>
      </c>
      <c r="AD100" s="351">
        <v>0.21580741919106869</v>
      </c>
      <c r="AE100" s="351">
        <v>5.6506760827307073E-2</v>
      </c>
      <c r="AF100" s="364">
        <v>257944.656296</v>
      </c>
      <c r="AG100" s="365">
        <v>0</v>
      </c>
      <c r="AH100" s="365">
        <v>107677.52740770299</v>
      </c>
      <c r="AI100" s="365">
        <v>0</v>
      </c>
      <c r="AJ100" s="365">
        <v>11090.714958889001</v>
      </c>
      <c r="AK100" s="365">
        <v>0</v>
      </c>
      <c r="AL100" s="365">
        <v>31679.591443280002</v>
      </c>
      <c r="AM100" s="365">
        <v>0</v>
      </c>
      <c r="AN100" s="365">
        <v>44575.655610478003</v>
      </c>
      <c r="AO100" s="365">
        <v>0</v>
      </c>
      <c r="AP100" s="365">
        <v>0</v>
      </c>
      <c r="AQ100" s="365">
        <v>14575.617</v>
      </c>
      <c r="AR100" s="365">
        <v>0</v>
      </c>
      <c r="AS100" s="365">
        <v>48345.549875650002</v>
      </c>
      <c r="AT100" s="365">
        <v>0</v>
      </c>
      <c r="AU100" s="365">
        <v>257944.656296</v>
      </c>
      <c r="AV100" s="365">
        <v>0</v>
      </c>
      <c r="AW100" s="366">
        <v>0</v>
      </c>
    </row>
    <row r="101" spans="1:49">
      <c r="A101" s="363">
        <v>210043</v>
      </c>
      <c r="B101" s="363" t="s">
        <v>33</v>
      </c>
      <c r="C101" s="87">
        <v>235572.54925000001</v>
      </c>
      <c r="D101" s="87">
        <v>177491.62213999999</v>
      </c>
      <c r="E101" s="87">
        <v>413064.17138999997</v>
      </c>
      <c r="F101" s="87">
        <v>121690.52652197301</v>
      </c>
      <c r="G101" s="87">
        <v>57421.401061438999</v>
      </c>
      <c r="H101" s="87">
        <v>179111.92758341299</v>
      </c>
      <c r="I101" s="87">
        <v>5754.3422688580004</v>
      </c>
      <c r="J101" s="87">
        <v>2723.081001303</v>
      </c>
      <c r="K101" s="87">
        <v>8477.4232701609999</v>
      </c>
      <c r="L101" s="87">
        <v>17386.584747616002</v>
      </c>
      <c r="M101" s="87">
        <v>18792.126395512001</v>
      </c>
      <c r="N101" s="87">
        <v>36178.711143127999</v>
      </c>
      <c r="O101" s="87">
        <v>28143.866122285999</v>
      </c>
      <c r="P101" s="87">
        <v>28327.835061614998</v>
      </c>
      <c r="Q101" s="87">
        <v>56471.701183901001</v>
      </c>
      <c r="R101" s="87">
        <v>1728.117</v>
      </c>
      <c r="S101" s="87">
        <v>12833.114332110999</v>
      </c>
      <c r="T101" s="87">
        <v>10405.918177889</v>
      </c>
      <c r="U101" s="87">
        <v>23239.032510000001</v>
      </c>
      <c r="V101" s="87">
        <v>49764.115257156001</v>
      </c>
      <c r="W101" s="87">
        <v>59821.260442241</v>
      </c>
      <c r="X101" s="87">
        <v>109585.375699397</v>
      </c>
      <c r="Y101" s="87">
        <v>5.6260102230117078E-2</v>
      </c>
      <c r="Z101" s="87">
        <v>320227.42498331598</v>
      </c>
      <c r="AA101" s="131">
        <v>0.4336176797437658</v>
      </c>
      <c r="AB101" s="351">
        <v>2.0523259719267516E-2</v>
      </c>
      <c r="AC101" s="351">
        <v>0.13671411149959675</v>
      </c>
      <c r="AD101" s="351">
        <v>0.15723737121886427</v>
      </c>
      <c r="AE101" s="351">
        <v>5.6260102230117078E-2</v>
      </c>
      <c r="AF101" s="364">
        <v>413064.17139000003</v>
      </c>
      <c r="AG101" s="365">
        <v>0</v>
      </c>
      <c r="AH101" s="365">
        <v>179111.92758341201</v>
      </c>
      <c r="AI101" s="365">
        <v>-9.8953023552894592E-10</v>
      </c>
      <c r="AJ101" s="365">
        <v>8477.4232701609999</v>
      </c>
      <c r="AK101" s="365">
        <v>0</v>
      </c>
      <c r="AL101" s="365">
        <v>36178.711143128006</v>
      </c>
      <c r="AM101" s="365">
        <v>0</v>
      </c>
      <c r="AN101" s="365">
        <v>56471.701183900994</v>
      </c>
      <c r="AO101" s="365">
        <v>0</v>
      </c>
      <c r="AP101" s="365">
        <v>1728.117</v>
      </c>
      <c r="AQ101" s="365">
        <v>23239.032509999997</v>
      </c>
      <c r="AR101" s="365">
        <v>0</v>
      </c>
      <c r="AS101" s="365">
        <v>109585.375699397</v>
      </c>
      <c r="AT101" s="365">
        <v>0</v>
      </c>
      <c r="AU101" s="365">
        <v>414792.28838999802</v>
      </c>
      <c r="AV101" s="365">
        <v>1728.1169999979902</v>
      </c>
      <c r="AW101" s="366">
        <v>2.0097559172427282E-9</v>
      </c>
    </row>
    <row r="102" spans="1:49">
      <c r="A102" s="363">
        <v>210044</v>
      </c>
      <c r="B102" s="363" t="s">
        <v>34</v>
      </c>
      <c r="C102" s="87">
        <v>218675.342</v>
      </c>
      <c r="D102" s="87">
        <v>221008.90599999999</v>
      </c>
      <c r="E102" s="87">
        <v>439684.24800000002</v>
      </c>
      <c r="F102" s="87">
        <v>95346.207645275004</v>
      </c>
      <c r="G102" s="87">
        <v>74970.173127578993</v>
      </c>
      <c r="H102" s="87">
        <v>170316.380772854</v>
      </c>
      <c r="I102" s="87">
        <v>3807.2190055259998</v>
      </c>
      <c r="J102" s="87">
        <v>3621.8688627309998</v>
      </c>
      <c r="K102" s="87">
        <v>7429.0878682570001</v>
      </c>
      <c r="L102" s="87">
        <v>25181.037795026001</v>
      </c>
      <c r="M102" s="87">
        <v>36254.006293548002</v>
      </c>
      <c r="N102" s="87">
        <v>61435.044088572999</v>
      </c>
      <c r="O102" s="87">
        <v>22056.049930323999</v>
      </c>
      <c r="P102" s="87">
        <v>19576.194094957002</v>
      </c>
      <c r="Q102" s="87">
        <v>41632.244025280997</v>
      </c>
      <c r="R102" s="87">
        <v>8709.5969999999998</v>
      </c>
      <c r="S102" s="87">
        <v>4721.0658393029998</v>
      </c>
      <c r="T102" s="87">
        <v>6769.0931606969998</v>
      </c>
      <c r="U102" s="87">
        <v>11490.159</v>
      </c>
      <c r="V102" s="87">
        <v>67563.761784546994</v>
      </c>
      <c r="W102" s="87">
        <v>79817.570460488001</v>
      </c>
      <c r="X102" s="87">
        <v>147381.33224503501</v>
      </c>
      <c r="Y102" s="87">
        <v>2.6132751064577596E-2</v>
      </c>
      <c r="Z102" s="87">
        <v>317320.69091430801</v>
      </c>
      <c r="AA102" s="131">
        <v>0.38736066062765567</v>
      </c>
      <c r="AB102" s="351">
        <v>1.6896415784849766E-2</v>
      </c>
      <c r="AC102" s="351">
        <v>9.4686685308046317E-2</v>
      </c>
      <c r="AD102" s="351">
        <v>0.11158310109289608</v>
      </c>
      <c r="AE102" s="351">
        <v>2.6132751064577596E-2</v>
      </c>
      <c r="AF102" s="364">
        <v>439684.24800000002</v>
      </c>
      <c r="AG102" s="365">
        <v>0</v>
      </c>
      <c r="AH102" s="365">
        <v>170316.380772854</v>
      </c>
      <c r="AI102" s="365">
        <v>0</v>
      </c>
      <c r="AJ102" s="365">
        <v>7429.0878682570001</v>
      </c>
      <c r="AK102" s="365">
        <v>0</v>
      </c>
      <c r="AL102" s="365">
        <v>61435.044088574003</v>
      </c>
      <c r="AM102" s="365">
        <v>1.0040821507573128E-9</v>
      </c>
      <c r="AN102" s="365">
        <v>41632.244025281005</v>
      </c>
      <c r="AO102" s="365">
        <v>0</v>
      </c>
      <c r="AP102" s="365">
        <v>8709.5969999999998</v>
      </c>
      <c r="AQ102" s="365">
        <v>11490.159</v>
      </c>
      <c r="AR102" s="365">
        <v>0</v>
      </c>
      <c r="AS102" s="365">
        <v>147381.33224503498</v>
      </c>
      <c r="AT102" s="365">
        <v>0</v>
      </c>
      <c r="AU102" s="365">
        <v>448393.84500000195</v>
      </c>
      <c r="AV102" s="365">
        <v>8709.5970000019297</v>
      </c>
      <c r="AW102" s="366">
        <v>-1.9299477571621537E-9</v>
      </c>
    </row>
    <row r="103" spans="1:49">
      <c r="A103" s="363">
        <v>210045</v>
      </c>
      <c r="B103" s="363" t="s">
        <v>35</v>
      </c>
      <c r="C103" s="87">
        <v>4699.6000000000004</v>
      </c>
      <c r="D103" s="87">
        <v>11609.6</v>
      </c>
      <c r="E103" s="87">
        <v>16309.2</v>
      </c>
      <c r="F103" s="87">
        <v>2250</v>
      </c>
      <c r="G103" s="87">
        <v>5230.3</v>
      </c>
      <c r="H103" s="87">
        <v>7480.3</v>
      </c>
      <c r="I103" s="87">
        <v>36.4</v>
      </c>
      <c r="J103" s="87">
        <v>256.89999999999998</v>
      </c>
      <c r="K103" s="87">
        <v>293.3</v>
      </c>
      <c r="L103" s="87">
        <v>167.2</v>
      </c>
      <c r="M103" s="87">
        <v>1440.5</v>
      </c>
      <c r="N103" s="87">
        <v>1607.7</v>
      </c>
      <c r="O103" s="87">
        <v>380.2</v>
      </c>
      <c r="P103" s="87">
        <v>3686</v>
      </c>
      <c r="Q103" s="87">
        <v>4066.2</v>
      </c>
      <c r="R103" s="87">
        <v>262</v>
      </c>
      <c r="S103" s="87">
        <v>71.599999999999994</v>
      </c>
      <c r="T103" s="87">
        <v>393.8</v>
      </c>
      <c r="U103" s="87">
        <v>465.4</v>
      </c>
      <c r="V103" s="87">
        <v>1794.2</v>
      </c>
      <c r="W103" s="87">
        <v>602.1</v>
      </c>
      <c r="X103" s="87">
        <v>2396.3000000000002</v>
      </c>
      <c r="Y103" s="87">
        <v>2.8536041007529489E-2</v>
      </c>
      <c r="Z103" s="87">
        <v>14004.041846381</v>
      </c>
      <c r="AA103" s="131">
        <v>0.45865523753464299</v>
      </c>
      <c r="AB103" s="351">
        <v>1.7983714713168029E-2</v>
      </c>
      <c r="AC103" s="351">
        <v>0.24931940254580234</v>
      </c>
      <c r="AD103" s="351">
        <v>0.26730311725897038</v>
      </c>
      <c r="AE103" s="351">
        <v>2.8536041007529489E-2</v>
      </c>
      <c r="AF103" s="364">
        <v>16309.2</v>
      </c>
      <c r="AG103" s="365">
        <v>0</v>
      </c>
      <c r="AH103" s="365">
        <v>7480.3</v>
      </c>
      <c r="AI103" s="365">
        <v>0</v>
      </c>
      <c r="AJ103" s="365">
        <v>293.29999999999995</v>
      </c>
      <c r="AK103" s="365">
        <v>0</v>
      </c>
      <c r="AL103" s="365">
        <v>1607.7</v>
      </c>
      <c r="AM103" s="365">
        <v>0</v>
      </c>
      <c r="AN103" s="365">
        <v>4066.2</v>
      </c>
      <c r="AO103" s="365">
        <v>0</v>
      </c>
      <c r="AP103" s="365">
        <v>262</v>
      </c>
      <c r="AQ103" s="365">
        <v>465.4</v>
      </c>
      <c r="AR103" s="365">
        <v>0</v>
      </c>
      <c r="AS103" s="365">
        <v>2396.3000000000002</v>
      </c>
      <c r="AT103" s="365">
        <v>0</v>
      </c>
      <c r="AU103" s="365">
        <v>16571.2</v>
      </c>
      <c r="AV103" s="365">
        <v>262</v>
      </c>
      <c r="AW103" s="366">
        <v>0</v>
      </c>
    </row>
    <row r="104" spans="1:49">
      <c r="A104" s="363">
        <v>210048</v>
      </c>
      <c r="B104" s="363" t="s">
        <v>36</v>
      </c>
      <c r="C104" s="87">
        <v>180224.715</v>
      </c>
      <c r="D104" s="87">
        <v>117721.481</v>
      </c>
      <c r="E104" s="87">
        <v>297946.196</v>
      </c>
      <c r="F104" s="87">
        <v>72628.577000000005</v>
      </c>
      <c r="G104" s="87">
        <v>25385.151000000002</v>
      </c>
      <c r="H104" s="87">
        <v>98013.728000000003</v>
      </c>
      <c r="I104" s="87">
        <v>10740.465</v>
      </c>
      <c r="J104" s="87">
        <v>5022.1540000000005</v>
      </c>
      <c r="K104" s="87">
        <v>15762.619000000001</v>
      </c>
      <c r="L104" s="87">
        <v>21492.63</v>
      </c>
      <c r="M104" s="87">
        <v>19277.076000000001</v>
      </c>
      <c r="N104" s="87">
        <v>40769.705999999998</v>
      </c>
      <c r="O104" s="87">
        <v>17286.442999999999</v>
      </c>
      <c r="P104" s="87">
        <v>12775.9</v>
      </c>
      <c r="Q104" s="87">
        <v>30062.343000000001</v>
      </c>
      <c r="R104" s="87">
        <v>1757.9479799999999</v>
      </c>
      <c r="S104" s="87">
        <v>4574</v>
      </c>
      <c r="T104" s="87">
        <v>5235</v>
      </c>
      <c r="U104" s="87">
        <v>9809</v>
      </c>
      <c r="V104" s="87">
        <v>53502.6</v>
      </c>
      <c r="W104" s="87">
        <v>50026.2</v>
      </c>
      <c r="X104" s="87">
        <v>103528.8</v>
      </c>
      <c r="Y104" s="87">
        <v>3.2922051469990908E-2</v>
      </c>
      <c r="Z104" s="87">
        <v>243207.533598718</v>
      </c>
      <c r="AA104" s="131">
        <v>0.3289645221716474</v>
      </c>
      <c r="AB104" s="351">
        <v>5.2904246510333028E-2</v>
      </c>
      <c r="AC104" s="351">
        <v>0.10089856290697533</v>
      </c>
      <c r="AD104" s="351">
        <v>0.15380280941730834</v>
      </c>
      <c r="AE104" s="351">
        <v>3.2922051469990908E-2</v>
      </c>
      <c r="AF104" s="364">
        <v>297946.196</v>
      </c>
      <c r="AG104" s="365">
        <v>0</v>
      </c>
      <c r="AH104" s="365">
        <v>98013.728000000003</v>
      </c>
      <c r="AI104" s="365">
        <v>0</v>
      </c>
      <c r="AJ104" s="365">
        <v>15762.619000000001</v>
      </c>
      <c r="AK104" s="365">
        <v>0</v>
      </c>
      <c r="AL104" s="365">
        <v>40769.706000000006</v>
      </c>
      <c r="AM104" s="365">
        <v>0</v>
      </c>
      <c r="AN104" s="365">
        <v>30062.343000000001</v>
      </c>
      <c r="AO104" s="365">
        <v>0</v>
      </c>
      <c r="AP104" s="365">
        <v>1757.9479799999999</v>
      </c>
      <c r="AQ104" s="365">
        <v>9809</v>
      </c>
      <c r="AR104" s="365">
        <v>0</v>
      </c>
      <c r="AS104" s="365">
        <v>103528.79999999999</v>
      </c>
      <c r="AT104" s="365">
        <v>0</v>
      </c>
      <c r="AU104" s="365">
        <v>299704.14397999999</v>
      </c>
      <c r="AV104" s="365">
        <v>1757.9479799999972</v>
      </c>
      <c r="AW104" s="366">
        <v>2.7284841053187847E-12</v>
      </c>
    </row>
    <row r="105" spans="1:49">
      <c r="A105" s="363">
        <v>210049</v>
      </c>
      <c r="B105" s="363" t="s">
        <v>37</v>
      </c>
      <c r="C105" s="87">
        <v>135336.49293000001</v>
      </c>
      <c r="D105" s="87">
        <v>195630.48105999999</v>
      </c>
      <c r="E105" s="87">
        <v>330966.97399000003</v>
      </c>
      <c r="F105" s="87">
        <v>70552.203312940997</v>
      </c>
      <c r="G105" s="87">
        <v>73906.136780875997</v>
      </c>
      <c r="H105" s="87">
        <v>144458.34009381701</v>
      </c>
      <c r="I105" s="87">
        <v>1475.302253934</v>
      </c>
      <c r="J105" s="87">
        <v>2106.2877649249999</v>
      </c>
      <c r="K105" s="87">
        <v>3581.5900188589999</v>
      </c>
      <c r="L105" s="87">
        <v>11927.151913631</v>
      </c>
      <c r="M105" s="87">
        <v>26345.659138850999</v>
      </c>
      <c r="N105" s="87">
        <v>38272.811052482</v>
      </c>
      <c r="O105" s="87">
        <v>13102.251187739999</v>
      </c>
      <c r="P105" s="87">
        <v>19950.089512495</v>
      </c>
      <c r="Q105" s="87">
        <v>33052.340700235</v>
      </c>
      <c r="R105" s="87">
        <v>2405.439492</v>
      </c>
      <c r="S105" s="87">
        <v>4845.0366245730002</v>
      </c>
      <c r="T105" s="87">
        <v>7054.9633754269998</v>
      </c>
      <c r="U105" s="87">
        <v>11900</v>
      </c>
      <c r="V105" s="87">
        <v>33434.547637180003</v>
      </c>
      <c r="W105" s="87">
        <v>66267.344487426002</v>
      </c>
      <c r="X105" s="87">
        <v>99701.892124606005</v>
      </c>
      <c r="Y105" s="87">
        <v>3.5955249119084466E-2</v>
      </c>
      <c r="Z105" s="87">
        <v>245756.18347435701</v>
      </c>
      <c r="AA105" s="131">
        <v>0.4364735802859343</v>
      </c>
      <c r="AB105" s="351">
        <v>1.082159339247914E-2</v>
      </c>
      <c r="AC105" s="351">
        <v>9.9865978474437317E-2</v>
      </c>
      <c r="AD105" s="351">
        <v>0.11068757186691647</v>
      </c>
      <c r="AE105" s="351">
        <v>3.5955249119084466E-2</v>
      </c>
      <c r="AF105" s="364">
        <v>330966.97398999997</v>
      </c>
      <c r="AG105" s="365">
        <v>0</v>
      </c>
      <c r="AH105" s="365">
        <v>144458.34009381698</v>
      </c>
      <c r="AI105" s="365">
        <v>0</v>
      </c>
      <c r="AJ105" s="365">
        <v>3581.5900188589999</v>
      </c>
      <c r="AK105" s="365">
        <v>0</v>
      </c>
      <c r="AL105" s="365">
        <v>38272.811052482</v>
      </c>
      <c r="AM105" s="365">
        <v>0</v>
      </c>
      <c r="AN105" s="365">
        <v>33052.340700235</v>
      </c>
      <c r="AO105" s="365">
        <v>0</v>
      </c>
      <c r="AP105" s="365">
        <v>2405.439492</v>
      </c>
      <c r="AQ105" s="365">
        <v>11900</v>
      </c>
      <c r="AR105" s="365">
        <v>0</v>
      </c>
      <c r="AS105" s="365">
        <v>99701.892124606005</v>
      </c>
      <c r="AT105" s="365">
        <v>0</v>
      </c>
      <c r="AU105" s="365">
        <v>333372.41348199896</v>
      </c>
      <c r="AV105" s="365">
        <v>2405.4394919989863</v>
      </c>
      <c r="AW105" s="366">
        <v>1.0136318451259285E-9</v>
      </c>
    </row>
    <row r="106" spans="1:49">
      <c r="A106" s="363">
        <v>210051</v>
      </c>
      <c r="B106" s="363" t="s">
        <v>38</v>
      </c>
      <c r="C106" s="87">
        <v>137587.25399999999</v>
      </c>
      <c r="D106" s="87">
        <v>96458.204400000002</v>
      </c>
      <c r="E106" s="87">
        <v>234045.4584</v>
      </c>
      <c r="F106" s="87">
        <v>68101.378439295004</v>
      </c>
      <c r="G106" s="87">
        <v>27820.361727773001</v>
      </c>
      <c r="H106" s="87">
        <v>95921.740167067997</v>
      </c>
      <c r="I106" s="87">
        <v>8169.6462897929996</v>
      </c>
      <c r="J106" s="87">
        <v>3466.5528996920002</v>
      </c>
      <c r="K106" s="87">
        <v>11636.199189485</v>
      </c>
      <c r="L106" s="87">
        <v>20116.881938441998</v>
      </c>
      <c r="M106" s="87">
        <v>21426.513313193998</v>
      </c>
      <c r="N106" s="87">
        <v>41543.395251636</v>
      </c>
      <c r="O106" s="87">
        <v>18099.805815483</v>
      </c>
      <c r="P106" s="87">
        <v>17530.494763578001</v>
      </c>
      <c r="Q106" s="87">
        <v>35630.30057906</v>
      </c>
      <c r="R106" s="87">
        <v>1173.3446899999999</v>
      </c>
      <c r="S106" s="87">
        <v>10096.442587908999</v>
      </c>
      <c r="T106" s="87">
        <v>7105.8031520909999</v>
      </c>
      <c r="U106" s="87">
        <v>17202.245739999998</v>
      </c>
      <c r="V106" s="87">
        <v>13003.098929078</v>
      </c>
      <c r="W106" s="87">
        <v>19108.478543673002</v>
      </c>
      <c r="X106" s="87">
        <v>32111.577472751</v>
      </c>
      <c r="Y106" s="87">
        <v>7.3499592162989819E-2</v>
      </c>
      <c r="Z106" s="87">
        <v>172791.71378452401</v>
      </c>
      <c r="AA106" s="131">
        <v>0.40984234781916196</v>
      </c>
      <c r="AB106" s="351">
        <v>4.9717688473996893E-2</v>
      </c>
      <c r="AC106" s="351">
        <v>0.15223666728095758</v>
      </c>
      <c r="AD106" s="351">
        <v>0.20195435575495449</v>
      </c>
      <c r="AE106" s="351">
        <v>7.3499592162989819E-2</v>
      </c>
      <c r="AF106" s="364">
        <v>234045.4584</v>
      </c>
      <c r="AG106" s="365">
        <v>0</v>
      </c>
      <c r="AH106" s="365">
        <v>95921.740167067997</v>
      </c>
      <c r="AI106" s="365">
        <v>0</v>
      </c>
      <c r="AJ106" s="365">
        <v>11636.199189485</v>
      </c>
      <c r="AK106" s="365">
        <v>0</v>
      </c>
      <c r="AL106" s="365">
        <v>41543.395251636</v>
      </c>
      <c r="AM106" s="365">
        <v>0</v>
      </c>
      <c r="AN106" s="365">
        <v>35630.300579061004</v>
      </c>
      <c r="AO106" s="365">
        <v>1.0040821507573128E-9</v>
      </c>
      <c r="AP106" s="365">
        <v>1173.3446899999999</v>
      </c>
      <c r="AQ106" s="365">
        <v>17202.245739999998</v>
      </c>
      <c r="AR106" s="365">
        <v>0</v>
      </c>
      <c r="AS106" s="365">
        <v>32111.577472751</v>
      </c>
      <c r="AT106" s="365">
        <v>0</v>
      </c>
      <c r="AU106" s="365">
        <v>235218.80309000201</v>
      </c>
      <c r="AV106" s="365">
        <v>1173.3446900020062</v>
      </c>
      <c r="AW106" s="366">
        <v>-2.0063453121110797E-9</v>
      </c>
    </row>
    <row r="107" spans="1:49">
      <c r="A107" s="363">
        <v>210055</v>
      </c>
      <c r="B107" s="363" t="s">
        <v>40</v>
      </c>
      <c r="C107" s="87">
        <v>64445.451390000002</v>
      </c>
      <c r="D107" s="87">
        <v>41672.048190000001</v>
      </c>
      <c r="E107" s="87">
        <v>106117.49958</v>
      </c>
      <c r="F107" s="87">
        <v>29291.510287810001</v>
      </c>
      <c r="G107" s="87">
        <v>8475.2651513860001</v>
      </c>
      <c r="H107" s="87">
        <v>37766.775439195997</v>
      </c>
      <c r="I107" s="87">
        <v>7207.4415533709998</v>
      </c>
      <c r="J107" s="87">
        <v>1489.346056846</v>
      </c>
      <c r="K107" s="87">
        <v>8696.7876102179998</v>
      </c>
      <c r="L107" s="87">
        <v>6547.9509649459997</v>
      </c>
      <c r="M107" s="87">
        <v>7549.2057528839996</v>
      </c>
      <c r="N107" s="87">
        <v>14097.156717829999</v>
      </c>
      <c r="O107" s="87">
        <v>9654.3202835119992</v>
      </c>
      <c r="P107" s="87">
        <v>8279.5837862860008</v>
      </c>
      <c r="Q107" s="87">
        <v>17933.904069798002</v>
      </c>
      <c r="R107" s="87">
        <v>0</v>
      </c>
      <c r="S107" s="87">
        <v>5386.31315</v>
      </c>
      <c r="T107" s="87">
        <v>6926.9470700000002</v>
      </c>
      <c r="U107" s="87">
        <v>12313.26022</v>
      </c>
      <c r="V107" s="87">
        <v>6357.9151503610001</v>
      </c>
      <c r="W107" s="87">
        <v>8951.7003725970008</v>
      </c>
      <c r="X107" s="87">
        <v>15309.615522958</v>
      </c>
      <c r="Y107" s="87">
        <v>0.11603420989690078</v>
      </c>
      <c r="Z107" s="87">
        <v>85650.822610332994</v>
      </c>
      <c r="AA107" s="131">
        <v>0.35589582857372482</v>
      </c>
      <c r="AB107" s="351">
        <v>8.1954320867329275E-2</v>
      </c>
      <c r="AC107" s="351">
        <v>0.16900043952013744</v>
      </c>
      <c r="AD107" s="351">
        <v>0.25095476038746672</v>
      </c>
      <c r="AE107" s="351">
        <v>0.11603420989690078</v>
      </c>
      <c r="AF107" s="364">
        <v>106117.49958</v>
      </c>
      <c r="AG107" s="365">
        <v>0</v>
      </c>
      <c r="AH107" s="365">
        <v>37766.775439196004</v>
      </c>
      <c r="AI107" s="365">
        <v>0</v>
      </c>
      <c r="AJ107" s="365">
        <v>8696.7876102169994</v>
      </c>
      <c r="AK107" s="365">
        <v>-1.0004441719502211E-9</v>
      </c>
      <c r="AL107" s="365">
        <v>14097.156717829999</v>
      </c>
      <c r="AM107" s="365">
        <v>0</v>
      </c>
      <c r="AN107" s="365">
        <v>17933.904069798002</v>
      </c>
      <c r="AO107" s="365">
        <v>0</v>
      </c>
      <c r="AP107" s="365">
        <v>0</v>
      </c>
      <c r="AQ107" s="365">
        <v>12313.26022</v>
      </c>
      <c r="AR107" s="365">
        <v>0</v>
      </c>
      <c r="AS107" s="365">
        <v>15309.615522958</v>
      </c>
      <c r="AT107" s="365">
        <v>0</v>
      </c>
      <c r="AU107" s="365">
        <v>106117.49957999801</v>
      </c>
      <c r="AV107" s="365">
        <v>-1.9936123862862587E-9</v>
      </c>
      <c r="AW107" s="366">
        <v>1.9936123862862587E-9</v>
      </c>
    </row>
    <row r="108" spans="1:49">
      <c r="A108" s="363">
        <v>210056</v>
      </c>
      <c r="B108" s="363" t="s">
        <v>41</v>
      </c>
      <c r="C108" s="87">
        <v>161067.48555000001</v>
      </c>
      <c r="D108" s="87">
        <v>128041.29035</v>
      </c>
      <c r="E108" s="87">
        <v>289108.77590000001</v>
      </c>
      <c r="F108" s="87">
        <v>89129.442951759003</v>
      </c>
      <c r="G108" s="87">
        <v>50473.102235847</v>
      </c>
      <c r="H108" s="87">
        <v>139602.54518760601</v>
      </c>
      <c r="I108" s="87">
        <v>8784.2229721839994</v>
      </c>
      <c r="J108" s="87">
        <v>4496.5513696520002</v>
      </c>
      <c r="K108" s="87">
        <v>13280.774341836001</v>
      </c>
      <c r="L108" s="87">
        <v>11218.770089051</v>
      </c>
      <c r="M108" s="87">
        <v>16837.169350387001</v>
      </c>
      <c r="N108" s="87">
        <v>28055.939439438</v>
      </c>
      <c r="O108" s="87">
        <v>30108.829489861</v>
      </c>
      <c r="P108" s="87">
        <v>29814.539209832001</v>
      </c>
      <c r="Q108" s="87">
        <v>59923.368699692997</v>
      </c>
      <c r="R108" s="87">
        <v>3098.4059699999998</v>
      </c>
      <c r="S108" s="87">
        <v>5272.2660941419999</v>
      </c>
      <c r="T108" s="87">
        <v>9286.3364258580004</v>
      </c>
      <c r="U108" s="87">
        <v>14558.60252</v>
      </c>
      <c r="V108" s="87">
        <v>16553.953953003002</v>
      </c>
      <c r="W108" s="87">
        <v>17133.591758424001</v>
      </c>
      <c r="X108" s="87">
        <v>33687.545711427003</v>
      </c>
      <c r="Y108" s="87">
        <v>5.0356833598976199E-2</v>
      </c>
      <c r="Z108" s="87">
        <v>208121.91370548299</v>
      </c>
      <c r="AA108" s="131">
        <v>0.48287204272170975</v>
      </c>
      <c r="AB108" s="351">
        <v>4.593694639843688E-2</v>
      </c>
      <c r="AC108" s="351">
        <v>0.2072692830342166</v>
      </c>
      <c r="AD108" s="351">
        <v>0.25320622943265347</v>
      </c>
      <c r="AE108" s="351">
        <v>5.0356833598976199E-2</v>
      </c>
      <c r="AF108" s="364">
        <v>289108.77590000001</v>
      </c>
      <c r="AG108" s="365">
        <v>0</v>
      </c>
      <c r="AH108" s="365">
        <v>139602.54518760601</v>
      </c>
      <c r="AI108" s="365">
        <v>0</v>
      </c>
      <c r="AJ108" s="365">
        <v>13280.774341836001</v>
      </c>
      <c r="AK108" s="365">
        <v>0</v>
      </c>
      <c r="AL108" s="365">
        <v>28055.939439438</v>
      </c>
      <c r="AM108" s="365">
        <v>0</v>
      </c>
      <c r="AN108" s="365">
        <v>59923.368699693005</v>
      </c>
      <c r="AO108" s="365">
        <v>0</v>
      </c>
      <c r="AP108" s="365">
        <v>3098.4059699999998</v>
      </c>
      <c r="AQ108" s="365">
        <v>14558.60252</v>
      </c>
      <c r="AR108" s="365">
        <v>0</v>
      </c>
      <c r="AS108" s="365">
        <v>33687.545711427003</v>
      </c>
      <c r="AT108" s="365">
        <v>0</v>
      </c>
      <c r="AU108" s="365">
        <v>292207.18186999997</v>
      </c>
      <c r="AV108" s="365">
        <v>3098.4059699999634</v>
      </c>
      <c r="AW108" s="366">
        <v>3.637978807091713E-11</v>
      </c>
    </row>
    <row r="109" spans="1:49">
      <c r="A109" s="363">
        <v>210057</v>
      </c>
      <c r="B109" s="363" t="s">
        <v>42</v>
      </c>
      <c r="C109" s="87">
        <v>226096</v>
      </c>
      <c r="D109" s="87">
        <v>163817.20000000001</v>
      </c>
      <c r="E109" s="87">
        <v>389913.2</v>
      </c>
      <c r="F109" s="87">
        <v>85365.002999999997</v>
      </c>
      <c r="G109" s="87">
        <v>38968.968000000001</v>
      </c>
      <c r="H109" s="87">
        <v>124333.97100000001</v>
      </c>
      <c r="I109" s="87">
        <v>16929.79</v>
      </c>
      <c r="J109" s="87">
        <v>10665.046</v>
      </c>
      <c r="K109" s="87">
        <v>27594.835999999999</v>
      </c>
      <c r="L109" s="87">
        <v>44246.332999999999</v>
      </c>
      <c r="M109" s="87">
        <v>38690.008000000002</v>
      </c>
      <c r="N109" s="87">
        <v>82936.341</v>
      </c>
      <c r="O109" s="87">
        <v>30315.401999999998</v>
      </c>
      <c r="P109" s="87">
        <v>19681.058000000001</v>
      </c>
      <c r="Q109" s="87">
        <v>49996.46</v>
      </c>
      <c r="R109" s="87">
        <v>6017.8029999999999</v>
      </c>
      <c r="S109" s="87">
        <v>5458.4408464999997</v>
      </c>
      <c r="T109" s="87">
        <v>13205.847153500001</v>
      </c>
      <c r="U109" s="87">
        <v>18664.288</v>
      </c>
      <c r="V109" s="87">
        <v>43781.0311535</v>
      </c>
      <c r="W109" s="87">
        <v>42606.272846499996</v>
      </c>
      <c r="X109" s="87">
        <v>86387.304000000004</v>
      </c>
      <c r="Y109" s="87">
        <v>4.7867802372425453E-2</v>
      </c>
      <c r="Z109" s="87">
        <v>295786.21771871799</v>
      </c>
      <c r="AA109" s="131">
        <v>0.31887602420230965</v>
      </c>
      <c r="AB109" s="351">
        <v>7.077174099261066E-2</v>
      </c>
      <c r="AC109" s="351">
        <v>0.12822458947273394</v>
      </c>
      <c r="AD109" s="351">
        <v>0.1989963304653446</v>
      </c>
      <c r="AE109" s="351">
        <v>4.7867802372425453E-2</v>
      </c>
      <c r="AF109" s="364">
        <v>389913.2</v>
      </c>
      <c r="AG109" s="365">
        <v>0</v>
      </c>
      <c r="AH109" s="365">
        <v>124333.97099999999</v>
      </c>
      <c r="AI109" s="365">
        <v>0</v>
      </c>
      <c r="AJ109" s="365">
        <v>27594.836000000003</v>
      </c>
      <c r="AK109" s="365">
        <v>0</v>
      </c>
      <c r="AL109" s="365">
        <v>82936.341</v>
      </c>
      <c r="AM109" s="365">
        <v>0</v>
      </c>
      <c r="AN109" s="365">
        <v>49996.46</v>
      </c>
      <c r="AO109" s="365">
        <v>0</v>
      </c>
      <c r="AP109" s="365">
        <v>6017.8029999999999</v>
      </c>
      <c r="AQ109" s="365">
        <v>18664.288</v>
      </c>
      <c r="AR109" s="365">
        <v>0</v>
      </c>
      <c r="AS109" s="365">
        <v>86387.304000000004</v>
      </c>
      <c r="AT109" s="365">
        <v>0</v>
      </c>
      <c r="AU109" s="365">
        <v>395931.00300000003</v>
      </c>
      <c r="AV109" s="365">
        <v>6017.8030000000144</v>
      </c>
      <c r="AW109" s="366">
        <v>-1.4551915228366852E-11</v>
      </c>
    </row>
    <row r="110" spans="1:49">
      <c r="A110" s="363">
        <v>210058</v>
      </c>
      <c r="B110" s="363" t="s">
        <v>39</v>
      </c>
      <c r="C110" s="87">
        <v>68304.085999999996</v>
      </c>
      <c r="D110" s="87">
        <v>50462.703999999998</v>
      </c>
      <c r="E110" s="87">
        <v>118766.79</v>
      </c>
      <c r="F110" s="87">
        <v>20251.094963869</v>
      </c>
      <c r="G110" s="87">
        <v>14961.403785384</v>
      </c>
      <c r="H110" s="87">
        <v>35212.498749252998</v>
      </c>
      <c r="I110" s="87">
        <v>7046.5943231589999</v>
      </c>
      <c r="J110" s="87">
        <v>5205.9872895110002</v>
      </c>
      <c r="K110" s="87">
        <v>12252.581612671</v>
      </c>
      <c r="L110" s="87">
        <v>12755.04714296</v>
      </c>
      <c r="M110" s="87">
        <v>9423.3625859690001</v>
      </c>
      <c r="N110" s="87">
        <v>22178.409728929</v>
      </c>
      <c r="O110" s="87">
        <v>13784.929256363001</v>
      </c>
      <c r="P110" s="87">
        <v>10184.234142666</v>
      </c>
      <c r="Q110" s="87">
        <v>23969.163399028999</v>
      </c>
      <c r="R110" s="87">
        <v>330.11028435399999</v>
      </c>
      <c r="S110" s="87">
        <v>3389.8674846499998</v>
      </c>
      <c r="T110" s="87">
        <v>3864.5737253500001</v>
      </c>
      <c r="U110" s="87">
        <v>7254.44121</v>
      </c>
      <c r="V110" s="87">
        <v>11076.552828999</v>
      </c>
      <c r="W110" s="87">
        <v>6823.1424711190002</v>
      </c>
      <c r="X110" s="87">
        <v>17899.695300118001</v>
      </c>
      <c r="Y110" s="87">
        <v>6.1081394975817736E-2</v>
      </c>
      <c r="Z110" s="87">
        <v>100076.16941848899</v>
      </c>
      <c r="AA110" s="131">
        <v>0.29648438548564798</v>
      </c>
      <c r="AB110" s="351">
        <v>0.103165048181154</v>
      </c>
      <c r="AC110" s="351">
        <v>0.20181705171141698</v>
      </c>
      <c r="AD110" s="351">
        <v>0.30498209989257097</v>
      </c>
      <c r="AE110" s="351">
        <v>6.1081394975817736E-2</v>
      </c>
      <c r="AF110" s="364">
        <v>118766.79</v>
      </c>
      <c r="AG110" s="365">
        <v>0</v>
      </c>
      <c r="AH110" s="365">
        <v>35212.498749252998</v>
      </c>
      <c r="AI110" s="365">
        <v>0</v>
      </c>
      <c r="AJ110" s="365">
        <v>12252.581612670001</v>
      </c>
      <c r="AK110" s="365">
        <v>-9.9862518254667521E-10</v>
      </c>
      <c r="AL110" s="365">
        <v>22178.409728929</v>
      </c>
      <c r="AM110" s="365">
        <v>0</v>
      </c>
      <c r="AN110" s="365">
        <v>23969.163399028999</v>
      </c>
      <c r="AO110" s="365">
        <v>0</v>
      </c>
      <c r="AP110" s="365">
        <v>330.11028435399999</v>
      </c>
      <c r="AQ110" s="365">
        <v>7254.44121</v>
      </c>
      <c r="AR110" s="365">
        <v>0</v>
      </c>
      <c r="AS110" s="365">
        <v>17899.695300118001</v>
      </c>
      <c r="AT110" s="365">
        <v>0</v>
      </c>
      <c r="AU110" s="365">
        <v>119096.90028435201</v>
      </c>
      <c r="AV110" s="365">
        <v>330.11028435202024</v>
      </c>
      <c r="AW110" s="366">
        <v>1.9797425920842215E-9</v>
      </c>
    </row>
    <row r="111" spans="1:49">
      <c r="A111" s="363">
        <v>210060</v>
      </c>
      <c r="B111" s="363" t="s">
        <v>6</v>
      </c>
      <c r="C111" s="87">
        <v>19698.641</v>
      </c>
      <c r="D111" s="87">
        <v>28592.550999999999</v>
      </c>
      <c r="E111" s="87">
        <v>48291.192000000003</v>
      </c>
      <c r="F111" s="87">
        <v>10841.9</v>
      </c>
      <c r="G111" s="87">
        <v>7236.2</v>
      </c>
      <c r="H111" s="87">
        <v>18078.099999999999</v>
      </c>
      <c r="I111" s="87">
        <v>1590.2</v>
      </c>
      <c r="J111" s="87">
        <v>2032.3</v>
      </c>
      <c r="K111" s="87">
        <v>3622.5</v>
      </c>
      <c r="L111" s="87">
        <v>2400.8000000000002</v>
      </c>
      <c r="M111" s="87">
        <v>5692.2</v>
      </c>
      <c r="N111" s="87">
        <v>8093</v>
      </c>
      <c r="O111" s="87">
        <v>1992.75305</v>
      </c>
      <c r="P111" s="87">
        <v>5203.9805699999997</v>
      </c>
      <c r="Q111" s="87">
        <v>7196.73362</v>
      </c>
      <c r="R111" s="87">
        <v>542</v>
      </c>
      <c r="S111" s="87">
        <v>1095.5752663589999</v>
      </c>
      <c r="T111" s="87">
        <v>3119.8167336410002</v>
      </c>
      <c r="U111" s="87">
        <v>4215.3919999999998</v>
      </c>
      <c r="V111" s="87">
        <v>1777.4126836410001</v>
      </c>
      <c r="W111" s="87">
        <v>5308.0536963590002</v>
      </c>
      <c r="X111" s="87">
        <v>7085.4663799999998</v>
      </c>
      <c r="Y111" s="87">
        <v>8.7291115116810522E-2</v>
      </c>
      <c r="Z111" s="87">
        <v>40787.734520195001</v>
      </c>
      <c r="AA111" s="131">
        <v>0.37435605234180175</v>
      </c>
      <c r="AB111" s="351">
        <v>7.501367951323297E-2</v>
      </c>
      <c r="AC111" s="351">
        <v>0.14902787282616672</v>
      </c>
      <c r="AD111" s="351">
        <v>0.22404155233939968</v>
      </c>
      <c r="AE111" s="351">
        <v>8.7291115116810522E-2</v>
      </c>
      <c r="AF111" s="364">
        <v>48291.191999999995</v>
      </c>
      <c r="AG111" s="365">
        <v>0</v>
      </c>
      <c r="AH111" s="365">
        <v>18078.099999999999</v>
      </c>
      <c r="AI111" s="365">
        <v>0</v>
      </c>
      <c r="AJ111" s="365">
        <v>3622.5</v>
      </c>
      <c r="AK111" s="365">
        <v>0</v>
      </c>
      <c r="AL111" s="365">
        <v>8093</v>
      </c>
      <c r="AM111" s="365">
        <v>0</v>
      </c>
      <c r="AN111" s="365">
        <v>7196.73362</v>
      </c>
      <c r="AO111" s="365">
        <v>0</v>
      </c>
      <c r="AP111" s="365">
        <v>542</v>
      </c>
      <c r="AQ111" s="365">
        <v>4215.3919999999998</v>
      </c>
      <c r="AR111" s="365">
        <v>0</v>
      </c>
      <c r="AS111" s="365">
        <v>7085.4663799999998</v>
      </c>
      <c r="AT111" s="365">
        <v>0</v>
      </c>
      <c r="AU111" s="365">
        <v>48833.191999999995</v>
      </c>
      <c r="AV111" s="365">
        <v>542</v>
      </c>
      <c r="AW111" s="366">
        <v>0</v>
      </c>
    </row>
    <row r="112" spans="1:49">
      <c r="A112" s="363">
        <v>210061</v>
      </c>
      <c r="B112" s="363" t="s">
        <v>43</v>
      </c>
      <c r="C112" s="87">
        <v>39823</v>
      </c>
      <c r="D112" s="87">
        <v>65638.5</v>
      </c>
      <c r="E112" s="87">
        <v>105461.5</v>
      </c>
      <c r="F112" s="87">
        <v>25548.9</v>
      </c>
      <c r="G112" s="87">
        <v>27666.7</v>
      </c>
      <c r="H112" s="87">
        <v>53215.6</v>
      </c>
      <c r="I112" s="87">
        <v>4184.7</v>
      </c>
      <c r="J112" s="87">
        <v>10071.299999999999</v>
      </c>
      <c r="K112" s="87">
        <v>14256</v>
      </c>
      <c r="L112" s="87">
        <v>4668.6000000000004</v>
      </c>
      <c r="M112" s="87">
        <v>13771.2</v>
      </c>
      <c r="N112" s="87">
        <v>18439.8</v>
      </c>
      <c r="O112" s="87">
        <v>0</v>
      </c>
      <c r="P112" s="87">
        <v>0</v>
      </c>
      <c r="Q112" s="87">
        <v>0</v>
      </c>
      <c r="R112" s="87">
        <v>1596.4680000000001</v>
      </c>
      <c r="S112" s="87">
        <v>3574.5279999999998</v>
      </c>
      <c r="T112" s="87">
        <v>2302.8000000000002</v>
      </c>
      <c r="U112" s="87">
        <v>5877.3280000000004</v>
      </c>
      <c r="V112" s="87">
        <v>1846.2719999999999</v>
      </c>
      <c r="W112" s="87">
        <v>11826.5</v>
      </c>
      <c r="X112" s="87">
        <v>13672.772000000001</v>
      </c>
      <c r="Y112" s="87">
        <v>5.572960748709245E-2</v>
      </c>
      <c r="Z112" s="87">
        <v>74608.512269151004</v>
      </c>
      <c r="AA112" s="131">
        <v>0.504597412325825</v>
      </c>
      <c r="AB112" s="351">
        <v>0.13517729218719626</v>
      </c>
      <c r="AC112" s="351">
        <v>0</v>
      </c>
      <c r="AD112" s="351">
        <v>0.13517729218719626</v>
      </c>
      <c r="AE112" s="351">
        <v>5.572960748709245E-2</v>
      </c>
      <c r="AF112" s="364">
        <v>105461.5</v>
      </c>
      <c r="AG112" s="365">
        <v>0</v>
      </c>
      <c r="AH112" s="365">
        <v>53215.600000000006</v>
      </c>
      <c r="AI112" s="365">
        <v>0</v>
      </c>
      <c r="AJ112" s="365">
        <v>14256</v>
      </c>
      <c r="AK112" s="365">
        <v>0</v>
      </c>
      <c r="AL112" s="365">
        <v>18439.800000000003</v>
      </c>
      <c r="AM112" s="365">
        <v>0</v>
      </c>
      <c r="AN112" s="365">
        <v>0</v>
      </c>
      <c r="AO112" s="365">
        <v>0</v>
      </c>
      <c r="AP112" s="365">
        <v>1596.4680000000001</v>
      </c>
      <c r="AQ112" s="365">
        <v>5877.3279999999995</v>
      </c>
      <c r="AR112" s="365">
        <v>0</v>
      </c>
      <c r="AS112" s="365">
        <v>13672.772000000001</v>
      </c>
      <c r="AT112" s="365">
        <v>0</v>
      </c>
      <c r="AU112" s="365">
        <v>107057.96799999999</v>
      </c>
      <c r="AV112" s="365">
        <v>1596.4679999999935</v>
      </c>
      <c r="AW112" s="366">
        <v>6.5938365878537297E-12</v>
      </c>
    </row>
    <row r="113" spans="1:49">
      <c r="A113" s="363">
        <v>210062</v>
      </c>
      <c r="B113" s="363" t="s">
        <v>44</v>
      </c>
      <c r="C113" s="87">
        <v>164653.22237999999</v>
      </c>
      <c r="D113" s="87">
        <v>107285.44525999999</v>
      </c>
      <c r="E113" s="87">
        <v>271938.66764</v>
      </c>
      <c r="F113" s="87">
        <v>76609.264484026993</v>
      </c>
      <c r="G113" s="87">
        <v>32869.719674323002</v>
      </c>
      <c r="H113" s="87">
        <v>109478.98415834999</v>
      </c>
      <c r="I113" s="87">
        <v>7830.2381864030003</v>
      </c>
      <c r="J113" s="87">
        <v>4877.0452419809999</v>
      </c>
      <c r="K113" s="87">
        <v>12707.283428384</v>
      </c>
      <c r="L113" s="87">
        <v>12085.353756519</v>
      </c>
      <c r="M113" s="87">
        <v>13863.289528571</v>
      </c>
      <c r="N113" s="87">
        <v>25948.643285089998</v>
      </c>
      <c r="O113" s="87">
        <v>31772.102009378999</v>
      </c>
      <c r="P113" s="87">
        <v>20717.714147194001</v>
      </c>
      <c r="Q113" s="87">
        <v>52489.816156572997</v>
      </c>
      <c r="R113" s="87">
        <v>1006.77011</v>
      </c>
      <c r="S113" s="87">
        <v>7755.199177859</v>
      </c>
      <c r="T113" s="87">
        <v>8426.2425921409995</v>
      </c>
      <c r="U113" s="87">
        <v>16181.441769999999</v>
      </c>
      <c r="V113" s="87">
        <v>28601.064765813</v>
      </c>
      <c r="W113" s="87">
        <v>26531.434075790999</v>
      </c>
      <c r="X113" s="87">
        <v>55132.498841603003</v>
      </c>
      <c r="Y113" s="87">
        <v>5.950401210107216E-2</v>
      </c>
      <c r="Z113" s="87">
        <v>206534.21187647199</v>
      </c>
      <c r="AA113" s="131">
        <v>0.40258704327874889</v>
      </c>
      <c r="AB113" s="351">
        <v>4.6728490430078359E-2</v>
      </c>
      <c r="AC113" s="351">
        <v>0.19302078888633992</v>
      </c>
      <c r="AD113" s="351">
        <v>0.23974927931641826</v>
      </c>
      <c r="AE113" s="351">
        <v>5.950401210107216E-2</v>
      </c>
      <c r="AF113" s="364">
        <v>271938.66764</v>
      </c>
      <c r="AG113" s="365">
        <v>0</v>
      </c>
      <c r="AH113" s="365">
        <v>109478.98415834999</v>
      </c>
      <c r="AI113" s="365">
        <v>0</v>
      </c>
      <c r="AJ113" s="365">
        <v>12707.283428384</v>
      </c>
      <c r="AK113" s="365">
        <v>0</v>
      </c>
      <c r="AL113" s="365">
        <v>25948.643285090002</v>
      </c>
      <c r="AM113" s="365">
        <v>0</v>
      </c>
      <c r="AN113" s="365">
        <v>52489.816156572997</v>
      </c>
      <c r="AO113" s="365">
        <v>0</v>
      </c>
      <c r="AP113" s="365">
        <v>1006.77011</v>
      </c>
      <c r="AQ113" s="365">
        <v>16181.441769999999</v>
      </c>
      <c r="AR113" s="365">
        <v>0</v>
      </c>
      <c r="AS113" s="365">
        <v>55132.498841604</v>
      </c>
      <c r="AT113" s="365">
        <v>9.9680619314312935E-10</v>
      </c>
      <c r="AU113" s="365">
        <v>272945.43775000202</v>
      </c>
      <c r="AV113" s="365">
        <v>1006.7701100020204</v>
      </c>
      <c r="AW113" s="366">
        <v>-2.0203287931508385E-9</v>
      </c>
    </row>
    <row r="114" spans="1:49">
      <c r="A114" s="363">
        <v>210063</v>
      </c>
      <c r="B114" s="363" t="s">
        <v>45</v>
      </c>
      <c r="C114" s="87">
        <v>243365.64188000001</v>
      </c>
      <c r="D114" s="87">
        <v>158717.06020000001</v>
      </c>
      <c r="E114" s="87">
        <v>402082.70208000002</v>
      </c>
      <c r="F114" s="87">
        <v>105127.346236952</v>
      </c>
      <c r="G114" s="87">
        <v>68561.458439494003</v>
      </c>
      <c r="H114" s="87">
        <v>173688.80467644599</v>
      </c>
      <c r="I114" s="87">
        <v>6637.5116998599997</v>
      </c>
      <c r="J114" s="87">
        <v>4328.8211758509997</v>
      </c>
      <c r="K114" s="87">
        <v>10966.332875710999</v>
      </c>
      <c r="L114" s="87">
        <v>50026.782744966004</v>
      </c>
      <c r="M114" s="87">
        <v>32626.231982492001</v>
      </c>
      <c r="N114" s="87">
        <v>82653.014727457994</v>
      </c>
      <c r="O114" s="87">
        <v>24969.375127030999</v>
      </c>
      <c r="P114" s="87">
        <v>16284.409683219001</v>
      </c>
      <c r="Q114" s="87">
        <v>41253.784810249999</v>
      </c>
      <c r="R114" s="87">
        <v>761.63582836299997</v>
      </c>
      <c r="S114" s="87">
        <v>9960.2258987839996</v>
      </c>
      <c r="T114" s="87">
        <v>6495.8133012159997</v>
      </c>
      <c r="U114" s="87">
        <v>16456.039199999999</v>
      </c>
      <c r="V114" s="87">
        <v>46644.400172408001</v>
      </c>
      <c r="W114" s="87">
        <v>30420.325617728002</v>
      </c>
      <c r="X114" s="87">
        <v>77064.725790134995</v>
      </c>
      <c r="Y114" s="87">
        <v>4.0927001124076802E-2</v>
      </c>
      <c r="Z114" s="87">
        <v>298644.24142075499</v>
      </c>
      <c r="AA114" s="131">
        <v>0.43197283488680932</v>
      </c>
      <c r="AB114" s="351">
        <v>2.7273824064008335E-2</v>
      </c>
      <c r="AC114" s="351">
        <v>0.10260024765263834</v>
      </c>
      <c r="AD114" s="351">
        <v>0.12987407171664667</v>
      </c>
      <c r="AE114" s="351">
        <v>4.0927001124076802E-2</v>
      </c>
      <c r="AF114" s="364">
        <v>402082.70208000002</v>
      </c>
      <c r="AG114" s="365">
        <v>0</v>
      </c>
      <c r="AH114" s="365">
        <v>173688.80467644602</v>
      </c>
      <c r="AI114" s="365">
        <v>0</v>
      </c>
      <c r="AJ114" s="365">
        <v>10966.332875710999</v>
      </c>
      <c r="AK114" s="365">
        <v>0</v>
      </c>
      <c r="AL114" s="365">
        <v>82653.014727458009</v>
      </c>
      <c r="AM114" s="365">
        <v>0</v>
      </c>
      <c r="AN114" s="365">
        <v>41253.784810249999</v>
      </c>
      <c r="AO114" s="365">
        <v>0</v>
      </c>
      <c r="AP114" s="365">
        <v>761.63582836299997</v>
      </c>
      <c r="AQ114" s="365">
        <v>16456.039199999999</v>
      </c>
      <c r="AR114" s="365">
        <v>0</v>
      </c>
      <c r="AS114" s="365">
        <v>77064.725790135999</v>
      </c>
      <c r="AT114" s="365">
        <v>1.0040821507573128E-9</v>
      </c>
      <c r="AU114" s="365">
        <v>402844.33790836501</v>
      </c>
      <c r="AV114" s="365">
        <v>761.63582836498972</v>
      </c>
      <c r="AW114" s="366">
        <v>-1.9897470338037238E-9</v>
      </c>
    </row>
    <row r="115" spans="1:49">
      <c r="A115" s="363">
        <v>210064</v>
      </c>
      <c r="B115" s="363" t="s">
        <v>256</v>
      </c>
      <c r="C115" s="87">
        <v>57465.254999999997</v>
      </c>
      <c r="D115" s="87">
        <v>2847.59</v>
      </c>
      <c r="E115" s="87">
        <v>60312.845000000001</v>
      </c>
      <c r="F115" s="87">
        <v>47785.07</v>
      </c>
      <c r="G115" s="87">
        <v>2809.07</v>
      </c>
      <c r="H115" s="87">
        <v>50594.14</v>
      </c>
      <c r="I115" s="87">
        <v>2305.4</v>
      </c>
      <c r="J115" s="87">
        <v>7.5</v>
      </c>
      <c r="K115" s="87">
        <v>2312.9</v>
      </c>
      <c r="L115" s="87">
        <v>2612.5300000000002</v>
      </c>
      <c r="M115" s="87">
        <v>18.100000000000001</v>
      </c>
      <c r="N115" s="87">
        <v>2630.63</v>
      </c>
      <c r="O115" s="87">
        <v>1614.16</v>
      </c>
      <c r="P115" s="87">
        <v>6.96</v>
      </c>
      <c r="Q115" s="87">
        <v>1621.12</v>
      </c>
      <c r="R115" s="87">
        <v>0</v>
      </c>
      <c r="S115" s="87">
        <v>2615.2139999999999</v>
      </c>
      <c r="T115" s="87">
        <v>0</v>
      </c>
      <c r="U115" s="87">
        <v>2615.2139999999999</v>
      </c>
      <c r="V115" s="87">
        <v>532.88099999999997</v>
      </c>
      <c r="W115" s="87">
        <v>5.96</v>
      </c>
      <c r="X115" s="87">
        <v>538.84100000000001</v>
      </c>
      <c r="Y115" s="87">
        <v>4.33608131070587E-2</v>
      </c>
      <c r="Z115" s="87">
        <v>41536.383130000002</v>
      </c>
      <c r="AA115" s="131">
        <v>0.8388617714849963</v>
      </c>
      <c r="AB115" s="351">
        <v>3.8348381675578393E-2</v>
      </c>
      <c r="AC115" s="351">
        <v>2.6878519824425458E-2</v>
      </c>
      <c r="AD115" s="351">
        <v>6.5226901500003848E-2</v>
      </c>
      <c r="AE115" s="351">
        <v>4.33608131070587E-2</v>
      </c>
      <c r="AF115" s="364">
        <v>60312.845000000001</v>
      </c>
      <c r="AG115" s="365">
        <v>0</v>
      </c>
      <c r="AH115" s="365">
        <v>50594.14</v>
      </c>
      <c r="AI115" s="365">
        <v>0</v>
      </c>
      <c r="AJ115" s="365">
        <v>2312.9</v>
      </c>
      <c r="AK115" s="365">
        <v>0</v>
      </c>
      <c r="AL115" s="365">
        <v>2630.63</v>
      </c>
      <c r="AM115" s="365">
        <v>0</v>
      </c>
      <c r="AN115" s="365">
        <v>1621.1200000000001</v>
      </c>
      <c r="AO115" s="365">
        <v>0</v>
      </c>
      <c r="AP115" s="365">
        <v>0</v>
      </c>
      <c r="AQ115" s="365">
        <v>2615.2139999999999</v>
      </c>
      <c r="AR115" s="365">
        <v>0</v>
      </c>
      <c r="AS115" s="365">
        <v>538.84100000000001</v>
      </c>
      <c r="AT115" s="365">
        <v>0</v>
      </c>
      <c r="AU115" s="365">
        <v>60312.845000000001</v>
      </c>
      <c r="AV115" s="365">
        <v>0</v>
      </c>
      <c r="AW115" s="366">
        <v>0</v>
      </c>
    </row>
    <row r="116" spans="1:49">
      <c r="A116" s="363">
        <v>210065</v>
      </c>
      <c r="B116" s="363" t="s">
        <v>377</v>
      </c>
      <c r="C116" s="87">
        <v>50107.9</v>
      </c>
      <c r="D116" s="87">
        <v>30775.4</v>
      </c>
      <c r="E116" s="87">
        <v>80883.3</v>
      </c>
      <c r="F116" s="87">
        <v>19803.099999999999</v>
      </c>
      <c r="G116" s="87">
        <v>5137.2</v>
      </c>
      <c r="H116" s="87">
        <v>24940.3</v>
      </c>
      <c r="I116" s="87">
        <v>6501.4</v>
      </c>
      <c r="J116" s="87">
        <v>932.6</v>
      </c>
      <c r="K116" s="87">
        <v>7434</v>
      </c>
      <c r="L116" s="87">
        <v>5743.5</v>
      </c>
      <c r="M116" s="87">
        <v>6060.6</v>
      </c>
      <c r="N116" s="87">
        <v>11804.1</v>
      </c>
      <c r="O116" s="87">
        <v>5969.3</v>
      </c>
      <c r="P116" s="87">
        <v>4114</v>
      </c>
      <c r="Q116" s="87">
        <v>10083.299999999999</v>
      </c>
      <c r="R116" s="87">
        <v>715.32554000000005</v>
      </c>
      <c r="S116" s="87">
        <v>2088.6999999999998</v>
      </c>
      <c r="T116" s="87">
        <v>5972.9</v>
      </c>
      <c r="U116" s="87">
        <v>8061.6</v>
      </c>
      <c r="V116" s="87">
        <v>10001.9</v>
      </c>
      <c r="W116" s="87">
        <v>8558.1</v>
      </c>
      <c r="X116" s="87">
        <v>18560</v>
      </c>
      <c r="Y116" s="87">
        <v>9.9669523869575061E-2</v>
      </c>
      <c r="Z116" s="87">
        <v>75095.116879605994</v>
      </c>
      <c r="AA116" s="131">
        <v>0.30834918951130824</v>
      </c>
      <c r="AB116" s="351">
        <v>9.1910196542425937E-2</v>
      </c>
      <c r="AC116" s="351">
        <v>0.12466479483403865</v>
      </c>
      <c r="AD116" s="351">
        <v>0.2165749913764646</v>
      </c>
      <c r="AE116" s="351">
        <v>9.9669523869575061E-2</v>
      </c>
      <c r="AF116" s="364">
        <v>80883.3</v>
      </c>
      <c r="AG116" s="365">
        <v>0</v>
      </c>
      <c r="AH116" s="365">
        <v>24940.3</v>
      </c>
      <c r="AI116" s="365">
        <v>0</v>
      </c>
      <c r="AJ116" s="365">
        <v>7434</v>
      </c>
      <c r="AK116" s="365">
        <v>0</v>
      </c>
      <c r="AL116" s="365">
        <v>11804.1</v>
      </c>
      <c r="AM116" s="365">
        <v>0</v>
      </c>
      <c r="AN116" s="365">
        <v>10083.299999999999</v>
      </c>
      <c r="AO116" s="365">
        <v>0</v>
      </c>
      <c r="AP116" s="365">
        <v>715.32554000000005</v>
      </c>
      <c r="AQ116" s="365">
        <v>8061.5999999999995</v>
      </c>
      <c r="AR116" s="365">
        <v>0</v>
      </c>
      <c r="AS116" s="365">
        <v>18560</v>
      </c>
      <c r="AT116" s="365">
        <v>0</v>
      </c>
      <c r="AU116" s="365">
        <v>81598.625539999994</v>
      </c>
      <c r="AV116" s="365">
        <v>715.32553999999072</v>
      </c>
      <c r="AW116" s="366">
        <v>9.3223206931725144E-12</v>
      </c>
    </row>
    <row r="117" spans="1:49">
      <c r="A117" s="363">
        <v>218992</v>
      </c>
      <c r="B117" s="363" t="s">
        <v>46</v>
      </c>
      <c r="C117" s="87">
        <v>177886.34700000001</v>
      </c>
      <c r="D117" s="87">
        <v>24439.028999999999</v>
      </c>
      <c r="E117" s="87">
        <v>202325.37599999999</v>
      </c>
      <c r="F117" s="87">
        <v>52920.133268835998</v>
      </c>
      <c r="G117" s="87">
        <v>7270.4661906459996</v>
      </c>
      <c r="H117" s="87">
        <v>60190.599459481004</v>
      </c>
      <c r="I117" s="87">
        <v>17043.343796264999</v>
      </c>
      <c r="J117" s="87">
        <v>2341.5106348429999</v>
      </c>
      <c r="K117" s="87">
        <v>19384.854431108</v>
      </c>
      <c r="L117" s="87">
        <v>27330.451832463001</v>
      </c>
      <c r="M117" s="87">
        <v>3754.811519721</v>
      </c>
      <c r="N117" s="87">
        <v>31085.263352184</v>
      </c>
      <c r="O117" s="87">
        <v>45821.959312722996</v>
      </c>
      <c r="P117" s="87">
        <v>6295.2790439869996</v>
      </c>
      <c r="Q117" s="87">
        <v>52117.238356709</v>
      </c>
      <c r="R117" s="87">
        <v>320.35551344999999</v>
      </c>
      <c r="S117" s="87">
        <v>10651.320309021001</v>
      </c>
      <c r="T117" s="87">
        <v>1532.654450197</v>
      </c>
      <c r="U117" s="87">
        <v>12183.974759217999</v>
      </c>
      <c r="V117" s="87">
        <v>24119.138480693</v>
      </c>
      <c r="W117" s="87">
        <v>3244.3071606069998</v>
      </c>
      <c r="X117" s="87">
        <v>27363.445641300001</v>
      </c>
      <c r="Y117" s="87">
        <v>6.0219706495036981E-2</v>
      </c>
      <c r="Z117" s="87">
        <v>163244.07478925699</v>
      </c>
      <c r="AA117" s="131">
        <v>0.29749406945118445</v>
      </c>
      <c r="AB117" s="351">
        <v>9.581029732576897E-2</v>
      </c>
      <c r="AC117" s="351">
        <v>0.2575912096993162</v>
      </c>
      <c r="AD117" s="351">
        <v>0.35340150702508522</v>
      </c>
      <c r="AE117" s="351">
        <v>6.0219706495036981E-2</v>
      </c>
      <c r="AF117" s="364">
        <v>202325.37600000002</v>
      </c>
      <c r="AG117" s="365">
        <v>0</v>
      </c>
      <c r="AH117" s="365">
        <v>60190.599459482</v>
      </c>
      <c r="AI117" s="365">
        <v>9.9680619314312935E-10</v>
      </c>
      <c r="AJ117" s="365">
        <v>19384.854431107997</v>
      </c>
      <c r="AK117" s="365">
        <v>0</v>
      </c>
      <c r="AL117" s="365">
        <v>31085.263352184</v>
      </c>
      <c r="AM117" s="365">
        <v>0</v>
      </c>
      <c r="AN117" s="365">
        <v>52117.238356709997</v>
      </c>
      <c r="AO117" s="365">
        <v>9.9680619314312935E-10</v>
      </c>
      <c r="AP117" s="365">
        <v>320.35551344999999</v>
      </c>
      <c r="AQ117" s="365">
        <v>12183.974759218001</v>
      </c>
      <c r="AR117" s="365">
        <v>0</v>
      </c>
      <c r="AS117" s="365">
        <v>27363.445641300001</v>
      </c>
      <c r="AT117" s="365">
        <v>0</v>
      </c>
      <c r="AU117" s="365">
        <v>202645.73151345397</v>
      </c>
      <c r="AV117" s="365">
        <v>320.35551345394924</v>
      </c>
      <c r="AW117" s="366">
        <v>-3.9492533687734976E-9</v>
      </c>
    </row>
    <row r="118" spans="1:49">
      <c r="A118" s="356"/>
      <c r="B118" s="356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371"/>
      <c r="AB118" s="351"/>
      <c r="AC118" s="351"/>
      <c r="AD118" s="351"/>
      <c r="AE118" s="351"/>
      <c r="AF118" s="361"/>
      <c r="AW118" s="362"/>
    </row>
    <row r="119" spans="1:49">
      <c r="A119" s="116" t="s">
        <v>187</v>
      </c>
      <c r="B119" s="116" t="s">
        <v>381</v>
      </c>
      <c r="C119" s="87">
        <v>9389029.8354667276</v>
      </c>
      <c r="D119" s="87">
        <v>6985006.0660162354</v>
      </c>
      <c r="E119" s="87">
        <v>16374035.901482966</v>
      </c>
      <c r="F119" s="87">
        <v>3932868.5107381409</v>
      </c>
      <c r="G119" s="87">
        <v>2185346.0636900058</v>
      </c>
      <c r="H119" s="87">
        <v>6118214.5744281467</v>
      </c>
      <c r="I119" s="87">
        <v>628408.31382317771</v>
      </c>
      <c r="J119" s="87">
        <v>289828.12575003091</v>
      </c>
      <c r="K119" s="87">
        <v>918236.43957321194</v>
      </c>
      <c r="L119" s="87">
        <v>1122423.517857404</v>
      </c>
      <c r="M119" s="87">
        <v>1155226.8518741303</v>
      </c>
      <c r="N119" s="87">
        <v>2277650.3697315301</v>
      </c>
      <c r="O119" s="87">
        <v>1602566.1305565059</v>
      </c>
      <c r="P119" s="87">
        <v>1241390.6153549312</v>
      </c>
      <c r="Q119" s="87">
        <v>2843956.7459114343</v>
      </c>
      <c r="R119" s="87">
        <v>101707.44250784299</v>
      </c>
      <c r="S119" s="87">
        <v>333201.12933193101</v>
      </c>
      <c r="T119" s="87">
        <v>413791.16450138611</v>
      </c>
      <c r="U119" s="87">
        <v>746992.293833317</v>
      </c>
      <c r="V119" s="87">
        <v>1769562.2331595744</v>
      </c>
      <c r="W119" s="87">
        <v>1699423.2448457519</v>
      </c>
      <c r="X119" s="87">
        <v>3468985.4780053231</v>
      </c>
      <c r="Y119" s="87">
        <v>2.5884189192505338</v>
      </c>
      <c r="Z119" s="87">
        <v>12674453.56041144</v>
      </c>
      <c r="AA119" s="131">
        <v>0.37365342370319532</v>
      </c>
      <c r="AB119" s="351">
        <v>5.6078809469939477E-2</v>
      </c>
      <c r="AC119" s="351">
        <v>0.17368697387880178</v>
      </c>
      <c r="AD119" s="351">
        <v>0.22976578334874126</v>
      </c>
      <c r="AE119" s="351">
        <v>4.5620535970955292E-2</v>
      </c>
      <c r="AF119" s="372">
        <v>16374035.901482968</v>
      </c>
      <c r="AG119" s="373">
        <v>0</v>
      </c>
      <c r="AH119" s="373">
        <v>6118214.5744281458</v>
      </c>
      <c r="AI119" s="373">
        <v>-1.9936123862862587E-9</v>
      </c>
      <c r="AJ119" s="373">
        <v>918236.4395732088</v>
      </c>
      <c r="AK119" s="373">
        <v>-2.9958755476400256E-9</v>
      </c>
      <c r="AL119" s="373">
        <v>2277650.3697315338</v>
      </c>
      <c r="AM119" s="373">
        <v>4.004505171906203E-9</v>
      </c>
      <c r="AN119" s="373">
        <v>2843956.745911438</v>
      </c>
      <c r="AO119" s="373">
        <v>3.9963197195902467E-9</v>
      </c>
      <c r="AP119" s="373">
        <v>101707.44250784299</v>
      </c>
      <c r="AQ119" s="373">
        <v>746992.293833317</v>
      </c>
      <c r="AR119" s="373">
        <v>0</v>
      </c>
      <c r="AS119" s="373">
        <v>3468985.4780053268</v>
      </c>
      <c r="AT119" s="373">
        <v>2.9822331271134317E-9</v>
      </c>
      <c r="AU119" s="373">
        <v>16475743.34399082</v>
      </c>
      <c r="AV119" s="373">
        <v>101707.44250785257</v>
      </c>
      <c r="AW119" s="374">
        <v>-9.5678842626512051E-9</v>
      </c>
    </row>
    <row r="120" spans="1:49">
      <c r="C120" s="351">
        <v>0.5734096280206874</v>
      </c>
      <c r="D120" s="351">
        <v>0.42659037197931249</v>
      </c>
      <c r="E120" s="351">
        <v>1</v>
      </c>
      <c r="F120" s="375"/>
      <c r="H120" s="351">
        <v>0.37365342370319532</v>
      </c>
      <c r="K120" s="351">
        <v>5.6078809469939477E-2</v>
      </c>
      <c r="N120" s="351">
        <v>0.13910134211475911</v>
      </c>
      <c r="Q120" s="351">
        <v>0.17368697387880178</v>
      </c>
      <c r="T120" s="351"/>
      <c r="U120" s="376">
        <v>4.5620535970955292E-2</v>
      </c>
      <c r="X120" s="351">
        <v>0.21185891486234884</v>
      </c>
      <c r="Y120" s="351">
        <v>1.58080691579289E-7</v>
      </c>
      <c r="Z120" s="351">
        <v>0.77405800479914288</v>
      </c>
      <c r="AB120" s="351">
        <v>0.24406945478397185</v>
      </c>
      <c r="AC120" s="351">
        <v>0.75593054521602809</v>
      </c>
    </row>
    <row r="121" spans="1:49">
      <c r="A121" s="356"/>
      <c r="C121" s="356"/>
      <c r="D121" s="356"/>
      <c r="E121" s="356"/>
      <c r="F121" s="356"/>
      <c r="G121" s="356"/>
      <c r="H121" s="356"/>
      <c r="I121" s="356"/>
      <c r="J121" s="356"/>
      <c r="K121" s="356"/>
      <c r="L121" s="356"/>
      <c r="M121" s="356"/>
      <c r="N121" s="356"/>
      <c r="O121" s="356"/>
      <c r="P121" s="356"/>
      <c r="Q121" s="356"/>
      <c r="R121" s="356"/>
      <c r="S121" s="356"/>
      <c r="T121" s="356"/>
      <c r="U121" s="356"/>
      <c r="V121" s="356"/>
      <c r="W121" s="356"/>
      <c r="X121" s="356"/>
      <c r="Y121" s="356"/>
      <c r="Z121" s="356"/>
      <c r="AA121" s="356"/>
    </row>
    <row r="123" spans="1:49">
      <c r="A123" s="381"/>
      <c r="B123" s="381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B123" s="351"/>
      <c r="AC123" s="351"/>
    </row>
    <row r="124" spans="1:49">
      <c r="A124" s="363"/>
      <c r="B124" s="363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8"/>
      <c r="AB124" s="351"/>
      <c r="AC124" s="351"/>
      <c r="AD124" s="351"/>
      <c r="AE124" s="351"/>
      <c r="AF124" s="365"/>
      <c r="AG124" s="365"/>
      <c r="AH124" s="365"/>
      <c r="AI124" s="365"/>
      <c r="AJ124" s="365"/>
      <c r="AK124" s="365"/>
      <c r="AL124" s="365"/>
      <c r="AM124" s="365"/>
      <c r="AN124" s="365"/>
      <c r="AO124" s="365"/>
      <c r="AP124" s="365"/>
      <c r="AQ124" s="365"/>
      <c r="AR124" s="365"/>
      <c r="AS124" s="365"/>
      <c r="AT124" s="365"/>
      <c r="AU124" s="365"/>
      <c r="AV124" s="365"/>
      <c r="AW124" s="365"/>
    </row>
    <row r="125" spans="1:49">
      <c r="J125" s="351"/>
      <c r="K125" s="351"/>
      <c r="L125" s="351"/>
      <c r="Q125" s="351"/>
      <c r="AB125" s="351"/>
      <c r="AC125" s="351"/>
    </row>
    <row r="126" spans="1:49"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51"/>
      <c r="R126" s="365"/>
      <c r="S126" s="365"/>
      <c r="T126" s="365"/>
      <c r="U126" s="365"/>
      <c r="V126" s="365"/>
      <c r="W126" s="365"/>
      <c r="X126" s="365"/>
      <c r="Y126" s="365"/>
      <c r="Z126" s="365"/>
    </row>
    <row r="127" spans="1:49">
      <c r="C127" s="365"/>
      <c r="D127" s="365"/>
      <c r="E127" s="365"/>
      <c r="F127" s="365"/>
      <c r="G127" s="365"/>
      <c r="H127" s="365"/>
      <c r="I127" s="365"/>
      <c r="J127" s="365"/>
      <c r="K127" s="365"/>
      <c r="L127" s="365"/>
      <c r="M127" s="365"/>
      <c r="N127" s="365"/>
      <c r="O127" s="365"/>
      <c r="P127" s="365"/>
      <c r="Q127" s="365"/>
      <c r="R127" s="365"/>
      <c r="S127" s="365"/>
      <c r="T127" s="365"/>
      <c r="U127" s="365"/>
      <c r="V127" s="365"/>
      <c r="W127" s="365"/>
      <c r="X127" s="365"/>
      <c r="Y127" s="365"/>
      <c r="Z127" s="365"/>
    </row>
    <row r="128" spans="1:49">
      <c r="K128" s="351"/>
      <c r="Q128" s="351"/>
    </row>
    <row r="129" spans="3:26">
      <c r="Q129" s="351"/>
    </row>
    <row r="130" spans="3:26">
      <c r="C130" s="365"/>
      <c r="D130" s="365"/>
      <c r="E130" s="365"/>
      <c r="F130" s="365"/>
      <c r="G130" s="365"/>
      <c r="H130" s="365"/>
      <c r="I130" s="365"/>
      <c r="J130" s="365"/>
      <c r="K130" s="365"/>
      <c r="L130" s="365"/>
      <c r="M130" s="365"/>
      <c r="N130" s="365"/>
      <c r="O130" s="365"/>
      <c r="P130" s="365"/>
      <c r="Q130" s="365"/>
      <c r="R130" s="365"/>
      <c r="S130" s="365"/>
      <c r="T130" s="365"/>
      <c r="U130" s="365"/>
      <c r="V130" s="365"/>
      <c r="W130" s="365"/>
      <c r="X130" s="365"/>
      <c r="Y130" s="365"/>
      <c r="Z130" s="365"/>
    </row>
  </sheetData>
  <pageMargins left="0" right="0" top="0" bottom="0" header="0" footer="0"/>
  <pageSetup scale="14" orientation="landscape" r:id="rId1"/>
  <headerFooter alignWithMargins="0">
    <oddFooter>&amp;L&amp;"Arial"&amp;12&amp;D&amp;C&amp;"Arial"&amp;12&amp;T&amp;R&amp;"Arial"&amp;12&amp;F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P107"/>
  <sheetViews>
    <sheetView zoomScale="87" zoomScaleNormal="87" workbookViewId="0">
      <pane xSplit="4" ySplit="8" topLeftCell="T9" activePane="bottomRight" state="frozen"/>
      <selection pane="topRight" activeCell="E1" sqref="E1"/>
      <selection pane="bottomLeft" activeCell="A9" sqref="A9"/>
      <selection pane="bottomRight" activeCell="AE10" sqref="AE10"/>
    </sheetView>
  </sheetViews>
  <sheetFormatPr defaultColWidth="9.84375" defaultRowHeight="15.5"/>
  <cols>
    <col min="1" max="1" width="9.84375" style="75"/>
    <col min="2" max="6" width="9.84375" style="75" customWidth="1"/>
    <col min="7" max="7" width="10.84375" style="75" customWidth="1"/>
    <col min="8" max="26" width="9.84375" style="75" customWidth="1"/>
    <col min="27" max="30" width="10.84375" style="75" customWidth="1"/>
    <col min="31" max="16384" width="9.84375" style="75"/>
  </cols>
  <sheetData>
    <row r="1" spans="1:87">
      <c r="B1" s="26"/>
      <c r="C1" s="26"/>
      <c r="D1" s="26"/>
      <c r="E1" s="26" t="s">
        <v>459</v>
      </c>
      <c r="F1" s="26"/>
      <c r="G1" s="26" t="s">
        <v>460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</row>
    <row r="2" spans="1:87">
      <c r="K2" s="100" t="s">
        <v>258</v>
      </c>
      <c r="L2" s="100" t="s">
        <v>258</v>
      </c>
      <c r="M2" s="100" t="s">
        <v>258</v>
      </c>
    </row>
    <row r="3" spans="1:87">
      <c r="B3" s="26"/>
      <c r="C3" s="26"/>
      <c r="D3" s="26"/>
      <c r="E3" s="77" t="s">
        <v>190</v>
      </c>
      <c r="F3" s="77" t="s">
        <v>190</v>
      </c>
      <c r="G3" s="77" t="s">
        <v>190</v>
      </c>
      <c r="H3" s="77" t="s">
        <v>197</v>
      </c>
      <c r="I3" s="77" t="s">
        <v>197</v>
      </c>
      <c r="J3" s="77" t="s">
        <v>197</v>
      </c>
      <c r="K3" s="77" t="s">
        <v>94</v>
      </c>
      <c r="L3" s="77" t="s">
        <v>94</v>
      </c>
      <c r="M3" s="77" t="s">
        <v>94</v>
      </c>
      <c r="N3" s="77" t="s">
        <v>210</v>
      </c>
      <c r="O3" s="77" t="s">
        <v>210</v>
      </c>
      <c r="P3" s="77" t="s">
        <v>210</v>
      </c>
      <c r="Q3" s="77" t="s">
        <v>84</v>
      </c>
      <c r="R3" s="77" t="s">
        <v>84</v>
      </c>
      <c r="S3" s="77" t="s">
        <v>84</v>
      </c>
      <c r="T3" s="77" t="s">
        <v>223</v>
      </c>
      <c r="U3" s="77" t="s">
        <v>100</v>
      </c>
      <c r="V3" s="77" t="s">
        <v>100</v>
      </c>
      <c r="W3" s="77" t="s">
        <v>100</v>
      </c>
      <c r="X3" s="77" t="s">
        <v>233</v>
      </c>
      <c r="Y3" s="77" t="s">
        <v>233</v>
      </c>
      <c r="Z3" s="77" t="s">
        <v>233</v>
      </c>
      <c r="AA3" s="77"/>
      <c r="AB3" s="77" t="s">
        <v>244</v>
      </c>
      <c r="AC3" s="77"/>
      <c r="AD3" s="77"/>
      <c r="AE3" s="77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</row>
    <row r="4" spans="1:87">
      <c r="B4" s="26"/>
      <c r="C4" s="26"/>
      <c r="D4" s="26"/>
      <c r="E4" s="77" t="s">
        <v>55</v>
      </c>
      <c r="F4" s="77" t="s">
        <v>54</v>
      </c>
      <c r="G4" s="77" t="s">
        <v>56</v>
      </c>
      <c r="H4" s="77" t="s">
        <v>55</v>
      </c>
      <c r="I4" s="77" t="s">
        <v>54</v>
      </c>
      <c r="J4" s="77" t="s">
        <v>56</v>
      </c>
      <c r="K4" s="77" t="s">
        <v>55</v>
      </c>
      <c r="L4" s="77" t="s">
        <v>54</v>
      </c>
      <c r="M4" s="77" t="s">
        <v>56</v>
      </c>
      <c r="N4" s="77" t="s">
        <v>55</v>
      </c>
      <c r="O4" s="77" t="s">
        <v>54</v>
      </c>
      <c r="P4" s="77" t="s">
        <v>56</v>
      </c>
      <c r="Q4" s="77" t="s">
        <v>55</v>
      </c>
      <c r="R4" s="77" t="s">
        <v>54</v>
      </c>
      <c r="S4" s="77" t="s">
        <v>56</v>
      </c>
      <c r="T4" s="77" t="s">
        <v>224</v>
      </c>
      <c r="U4" s="77" t="s">
        <v>55</v>
      </c>
      <c r="V4" s="77" t="s">
        <v>54</v>
      </c>
      <c r="W4" s="77" t="s">
        <v>56</v>
      </c>
      <c r="X4" s="77" t="s">
        <v>55</v>
      </c>
      <c r="Y4" s="77" t="s">
        <v>54</v>
      </c>
      <c r="Z4" s="77" t="s">
        <v>56</v>
      </c>
      <c r="AA4" s="77" t="s">
        <v>240</v>
      </c>
      <c r="AB4" s="77" t="s">
        <v>190</v>
      </c>
      <c r="AC4" s="77"/>
      <c r="AD4" s="77"/>
      <c r="AE4" s="77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</row>
    <row r="5" spans="1:87">
      <c r="B5" s="26"/>
      <c r="C5" s="26"/>
      <c r="D5" s="26"/>
      <c r="E5" s="77" t="s">
        <v>53</v>
      </c>
      <c r="F5" s="77" t="s">
        <v>53</v>
      </c>
      <c r="G5" s="77" t="s">
        <v>53</v>
      </c>
      <c r="H5" s="77" t="s">
        <v>53</v>
      </c>
      <c r="I5" s="77" t="s">
        <v>53</v>
      </c>
      <c r="J5" s="77" t="s">
        <v>53</v>
      </c>
      <c r="K5" s="77" t="s">
        <v>53</v>
      </c>
      <c r="L5" s="77" t="s">
        <v>53</v>
      </c>
      <c r="M5" s="77" t="s">
        <v>53</v>
      </c>
      <c r="N5" s="77" t="s">
        <v>53</v>
      </c>
      <c r="O5" s="77" t="s">
        <v>53</v>
      </c>
      <c r="P5" s="77" t="s">
        <v>53</v>
      </c>
      <c r="Q5" s="77" t="s">
        <v>53</v>
      </c>
      <c r="R5" s="77" t="s">
        <v>53</v>
      </c>
      <c r="S5" s="77" t="s">
        <v>53</v>
      </c>
      <c r="T5" s="77" t="s">
        <v>94</v>
      </c>
      <c r="U5" s="77" t="s">
        <v>53</v>
      </c>
      <c r="V5" s="77" t="s">
        <v>53</v>
      </c>
      <c r="W5" s="77" t="s">
        <v>53</v>
      </c>
      <c r="X5" s="77" t="s">
        <v>53</v>
      </c>
      <c r="Y5" s="77" t="s">
        <v>53</v>
      </c>
      <c r="Z5" s="77" t="s">
        <v>53</v>
      </c>
      <c r="AA5" s="77" t="s">
        <v>241</v>
      </c>
      <c r="AB5" s="77" t="s">
        <v>53</v>
      </c>
      <c r="AC5" s="77"/>
      <c r="AD5" s="77"/>
      <c r="AE5" s="77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</row>
    <row r="6" spans="1:87">
      <c r="B6" s="26"/>
      <c r="C6" s="26"/>
      <c r="D6" s="26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</row>
    <row r="7" spans="1:87">
      <c r="A7" s="75" t="s">
        <v>437</v>
      </c>
      <c r="B7" s="26" t="s">
        <v>438</v>
      </c>
      <c r="C7" s="85" t="s">
        <v>439</v>
      </c>
      <c r="D7" s="85" t="s">
        <v>440</v>
      </c>
      <c r="E7" s="26" t="s">
        <v>188</v>
      </c>
      <c r="F7" s="26" t="s">
        <v>191</v>
      </c>
      <c r="G7" s="26" t="s">
        <v>193</v>
      </c>
      <c r="H7" s="26" t="s">
        <v>195</v>
      </c>
      <c r="I7" s="26" t="s">
        <v>198</v>
      </c>
      <c r="J7" s="26" t="s">
        <v>200</v>
      </c>
      <c r="K7" s="26" t="s">
        <v>202</v>
      </c>
      <c r="L7" s="26" t="s">
        <v>204</v>
      </c>
      <c r="M7" s="26" t="s">
        <v>206</v>
      </c>
      <c r="N7" s="26" t="s">
        <v>208</v>
      </c>
      <c r="O7" s="26" t="s">
        <v>211</v>
      </c>
      <c r="P7" s="26" t="s">
        <v>213</v>
      </c>
      <c r="Q7" s="26" t="s">
        <v>215</v>
      </c>
      <c r="R7" s="26" t="s">
        <v>217</v>
      </c>
      <c r="S7" s="26" t="s">
        <v>219</v>
      </c>
      <c r="T7" s="26" t="s">
        <v>221</v>
      </c>
      <c r="U7" s="26" t="s">
        <v>225</v>
      </c>
      <c r="V7" s="26" t="s">
        <v>227</v>
      </c>
      <c r="W7" s="26" t="s">
        <v>229</v>
      </c>
      <c r="X7" s="26" t="s">
        <v>231</v>
      </c>
      <c r="Y7" s="26" t="s">
        <v>234</v>
      </c>
      <c r="Z7" s="26" t="s">
        <v>236</v>
      </c>
      <c r="AA7" s="26" t="s">
        <v>238</v>
      </c>
      <c r="AB7" s="26" t="s">
        <v>242</v>
      </c>
      <c r="AC7" s="26" t="s">
        <v>245</v>
      </c>
      <c r="AD7" s="26" t="s">
        <v>436</v>
      </c>
      <c r="AE7" s="26" t="s">
        <v>391</v>
      </c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91"/>
      <c r="BE7" s="91"/>
      <c r="BF7" s="91"/>
      <c r="BG7" s="91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</row>
    <row r="8" spans="1:87">
      <c r="B8" s="26"/>
      <c r="C8" s="85"/>
      <c r="D8" s="85"/>
      <c r="E8" s="26" t="s">
        <v>189</v>
      </c>
      <c r="F8" s="26" t="s">
        <v>192</v>
      </c>
      <c r="G8" s="26" t="s">
        <v>194</v>
      </c>
      <c r="H8" s="26" t="s">
        <v>196</v>
      </c>
      <c r="I8" s="26" t="s">
        <v>199</v>
      </c>
      <c r="J8" s="26" t="s">
        <v>201</v>
      </c>
      <c r="K8" s="26" t="s">
        <v>203</v>
      </c>
      <c r="L8" s="26" t="s">
        <v>205</v>
      </c>
      <c r="M8" s="26" t="s">
        <v>207</v>
      </c>
      <c r="N8" s="26" t="s">
        <v>209</v>
      </c>
      <c r="O8" s="26" t="s">
        <v>212</v>
      </c>
      <c r="P8" s="26" t="s">
        <v>214</v>
      </c>
      <c r="Q8" s="26" t="s">
        <v>216</v>
      </c>
      <c r="R8" s="26" t="s">
        <v>218</v>
      </c>
      <c r="S8" s="26" t="s">
        <v>220</v>
      </c>
      <c r="T8" s="26" t="s">
        <v>222</v>
      </c>
      <c r="U8" s="26" t="s">
        <v>226</v>
      </c>
      <c r="V8" s="26" t="s">
        <v>228</v>
      </c>
      <c r="W8" s="26" t="s">
        <v>230</v>
      </c>
      <c r="X8" s="26" t="s">
        <v>232</v>
      </c>
      <c r="Y8" s="26" t="s">
        <v>235</v>
      </c>
      <c r="Z8" s="26" t="s">
        <v>237</v>
      </c>
      <c r="AA8" s="26" t="s">
        <v>239</v>
      </c>
      <c r="AB8" s="26" t="s">
        <v>243</v>
      </c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91"/>
      <c r="BE8" s="91"/>
      <c r="BF8" s="91"/>
      <c r="BG8" s="91"/>
    </row>
    <row r="9" spans="1:87">
      <c r="A9" s="75">
        <v>2019</v>
      </c>
      <c r="B9">
        <v>210001</v>
      </c>
      <c r="C9" t="s">
        <v>407</v>
      </c>
      <c r="D9" t="s">
        <v>187</v>
      </c>
      <c r="E9" s="91">
        <v>207215.2</v>
      </c>
      <c r="F9" s="91">
        <v>155743.79999999999</v>
      </c>
      <c r="G9" s="91">
        <v>362959</v>
      </c>
      <c r="H9" s="91">
        <v>98677.7</v>
      </c>
      <c r="I9" s="91">
        <v>55067</v>
      </c>
      <c r="J9" s="91">
        <v>153744.70000000001</v>
      </c>
      <c r="K9" s="91">
        <v>5758.2</v>
      </c>
      <c r="L9" s="91">
        <v>2322.4</v>
      </c>
      <c r="M9" s="91">
        <v>8080.6</v>
      </c>
      <c r="N9" s="91">
        <v>19782.3</v>
      </c>
      <c r="O9" s="91">
        <v>21974.7</v>
      </c>
      <c r="P9" s="91">
        <v>41757</v>
      </c>
      <c r="Q9" s="91">
        <v>51137.1</v>
      </c>
      <c r="R9" s="91">
        <v>37306</v>
      </c>
      <c r="S9" s="91">
        <v>88443.1</v>
      </c>
      <c r="T9" s="91">
        <v>0</v>
      </c>
      <c r="U9" s="91">
        <v>7050.5</v>
      </c>
      <c r="V9" s="91">
        <v>11777.6</v>
      </c>
      <c r="W9" s="91">
        <v>18828.099999999999</v>
      </c>
      <c r="X9" s="91">
        <v>24809.400000000016</v>
      </c>
      <c r="Y9" s="91">
        <v>27296.1</v>
      </c>
      <c r="Z9" s="91">
        <v>52105.500000000015</v>
      </c>
      <c r="AA9" s="91">
        <v>296182.45270843536</v>
      </c>
      <c r="AB9" s="91">
        <v>332955.263998957</v>
      </c>
      <c r="AC9" s="91">
        <v>0.12394337889303597</v>
      </c>
      <c r="AD9" s="91"/>
      <c r="AE9" s="223">
        <f>+AB9/AA9</f>
        <v>1.1241559415632267</v>
      </c>
      <c r="AF9"/>
      <c r="AG9" s="192">
        <f t="shared" ref="AG9:AG40" si="0">+W9/G9</f>
        <v>5.1873903113023784E-2</v>
      </c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192"/>
      <c r="BD9" s="91"/>
      <c r="BE9" s="91"/>
      <c r="BF9" s="92"/>
      <c r="BG9" s="91"/>
      <c r="BH9" s="192"/>
      <c r="BI9" s="91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8"/>
      <c r="CI9" s="98"/>
    </row>
    <row r="10" spans="1:87">
      <c r="A10" s="75">
        <v>2019</v>
      </c>
      <c r="B10">
        <v>210002</v>
      </c>
      <c r="C10" t="s">
        <v>337</v>
      </c>
      <c r="D10" t="s">
        <v>187</v>
      </c>
      <c r="E10" s="91">
        <v>1064456.0551300005</v>
      </c>
      <c r="F10" s="91">
        <v>537865.85060000012</v>
      </c>
      <c r="G10" s="91">
        <v>1602321.9057300007</v>
      </c>
      <c r="H10" s="91">
        <v>363074.76472836058</v>
      </c>
      <c r="I10" s="91">
        <v>167878.70556155048</v>
      </c>
      <c r="J10" s="91">
        <v>530953.47028991103</v>
      </c>
      <c r="K10" s="91">
        <v>50168.074788347978</v>
      </c>
      <c r="L10" s="91">
        <v>9073.8005051422606</v>
      </c>
      <c r="M10" s="91">
        <v>59241.875293490237</v>
      </c>
      <c r="N10" s="91">
        <v>115330.66623868723</v>
      </c>
      <c r="O10" s="91">
        <v>72480.147015053648</v>
      </c>
      <c r="P10" s="91">
        <v>187810.8132537409</v>
      </c>
      <c r="Q10" s="91">
        <v>290170.2189081969</v>
      </c>
      <c r="R10" s="91">
        <v>133267.73630008253</v>
      </c>
      <c r="S10" s="91">
        <v>423437.95520827943</v>
      </c>
      <c r="T10" s="91">
        <v>7043.4110600000113</v>
      </c>
      <c r="U10" s="91">
        <v>41667.306856648698</v>
      </c>
      <c r="V10" s="91">
        <v>21054.337683351299</v>
      </c>
      <c r="W10" s="91">
        <v>62721.644539999994</v>
      </c>
      <c r="X10" s="91">
        <v>204045.02360975911</v>
      </c>
      <c r="Y10" s="91">
        <v>134111.12353481993</v>
      </c>
      <c r="Z10" s="91">
        <v>338156.14714457904</v>
      </c>
      <c r="AA10" s="91">
        <v>1376789.0277801517</v>
      </c>
      <c r="AB10" s="91">
        <v>1521015.0180220413</v>
      </c>
      <c r="AC10" s="91">
        <v>0.1047553309416116</v>
      </c>
      <c r="AD10" s="91"/>
      <c r="AE10" s="223">
        <f t="shared" ref="AE10:AE58" si="1">+AB10/AA10</f>
        <v>1.1047553309416116</v>
      </c>
      <c r="AF10"/>
      <c r="AG10" s="192">
        <f t="shared" si="0"/>
        <v>3.9144222091518299E-2</v>
      </c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192"/>
      <c r="BD10" s="91"/>
      <c r="BE10" s="91"/>
      <c r="BF10" s="92"/>
      <c r="BG10" s="91"/>
      <c r="BH10" s="192"/>
      <c r="BI10" s="91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8"/>
      <c r="CI10" s="98"/>
    </row>
    <row r="11" spans="1:87">
      <c r="A11" s="75">
        <v>2019</v>
      </c>
      <c r="B11">
        <v>210003</v>
      </c>
      <c r="C11" t="s">
        <v>408</v>
      </c>
      <c r="D11" t="s">
        <v>187</v>
      </c>
      <c r="E11" s="91">
        <v>259837.14415999988</v>
      </c>
      <c r="F11" s="91">
        <v>79742.277359999935</v>
      </c>
      <c r="G11" s="91">
        <v>339579.4215199998</v>
      </c>
      <c r="H11" s="91">
        <v>87010.694724496381</v>
      </c>
      <c r="I11" s="91">
        <v>15516.345694933772</v>
      </c>
      <c r="J11" s="91">
        <v>102527.04041943015</v>
      </c>
      <c r="K11" s="91">
        <v>25397.99552202845</v>
      </c>
      <c r="L11" s="91">
        <v>2474.2962516208167</v>
      </c>
      <c r="M11" s="91">
        <v>27872.291773649267</v>
      </c>
      <c r="N11" s="91">
        <v>17751.938446797561</v>
      </c>
      <c r="O11" s="91">
        <v>7690.6779517226887</v>
      </c>
      <c r="P11" s="91">
        <v>25442.616398520251</v>
      </c>
      <c r="Q11" s="91">
        <v>58605.110089650319</v>
      </c>
      <c r="R11" s="91">
        <v>20163.102891715342</v>
      </c>
      <c r="S11" s="91">
        <v>78768.212981365665</v>
      </c>
      <c r="T11" s="91">
        <v>1802.9894199999947</v>
      </c>
      <c r="U11" s="91">
        <v>22827.226483954277</v>
      </c>
      <c r="V11" s="91">
        <v>7005.522753598827</v>
      </c>
      <c r="W11" s="91">
        <v>29832.749237553104</v>
      </c>
      <c r="X11" s="91">
        <v>48244.178893072909</v>
      </c>
      <c r="Y11" s="91">
        <v>26892.331816408489</v>
      </c>
      <c r="Z11" s="91">
        <v>75136.510709481401</v>
      </c>
      <c r="AA11" s="91">
        <v>266978.57785799663</v>
      </c>
      <c r="AB11" s="91">
        <v>311027.36137114267</v>
      </c>
      <c r="AC11" s="91">
        <v>0.16498995487411428</v>
      </c>
      <c r="AD11" s="91"/>
      <c r="AE11" s="223">
        <f t="shared" si="1"/>
        <v>1.1649899548741143</v>
      </c>
      <c r="AF11"/>
      <c r="AG11" s="192">
        <f t="shared" si="0"/>
        <v>8.7852052706898442E-2</v>
      </c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192"/>
      <c r="BD11" s="91"/>
      <c r="BE11" s="91"/>
      <c r="BF11" s="92"/>
      <c r="BG11" s="91"/>
      <c r="BH11" s="192"/>
      <c r="BI11" s="91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8"/>
      <c r="CI11" s="98"/>
    </row>
    <row r="12" spans="1:87">
      <c r="A12" s="75">
        <v>2019</v>
      </c>
      <c r="B12">
        <v>210004</v>
      </c>
      <c r="C12" t="s">
        <v>57</v>
      </c>
      <c r="D12" t="s">
        <v>187</v>
      </c>
      <c r="E12" s="91">
        <v>367225.69999999995</v>
      </c>
      <c r="F12" s="91">
        <v>145405.5</v>
      </c>
      <c r="G12" s="91">
        <v>512631.19999999995</v>
      </c>
      <c r="H12" s="91">
        <v>76664.308837841512</v>
      </c>
      <c r="I12" s="91">
        <v>25728.963057305795</v>
      </c>
      <c r="J12" s="91">
        <v>102393.27189514731</v>
      </c>
      <c r="K12" s="91">
        <v>33533.65149585891</v>
      </c>
      <c r="L12" s="91">
        <v>4423.1292559377007</v>
      </c>
      <c r="M12" s="91">
        <v>37956.780751796614</v>
      </c>
      <c r="N12" s="91">
        <v>39023.175978350424</v>
      </c>
      <c r="O12" s="91">
        <v>18255.749766701578</v>
      </c>
      <c r="P12" s="91">
        <v>57278.925745052002</v>
      </c>
      <c r="Q12" s="91">
        <v>119390.25272950483</v>
      </c>
      <c r="R12" s="91">
        <v>29869.126946299028</v>
      </c>
      <c r="S12" s="91">
        <v>149259.37967580385</v>
      </c>
      <c r="T12" s="91">
        <v>4403.051840000001</v>
      </c>
      <c r="U12" s="91">
        <v>14827.284212436683</v>
      </c>
      <c r="V12" s="91">
        <v>25910.331057563322</v>
      </c>
      <c r="W12" s="91">
        <v>40737.615270000009</v>
      </c>
      <c r="X12" s="91">
        <v>83787.026746007599</v>
      </c>
      <c r="Y12" s="91">
        <v>41218.199916192563</v>
      </c>
      <c r="Z12" s="91">
        <v>125005.22666220016</v>
      </c>
      <c r="AA12" s="91">
        <v>401564.62488811475</v>
      </c>
      <c r="AB12" s="91">
        <v>461924.00345796533</v>
      </c>
      <c r="AC12" s="91">
        <v>0.15001007290373281</v>
      </c>
      <c r="AD12" s="91"/>
      <c r="AE12" s="223">
        <f t="shared" si="1"/>
        <v>1.1503104975610541</v>
      </c>
      <c r="AF12"/>
      <c r="AG12" s="192">
        <f t="shared" si="0"/>
        <v>7.9467686067488705E-2</v>
      </c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192"/>
      <c r="BD12" s="91"/>
      <c r="BE12" s="91"/>
      <c r="BF12" s="92"/>
      <c r="BG12" s="91"/>
      <c r="BH12" s="192"/>
      <c r="BI12" s="91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8"/>
      <c r="CI12" s="98"/>
    </row>
    <row r="13" spans="1:87">
      <c r="A13" s="75">
        <v>2019</v>
      </c>
      <c r="B13">
        <v>210005</v>
      </c>
      <c r="C13" t="s">
        <v>409</v>
      </c>
      <c r="D13" t="s">
        <v>187</v>
      </c>
      <c r="E13" s="91">
        <v>232671.5</v>
      </c>
      <c r="F13" s="91">
        <v>126082.70000000001</v>
      </c>
      <c r="G13" s="91">
        <v>358754.2</v>
      </c>
      <c r="H13" s="91">
        <v>102105.1640167178</v>
      </c>
      <c r="I13" s="91">
        <v>39220.893312785258</v>
      </c>
      <c r="J13" s="91">
        <v>141326.05732950306</v>
      </c>
      <c r="K13" s="91">
        <v>6064.4116790110556</v>
      </c>
      <c r="L13" s="91">
        <v>1559.9719874695211</v>
      </c>
      <c r="M13" s="91">
        <v>7624.3836664805767</v>
      </c>
      <c r="N13" s="91">
        <v>39419.780130036786</v>
      </c>
      <c r="O13" s="91">
        <v>24744.56775646922</v>
      </c>
      <c r="P13" s="91">
        <v>64164.347886506002</v>
      </c>
      <c r="Q13" s="91">
        <v>39675.915278484128</v>
      </c>
      <c r="R13" s="91">
        <v>23349.663528310783</v>
      </c>
      <c r="S13" s="91">
        <v>63025.578806794911</v>
      </c>
      <c r="T13" s="91">
        <v>1925.154</v>
      </c>
      <c r="U13" s="91">
        <v>6076.78557</v>
      </c>
      <c r="V13" s="91">
        <v>10132.40871</v>
      </c>
      <c r="W13" s="91">
        <v>16209.19428</v>
      </c>
      <c r="X13" s="91">
        <v>39329.443325750231</v>
      </c>
      <c r="Y13" s="91">
        <v>27075.194704965248</v>
      </c>
      <c r="Z13" s="91">
        <v>66404.638030715476</v>
      </c>
      <c r="AA13" s="91">
        <v>281795.03417954262</v>
      </c>
      <c r="AB13" s="91">
        <v>312632.06017235073</v>
      </c>
      <c r="AC13" s="91">
        <v>0.10906513120671701</v>
      </c>
      <c r="AD13" s="91"/>
      <c r="AE13" s="223">
        <f t="shared" si="1"/>
        <v>1.1094306934208096</v>
      </c>
      <c r="AF13"/>
      <c r="AG13" s="192">
        <f t="shared" si="0"/>
        <v>4.5181894121378928E-2</v>
      </c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192"/>
      <c r="BD13" s="91"/>
      <c r="BE13" s="91"/>
      <c r="BF13" s="92"/>
      <c r="BG13" s="91"/>
      <c r="BH13" s="192"/>
      <c r="BI13" s="91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8"/>
      <c r="CI13" s="98"/>
    </row>
    <row r="14" spans="1:87">
      <c r="A14" s="75">
        <v>2019</v>
      </c>
      <c r="B14">
        <v>210006</v>
      </c>
      <c r="C14" t="s">
        <v>410</v>
      </c>
      <c r="D14" t="s">
        <v>187</v>
      </c>
      <c r="E14" s="91">
        <v>54031.936860000016</v>
      </c>
      <c r="F14" s="91">
        <v>46279.413620000007</v>
      </c>
      <c r="G14" s="91">
        <v>100311.35048000002</v>
      </c>
      <c r="H14" s="91">
        <v>27194.791251423121</v>
      </c>
      <c r="I14" s="91">
        <v>14128.103077657646</v>
      </c>
      <c r="J14" s="91">
        <v>41322.894329080766</v>
      </c>
      <c r="K14" s="91">
        <v>729.40866236091654</v>
      </c>
      <c r="L14" s="91">
        <v>1468.0145848202715</v>
      </c>
      <c r="M14" s="91">
        <v>2197.4232471811879</v>
      </c>
      <c r="N14" s="91">
        <v>2403.6893584671275</v>
      </c>
      <c r="O14" s="91">
        <v>4703.4764794172606</v>
      </c>
      <c r="P14" s="91">
        <v>7107.1658378843877</v>
      </c>
      <c r="Q14" s="91">
        <v>11710.883466311245</v>
      </c>
      <c r="R14" s="91">
        <v>10581.735105635444</v>
      </c>
      <c r="S14" s="91">
        <v>22292.618571946688</v>
      </c>
      <c r="T14" s="91">
        <v>813.89149000000111</v>
      </c>
      <c r="U14" s="91">
        <v>3540.5029179840781</v>
      </c>
      <c r="V14" s="91">
        <v>3032.497082015921</v>
      </c>
      <c r="W14" s="91">
        <v>6572.9999999999991</v>
      </c>
      <c r="X14" s="91">
        <v>8452.6612034535265</v>
      </c>
      <c r="Y14" s="91">
        <v>12365.587290453464</v>
      </c>
      <c r="Z14" s="91">
        <v>20818.248493906991</v>
      </c>
      <c r="AA14" s="91">
        <v>82740.597004414536</v>
      </c>
      <c r="AB14" s="91">
        <v>94223.59871241721</v>
      </c>
      <c r="AC14" s="91">
        <v>0.13878316236212318</v>
      </c>
      <c r="AD14" s="91"/>
      <c r="AE14" s="223">
        <f t="shared" si="1"/>
        <v>1.1387831623621232</v>
      </c>
      <c r="AF14"/>
      <c r="AG14" s="192">
        <f t="shared" si="0"/>
        <v>6.5525984532632892E-2</v>
      </c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192"/>
      <c r="BD14" s="91"/>
      <c r="BE14" s="91"/>
      <c r="BF14" s="92"/>
      <c r="BG14" s="91"/>
      <c r="BH14" s="192"/>
      <c r="BI14" s="91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8"/>
      <c r="CI14" s="98"/>
    </row>
    <row r="15" spans="1:87">
      <c r="A15" s="75">
        <v>2019</v>
      </c>
      <c r="B15">
        <v>210008</v>
      </c>
      <c r="C15" t="s">
        <v>411</v>
      </c>
      <c r="D15" t="s">
        <v>187</v>
      </c>
      <c r="E15" s="91">
        <v>233732.19999999998</v>
      </c>
      <c r="F15" s="91">
        <v>314957.5</v>
      </c>
      <c r="G15" s="91">
        <v>548689.69999999995</v>
      </c>
      <c r="H15" s="91">
        <v>89399.912051132487</v>
      </c>
      <c r="I15" s="91">
        <v>107161.24132206153</v>
      </c>
      <c r="J15" s="91">
        <v>196561.15337319401</v>
      </c>
      <c r="K15" s="91">
        <v>6631.4109705251003</v>
      </c>
      <c r="L15" s="91">
        <v>3355.0561299855117</v>
      </c>
      <c r="M15" s="91">
        <v>9986.467100510612</v>
      </c>
      <c r="N15" s="91">
        <v>47638.800366559306</v>
      </c>
      <c r="O15" s="91">
        <v>89426.124637968547</v>
      </c>
      <c r="P15" s="91">
        <v>137064.92500452785</v>
      </c>
      <c r="Q15" s="91">
        <v>53398.481114386348</v>
      </c>
      <c r="R15" s="91">
        <v>50843.25345678239</v>
      </c>
      <c r="S15" s="91">
        <v>104241.73457116874</v>
      </c>
      <c r="T15" s="91">
        <v>10107.292399999807</v>
      </c>
      <c r="U15" s="91">
        <v>6549.7228350000005</v>
      </c>
      <c r="V15" s="91">
        <v>21634.942165</v>
      </c>
      <c r="W15" s="91">
        <v>28184.665000000001</v>
      </c>
      <c r="X15" s="91">
        <v>30113.872662396745</v>
      </c>
      <c r="Y15" s="91">
        <v>42536.882288202032</v>
      </c>
      <c r="Z15" s="91">
        <v>72650.754950598784</v>
      </c>
      <c r="AA15" s="91">
        <v>460448.96540215571</v>
      </c>
      <c r="AB15" s="91">
        <v>513583.72086208168</v>
      </c>
      <c r="AC15" s="91">
        <v>0.11508993132746026</v>
      </c>
      <c r="AD15" s="91"/>
      <c r="AE15" s="223">
        <f t="shared" si="1"/>
        <v>1.115397708437716</v>
      </c>
      <c r="AF15"/>
      <c r="AG15" s="192">
        <f t="shared" si="0"/>
        <v>5.1367220853608155E-2</v>
      </c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192"/>
      <c r="BD15" s="91"/>
      <c r="BE15" s="91"/>
      <c r="BF15" s="92"/>
      <c r="BG15" s="91"/>
      <c r="BH15" s="192"/>
      <c r="BI15" s="91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8"/>
      <c r="CI15" s="98"/>
    </row>
    <row r="16" spans="1:87">
      <c r="A16" s="75">
        <v>2019</v>
      </c>
      <c r="B16">
        <v>210009</v>
      </c>
      <c r="C16" t="s">
        <v>70</v>
      </c>
      <c r="D16" t="s">
        <v>187</v>
      </c>
      <c r="E16" s="91">
        <v>1534574.2</v>
      </c>
      <c r="F16" s="91">
        <v>933875.9</v>
      </c>
      <c r="G16" s="91">
        <v>2468450.1</v>
      </c>
      <c r="H16" s="91">
        <v>452925</v>
      </c>
      <c r="I16" s="91">
        <v>247538</v>
      </c>
      <c r="J16" s="91">
        <v>700463</v>
      </c>
      <c r="K16" s="91">
        <v>104635</v>
      </c>
      <c r="L16" s="91">
        <v>26636</v>
      </c>
      <c r="M16" s="91">
        <v>131271</v>
      </c>
      <c r="N16" s="91">
        <v>296275</v>
      </c>
      <c r="O16" s="91">
        <v>228649</v>
      </c>
      <c r="P16" s="91">
        <v>524924</v>
      </c>
      <c r="Q16" s="91">
        <v>285570.5</v>
      </c>
      <c r="R16" s="91">
        <v>155261.79999999999</v>
      </c>
      <c r="S16" s="91">
        <v>440832.3</v>
      </c>
      <c r="T16" s="91">
        <v>12498.9</v>
      </c>
      <c r="U16" s="91">
        <v>28924.5</v>
      </c>
      <c r="V16" s="91">
        <v>46111.3</v>
      </c>
      <c r="W16" s="91">
        <v>75035.8</v>
      </c>
      <c r="X16" s="91">
        <v>366244.19999999995</v>
      </c>
      <c r="Y16" s="91">
        <v>229679.80000000005</v>
      </c>
      <c r="Z16" s="91">
        <v>595924</v>
      </c>
      <c r="AA16" s="91">
        <v>2159720.854697316</v>
      </c>
      <c r="AB16" s="91">
        <v>2347205.0300772516</v>
      </c>
      <c r="AC16" s="91">
        <v>8.6809448069255835E-2</v>
      </c>
      <c r="AD16" s="91"/>
      <c r="AE16" s="223">
        <f t="shared" si="1"/>
        <v>1.0868094480692558</v>
      </c>
      <c r="AF16"/>
      <c r="AG16" s="192">
        <f t="shared" si="0"/>
        <v>3.0397940796939749E-2</v>
      </c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192"/>
      <c r="BD16" s="91"/>
      <c r="BE16" s="91"/>
      <c r="BF16" s="92"/>
      <c r="BG16" s="91"/>
      <c r="BH16" s="192"/>
      <c r="BI16" s="91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8"/>
      <c r="CI16" s="98"/>
    </row>
    <row r="17" spans="1:87">
      <c r="A17" s="75">
        <v>2019</v>
      </c>
      <c r="B17">
        <v>210010</v>
      </c>
      <c r="C17" s="142" t="s">
        <v>412</v>
      </c>
      <c r="D17" s="142" t="s">
        <v>187</v>
      </c>
      <c r="E17" s="91">
        <v>16205.622779999994</v>
      </c>
      <c r="F17" s="91">
        <v>22389.18486999999</v>
      </c>
      <c r="G17" s="91">
        <v>38594.807649999988</v>
      </c>
      <c r="H17" s="91">
        <v>8697.0579204756777</v>
      </c>
      <c r="I17" s="91">
        <v>8004.9385995430493</v>
      </c>
      <c r="J17" s="91">
        <v>16701.996520018729</v>
      </c>
      <c r="K17" s="91">
        <v>303.9224360401123</v>
      </c>
      <c r="L17" s="91">
        <v>1384.2757695880869</v>
      </c>
      <c r="M17" s="91">
        <v>1688.198205628199</v>
      </c>
      <c r="N17" s="91">
        <v>456.56142570796305</v>
      </c>
      <c r="O17" s="91">
        <v>1538.6347103283101</v>
      </c>
      <c r="P17" s="91">
        <v>1995.1961360362732</v>
      </c>
      <c r="Q17" s="91">
        <v>4762.9214429880676</v>
      </c>
      <c r="R17" s="91">
        <v>7306.6207868116735</v>
      </c>
      <c r="S17" s="91">
        <v>12069.542229799741</v>
      </c>
      <c r="T17" s="91">
        <v>503.45223999999882</v>
      </c>
      <c r="U17" s="91">
        <v>991.54941305912871</v>
      </c>
      <c r="V17" s="91">
        <v>1369.893858329141</v>
      </c>
      <c r="W17" s="91">
        <v>2361.4432713882697</v>
      </c>
      <c r="X17" s="91">
        <v>993.6101417290447</v>
      </c>
      <c r="Y17" s="91">
        <v>2784.8211453997301</v>
      </c>
      <c r="Z17" s="91">
        <v>3778.4312871287748</v>
      </c>
      <c r="AA17" s="91">
        <v>26425.171679466872</v>
      </c>
      <c r="AB17" s="91">
        <v>30209.842639428949</v>
      </c>
      <c r="AC17" s="91">
        <v>0.14322219003416636</v>
      </c>
      <c r="AD17" s="91"/>
      <c r="AE17" s="223">
        <f t="shared" si="1"/>
        <v>1.1432221900341664</v>
      </c>
      <c r="AF17"/>
      <c r="AG17" s="192">
        <f t="shared" si="0"/>
        <v>6.1185517305934044E-2</v>
      </c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192"/>
      <c r="BD17" s="91"/>
      <c r="BE17" s="91"/>
      <c r="BF17" s="92"/>
      <c r="BG17" s="91"/>
      <c r="BH17" s="192"/>
      <c r="BI17" s="91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8"/>
      <c r="CI17" s="98"/>
    </row>
    <row r="18" spans="1:87">
      <c r="A18" s="75">
        <v>2019</v>
      </c>
      <c r="B18">
        <v>210011</v>
      </c>
      <c r="C18" t="s">
        <v>413</v>
      </c>
      <c r="D18" t="s">
        <v>187</v>
      </c>
      <c r="E18" s="91">
        <v>235587.8</v>
      </c>
      <c r="F18" s="91">
        <v>184557.6</v>
      </c>
      <c r="G18" s="91">
        <v>420145.4</v>
      </c>
      <c r="H18" s="91">
        <v>99238.5</v>
      </c>
      <c r="I18" s="91">
        <v>57169.4</v>
      </c>
      <c r="J18" s="91">
        <v>156407.9</v>
      </c>
      <c r="K18" s="91">
        <v>18254.900000000001</v>
      </c>
      <c r="L18" s="91">
        <v>5217.8999999999996</v>
      </c>
      <c r="M18" s="91">
        <v>23472.800000000003</v>
      </c>
      <c r="N18" s="91">
        <v>20936.099999999999</v>
      </c>
      <c r="O18" s="91">
        <v>27002.5</v>
      </c>
      <c r="P18" s="91">
        <v>47938.6</v>
      </c>
      <c r="Q18" s="91">
        <v>68278.7</v>
      </c>
      <c r="R18" s="91">
        <v>50096.7</v>
      </c>
      <c r="S18" s="91">
        <v>118375.4</v>
      </c>
      <c r="T18" s="91">
        <v>8672.9</v>
      </c>
      <c r="U18" s="91">
        <v>6307.8</v>
      </c>
      <c r="V18" s="91">
        <v>16348.5</v>
      </c>
      <c r="W18" s="91">
        <v>22656.3</v>
      </c>
      <c r="X18" s="91">
        <v>22571.799999999992</v>
      </c>
      <c r="Y18" s="91">
        <v>28722.60000000002</v>
      </c>
      <c r="Z18" s="91">
        <v>51294.400000000009</v>
      </c>
      <c r="AA18" s="91">
        <v>331573.54513809772</v>
      </c>
      <c r="AB18" s="91">
        <v>374210.99638139544</v>
      </c>
      <c r="AC18" s="91">
        <v>0.12847366652741976</v>
      </c>
      <c r="AD18" s="91"/>
      <c r="AE18" s="223">
        <f t="shared" si="1"/>
        <v>1.1285912337353077</v>
      </c>
      <c r="AF18"/>
      <c r="AG18" s="192">
        <f t="shared" si="0"/>
        <v>5.3924903140674628E-2</v>
      </c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192"/>
      <c r="BD18" s="91"/>
      <c r="BE18" s="91"/>
      <c r="BF18" s="92"/>
      <c r="BG18" s="91"/>
      <c r="BH18" s="192"/>
      <c r="BI18" s="91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8"/>
      <c r="CI18" s="98"/>
    </row>
    <row r="19" spans="1:87">
      <c r="A19" s="75">
        <v>2019</v>
      </c>
      <c r="B19">
        <v>210012</v>
      </c>
      <c r="C19" t="s">
        <v>414</v>
      </c>
      <c r="D19" t="s">
        <v>187</v>
      </c>
      <c r="E19" s="91">
        <v>458859</v>
      </c>
      <c r="F19" s="91">
        <v>365534.7</v>
      </c>
      <c r="G19" s="91">
        <v>824393.7</v>
      </c>
      <c r="H19" s="91">
        <v>204910.7</v>
      </c>
      <c r="I19" s="91">
        <v>125729.5</v>
      </c>
      <c r="J19" s="91">
        <v>330640.2</v>
      </c>
      <c r="K19" s="91">
        <v>28954</v>
      </c>
      <c r="L19" s="91">
        <v>6371.3</v>
      </c>
      <c r="M19" s="91">
        <v>35325.300000000003</v>
      </c>
      <c r="N19" s="91">
        <v>44544.3</v>
      </c>
      <c r="O19" s="91">
        <v>55537</v>
      </c>
      <c r="P19" s="91">
        <v>100081.3</v>
      </c>
      <c r="Q19" s="91">
        <v>114462.3</v>
      </c>
      <c r="R19" s="91">
        <v>94224.7</v>
      </c>
      <c r="S19" s="91">
        <v>208687</v>
      </c>
      <c r="T19" s="91">
        <v>0</v>
      </c>
      <c r="U19" s="91">
        <v>10722.699999999999</v>
      </c>
      <c r="V19" s="91">
        <v>23214.3</v>
      </c>
      <c r="W19" s="91">
        <v>33937</v>
      </c>
      <c r="X19" s="91">
        <v>55265</v>
      </c>
      <c r="Y19" s="91">
        <v>60457.900000000023</v>
      </c>
      <c r="Z19" s="91">
        <v>115722.90000000002</v>
      </c>
      <c r="AA19" s="91">
        <v>623288.73790372687</v>
      </c>
      <c r="AB19" s="91">
        <v>692831.72199941857</v>
      </c>
      <c r="AC19" s="91">
        <v>0.11157426705571782</v>
      </c>
      <c r="AD19" s="91"/>
      <c r="AE19" s="223">
        <f t="shared" si="1"/>
        <v>1.1115742670557178</v>
      </c>
      <c r="AF19"/>
      <c r="AG19" s="192">
        <f t="shared" si="0"/>
        <v>4.1166010851368715E-2</v>
      </c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192"/>
      <c r="BD19" s="91"/>
      <c r="BE19" s="91"/>
      <c r="BF19" s="92"/>
      <c r="BG19" s="91"/>
      <c r="BH19" s="192"/>
      <c r="BI19" s="91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8"/>
      <c r="CI19" s="98"/>
    </row>
    <row r="20" spans="1:87">
      <c r="A20" s="75">
        <v>2019</v>
      </c>
      <c r="B20">
        <v>210013</v>
      </c>
      <c r="C20" s="116" t="s">
        <v>454</v>
      </c>
      <c r="D20" s="116" t="s">
        <v>187</v>
      </c>
      <c r="E20" s="91">
        <v>13548.563580000002</v>
      </c>
      <c r="F20" s="91">
        <v>25735.808060000003</v>
      </c>
      <c r="G20" s="91">
        <v>39284.371640000005</v>
      </c>
      <c r="H20" s="91">
        <v>2981.9959508760435</v>
      </c>
      <c r="I20" s="91">
        <v>5020.1595323144311</v>
      </c>
      <c r="J20" s="91">
        <v>8002.1554831904741</v>
      </c>
      <c r="K20" s="91">
        <v>1227.7728404500976</v>
      </c>
      <c r="L20" s="91">
        <v>1170.6037997962751</v>
      </c>
      <c r="M20" s="91">
        <v>2398.3766402463725</v>
      </c>
      <c r="N20" s="91">
        <v>320.36203010588639</v>
      </c>
      <c r="O20" s="91">
        <v>707.82634859700079</v>
      </c>
      <c r="P20" s="91">
        <v>1028.1883787028871</v>
      </c>
      <c r="Q20" s="91">
        <v>8192.1032860503892</v>
      </c>
      <c r="R20" s="91">
        <v>12419.738407285276</v>
      </c>
      <c r="S20" s="91">
        <v>20611.841693335664</v>
      </c>
      <c r="T20" s="91">
        <v>0</v>
      </c>
      <c r="U20" s="91">
        <v>30.111660000000001</v>
      </c>
      <c r="V20" s="91">
        <v>1667.88834</v>
      </c>
      <c r="W20" s="91">
        <v>1698</v>
      </c>
      <c r="X20" s="91">
        <v>796.21781251758375</v>
      </c>
      <c r="Y20" s="91">
        <v>4749.5916320070191</v>
      </c>
      <c r="Z20" s="91">
        <v>5545.8094445246024</v>
      </c>
      <c r="AA20" s="91">
        <v>42426.379566142947</v>
      </c>
      <c r="AB20" s="91">
        <v>47529.785744981724</v>
      </c>
      <c r="AC20" s="91">
        <v>0.12028851462290202</v>
      </c>
      <c r="AD20" s="91"/>
      <c r="AE20" s="223">
        <f t="shared" si="1"/>
        <v>1.120288514622902</v>
      </c>
      <c r="AF20"/>
      <c r="AG20" s="192">
        <f t="shared" si="0"/>
        <v>4.3223295400022843E-2</v>
      </c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192"/>
      <c r="BD20" s="91"/>
      <c r="BE20" s="91"/>
      <c r="BF20" s="92"/>
      <c r="BG20" s="91"/>
      <c r="BH20" s="192"/>
      <c r="BI20" s="91"/>
      <c r="CH20" s="134"/>
      <c r="CI20" s="98"/>
    </row>
    <row r="21" spans="1:87">
      <c r="A21" s="75">
        <v>2019</v>
      </c>
      <c r="B21">
        <v>210015</v>
      </c>
      <c r="C21" t="s">
        <v>415</v>
      </c>
      <c r="D21" t="s">
        <v>187</v>
      </c>
      <c r="E21" s="91">
        <v>317676.52422000066</v>
      </c>
      <c r="F21" s="91">
        <v>272921.63265999983</v>
      </c>
      <c r="G21" s="91">
        <v>590598.15688000049</v>
      </c>
      <c r="H21" s="91">
        <v>125107.852560593</v>
      </c>
      <c r="I21" s="91">
        <v>95071.844720591282</v>
      </c>
      <c r="J21" s="91">
        <v>220179.69728118429</v>
      </c>
      <c r="K21" s="91">
        <v>14252.291934496916</v>
      </c>
      <c r="L21" s="91">
        <v>4992.2450846121046</v>
      </c>
      <c r="M21" s="91">
        <v>19244.537019109019</v>
      </c>
      <c r="N21" s="91">
        <v>24742.421305885582</v>
      </c>
      <c r="O21" s="91">
        <v>32429.166109489215</v>
      </c>
      <c r="P21" s="91">
        <v>57171.587415374801</v>
      </c>
      <c r="Q21" s="91">
        <v>100687.31446674277</v>
      </c>
      <c r="R21" s="91">
        <v>77616.325017647818</v>
      </c>
      <c r="S21" s="91">
        <v>178303.63948439059</v>
      </c>
      <c r="T21" s="91">
        <v>5135.7772000000659</v>
      </c>
      <c r="U21" s="91">
        <v>9414.9272298515752</v>
      </c>
      <c r="V21" s="91">
        <v>12582.923550148425</v>
      </c>
      <c r="W21" s="91">
        <v>21997.850780000001</v>
      </c>
      <c r="X21" s="91">
        <v>43471.716722430836</v>
      </c>
      <c r="Y21" s="91">
        <v>50229.128177510996</v>
      </c>
      <c r="Z21" s="91">
        <v>93700.844899941832</v>
      </c>
      <c r="AA21" s="91">
        <v>421703.8657456442</v>
      </c>
      <c r="AB21" s="91">
        <v>467083.65887371538</v>
      </c>
      <c r="AC21" s="91">
        <v>0.10761056944031555</v>
      </c>
      <c r="AD21" s="91"/>
      <c r="AE21" s="223">
        <f t="shared" si="1"/>
        <v>1.1076105694403156</v>
      </c>
      <c r="AF21"/>
      <c r="AG21" s="192">
        <f t="shared" si="0"/>
        <v>3.7246731172020216E-2</v>
      </c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192"/>
      <c r="BD21" s="91"/>
      <c r="BE21" s="91"/>
      <c r="BF21" s="92"/>
      <c r="BG21" s="91"/>
      <c r="BH21" s="192"/>
      <c r="BI21" s="91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8"/>
      <c r="CI21" s="98"/>
    </row>
    <row r="22" spans="1:87">
      <c r="A22" s="75">
        <v>2019</v>
      </c>
      <c r="B22">
        <v>210016</v>
      </c>
      <c r="C22" t="s">
        <v>455</v>
      </c>
      <c r="D22" t="s">
        <v>187</v>
      </c>
      <c r="E22" s="91">
        <v>213889</v>
      </c>
      <c r="F22" s="91">
        <v>114835.80000000002</v>
      </c>
      <c r="G22" s="91">
        <v>328724.80000000005</v>
      </c>
      <c r="H22" s="91">
        <v>96345.502380000005</v>
      </c>
      <c r="I22" s="91">
        <v>38881.602830000011</v>
      </c>
      <c r="J22" s="91">
        <v>135227.10521000001</v>
      </c>
      <c r="K22" s="91">
        <v>43658.382521340012</v>
      </c>
      <c r="L22" s="91">
        <v>5701.1017468799992</v>
      </c>
      <c r="M22" s="91">
        <v>49359.484268220011</v>
      </c>
      <c r="N22" s="91">
        <v>19984.22552</v>
      </c>
      <c r="O22" s="91">
        <v>19932.245989999996</v>
      </c>
      <c r="P22" s="91">
        <v>39916.471509999996</v>
      </c>
      <c r="Q22" s="91">
        <v>33591.118579999995</v>
      </c>
      <c r="R22" s="91">
        <v>19839.23054</v>
      </c>
      <c r="S22" s="91">
        <v>53430.349119999999</v>
      </c>
      <c r="T22" s="91">
        <v>5903.2895799999797</v>
      </c>
      <c r="U22" s="91">
        <v>14361.125148084873</v>
      </c>
      <c r="V22" s="91">
        <v>7701.3929819151263</v>
      </c>
      <c r="W22" s="91">
        <v>22062.51813</v>
      </c>
      <c r="X22" s="91">
        <v>5948.6458505751143</v>
      </c>
      <c r="Y22" s="91">
        <v>22780.225911204878</v>
      </c>
      <c r="Z22" s="91">
        <v>28728.871761779992</v>
      </c>
      <c r="AA22" s="91">
        <v>265130.66994255671</v>
      </c>
      <c r="AB22" s="91">
        <v>303887.23195748677</v>
      </c>
      <c r="AC22" s="91">
        <v>0.14258638560820791</v>
      </c>
      <c r="AD22" s="91"/>
      <c r="AE22" s="223">
        <f t="shared" si="1"/>
        <v>1.1461790973610373</v>
      </c>
      <c r="AF22"/>
      <c r="AG22" s="192">
        <f t="shared" si="0"/>
        <v>6.711546597640336E-2</v>
      </c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192"/>
      <c r="BD22" s="91"/>
      <c r="BE22" s="91"/>
      <c r="BF22" s="92"/>
      <c r="BG22" s="91"/>
      <c r="BH22" s="192"/>
      <c r="BI22" s="91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8"/>
      <c r="CI22" s="98"/>
    </row>
    <row r="23" spans="1:87">
      <c r="A23" s="75">
        <v>2019</v>
      </c>
      <c r="B23">
        <v>210017</v>
      </c>
      <c r="C23" t="s">
        <v>416</v>
      </c>
      <c r="D23" t="s">
        <v>187</v>
      </c>
      <c r="E23" s="91">
        <v>19157.210999999999</v>
      </c>
      <c r="F23" s="91">
        <v>40810.663</v>
      </c>
      <c r="G23" s="91">
        <v>59967.873999999996</v>
      </c>
      <c r="H23" s="91">
        <v>8454.1815114774272</v>
      </c>
      <c r="I23" s="91">
        <v>16859.09071489716</v>
      </c>
      <c r="J23" s="91">
        <v>25313.272226374589</v>
      </c>
      <c r="K23" s="91">
        <v>1327.5236112303612</v>
      </c>
      <c r="L23" s="91">
        <v>1979.6305922393617</v>
      </c>
      <c r="M23" s="91">
        <v>3307.1542034697231</v>
      </c>
      <c r="N23" s="91">
        <v>1730.41962571723</v>
      </c>
      <c r="O23" s="91">
        <v>5225.1257229780858</v>
      </c>
      <c r="P23" s="91">
        <v>6955.5453486953156</v>
      </c>
      <c r="Q23" s="91">
        <v>4645.5905641662557</v>
      </c>
      <c r="R23" s="91">
        <v>8187.2475993829594</v>
      </c>
      <c r="S23" s="91">
        <v>12832.838163549215</v>
      </c>
      <c r="T23" s="91">
        <v>899.29655000000002</v>
      </c>
      <c r="U23" s="91">
        <v>1409.6728399999997</v>
      </c>
      <c r="V23" s="91">
        <v>2517.8368158038111</v>
      </c>
      <c r="W23" s="91">
        <v>3927.5096558038108</v>
      </c>
      <c r="X23" s="91">
        <v>1589.8228474087259</v>
      </c>
      <c r="Y23" s="91">
        <v>6041.7315546986219</v>
      </c>
      <c r="Z23" s="91">
        <v>7631.5544021073474</v>
      </c>
      <c r="AA23" s="91">
        <v>45364.30263575718</v>
      </c>
      <c r="AB23" s="91">
        <v>51788.133828756421</v>
      </c>
      <c r="AC23" s="91">
        <v>0.14160542143848209</v>
      </c>
      <c r="AD23" s="91"/>
      <c r="AE23" s="223">
        <f t="shared" si="1"/>
        <v>1.1416054214384821</v>
      </c>
      <c r="AF23"/>
      <c r="AG23" s="192">
        <f t="shared" si="0"/>
        <v>6.5493561699449462E-2</v>
      </c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192"/>
      <c r="BD23" s="91"/>
      <c r="BE23" s="91"/>
      <c r="BF23" s="92"/>
      <c r="BG23" s="91"/>
      <c r="BH23" s="192"/>
      <c r="BI23" s="91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8"/>
      <c r="CI23" s="98"/>
    </row>
    <row r="24" spans="1:87">
      <c r="A24" s="75">
        <v>2019</v>
      </c>
      <c r="B24">
        <v>210018</v>
      </c>
      <c r="C24" t="s">
        <v>354</v>
      </c>
      <c r="D24" t="s">
        <v>187</v>
      </c>
      <c r="E24" s="91">
        <v>89462.501149999996</v>
      </c>
      <c r="F24" s="91">
        <v>94084.358040000036</v>
      </c>
      <c r="G24" s="91">
        <v>183546.85919000005</v>
      </c>
      <c r="H24" s="91">
        <v>46375.795603919782</v>
      </c>
      <c r="I24" s="91">
        <v>33547.661607754693</v>
      </c>
      <c r="J24" s="91">
        <v>79923.457211674482</v>
      </c>
      <c r="K24" s="91">
        <v>3195.1508797942806</v>
      </c>
      <c r="L24" s="91">
        <v>1474.5285657343629</v>
      </c>
      <c r="M24" s="91">
        <v>4669.6794455286436</v>
      </c>
      <c r="N24" s="91">
        <v>5448.3659915408834</v>
      </c>
      <c r="O24" s="91">
        <v>13648.812059306814</v>
      </c>
      <c r="P24" s="91">
        <v>19097.178050847699</v>
      </c>
      <c r="Q24" s="91">
        <v>14892.872230979985</v>
      </c>
      <c r="R24" s="91">
        <v>15990.896357155812</v>
      </c>
      <c r="S24" s="91">
        <v>30883.768588135797</v>
      </c>
      <c r="T24" s="91">
        <v>1216.8544000000018</v>
      </c>
      <c r="U24" s="91">
        <v>2160.7340477090765</v>
      </c>
      <c r="V24" s="91">
        <v>4616.8023722909238</v>
      </c>
      <c r="W24" s="91">
        <v>6777.5364200000004</v>
      </c>
      <c r="X24" s="91">
        <v>17389.582396055986</v>
      </c>
      <c r="Y24" s="91">
        <v>24805.657077757427</v>
      </c>
      <c r="Z24" s="91">
        <v>42195.239473813417</v>
      </c>
      <c r="AA24" s="91">
        <v>144373.29274643239</v>
      </c>
      <c r="AB24" s="91">
        <v>159055.53414199213</v>
      </c>
      <c r="AC24" s="91">
        <v>0.10169638107060885</v>
      </c>
      <c r="AD24" s="91"/>
      <c r="AE24" s="223">
        <f t="shared" si="1"/>
        <v>1.1016963810706089</v>
      </c>
      <c r="AF24"/>
      <c r="AG24" s="192">
        <f t="shared" si="0"/>
        <v>3.6925373988471129E-2</v>
      </c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192"/>
      <c r="BD24" s="91"/>
      <c r="BE24" s="91"/>
      <c r="BF24" s="92"/>
      <c r="BG24" s="91"/>
      <c r="BH24" s="192"/>
      <c r="BI24" s="91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8"/>
      <c r="CI24" s="98"/>
    </row>
    <row r="25" spans="1:87">
      <c r="A25" s="75">
        <v>2019</v>
      </c>
      <c r="B25">
        <v>210019</v>
      </c>
      <c r="C25" t="s">
        <v>417</v>
      </c>
      <c r="D25" t="s">
        <v>187</v>
      </c>
      <c r="E25" s="91">
        <v>253081.30000000002</v>
      </c>
      <c r="F25" s="91">
        <v>206940.1</v>
      </c>
      <c r="G25" s="91">
        <v>460021.4</v>
      </c>
      <c r="H25" s="91">
        <v>134186</v>
      </c>
      <c r="I25" s="91">
        <v>98506.1</v>
      </c>
      <c r="J25" s="91">
        <v>232692.1</v>
      </c>
      <c r="K25" s="91">
        <v>10314.1</v>
      </c>
      <c r="L25" s="91">
        <v>2484.4</v>
      </c>
      <c r="M25" s="91">
        <v>12798.5</v>
      </c>
      <c r="N25" s="91">
        <v>14270.1</v>
      </c>
      <c r="O25" s="91">
        <v>17697.599999999999</v>
      </c>
      <c r="P25" s="91">
        <v>31967.699999999997</v>
      </c>
      <c r="Q25" s="91">
        <v>49406.5</v>
      </c>
      <c r="R25" s="91">
        <v>45553.9</v>
      </c>
      <c r="S25" s="91">
        <v>94960.4</v>
      </c>
      <c r="T25" s="91">
        <v>0</v>
      </c>
      <c r="U25" s="91">
        <v>8919.4</v>
      </c>
      <c r="V25" s="91">
        <v>10074</v>
      </c>
      <c r="W25" s="91">
        <v>18993.400000000001</v>
      </c>
      <c r="X25" s="91">
        <v>35985.200000000004</v>
      </c>
      <c r="Y25" s="91">
        <v>32624.1</v>
      </c>
      <c r="Z25" s="91">
        <v>68609.3</v>
      </c>
      <c r="AA25" s="91">
        <v>355380.92336199997</v>
      </c>
      <c r="AB25" s="91">
        <v>396106.49367750454</v>
      </c>
      <c r="AC25" s="91">
        <v>0.11459695115379187</v>
      </c>
      <c r="AD25" s="91"/>
      <c r="AE25" s="223">
        <f t="shared" si="1"/>
        <v>1.1145969511537919</v>
      </c>
      <c r="AF25"/>
      <c r="AG25" s="192">
        <f t="shared" si="0"/>
        <v>4.1288079206749949E-2</v>
      </c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192"/>
      <c r="BD25" s="91"/>
      <c r="BE25" s="91"/>
      <c r="BF25" s="92"/>
      <c r="BG25" s="91"/>
      <c r="BH25" s="192"/>
      <c r="BI25" s="91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8"/>
      <c r="CI25" s="98"/>
    </row>
    <row r="26" spans="1:87">
      <c r="A26" s="75">
        <v>2019</v>
      </c>
      <c r="B26">
        <v>210022</v>
      </c>
      <c r="C26" t="s">
        <v>63</v>
      </c>
      <c r="D26" t="s">
        <v>187</v>
      </c>
      <c r="E26" s="91">
        <v>206850.99128043803</v>
      </c>
      <c r="F26" s="91">
        <v>116588.28659468069</v>
      </c>
      <c r="G26" s="91">
        <v>323439.27787511871</v>
      </c>
      <c r="H26" s="91">
        <v>104978.7663461</v>
      </c>
      <c r="I26" s="91">
        <v>37768.821043943193</v>
      </c>
      <c r="J26" s="91">
        <v>142747.58739004319</v>
      </c>
      <c r="K26" s="91">
        <v>5886.03030778415</v>
      </c>
      <c r="L26" s="91">
        <v>916.89652032506399</v>
      </c>
      <c r="M26" s="91">
        <v>6802.9268281092136</v>
      </c>
      <c r="N26" s="91">
        <v>24951.441380564898</v>
      </c>
      <c r="O26" s="91">
        <v>26284.870961172201</v>
      </c>
      <c r="P26" s="91">
        <v>51236.312341737095</v>
      </c>
      <c r="Q26" s="91">
        <v>14085.124245989</v>
      </c>
      <c r="R26" s="91">
        <v>9048.5830692402287</v>
      </c>
      <c r="S26" s="91">
        <v>23133.707315229229</v>
      </c>
      <c r="T26" s="91">
        <v>1691.1545900000074</v>
      </c>
      <c r="U26" s="91">
        <v>8211.6229999999996</v>
      </c>
      <c r="V26" s="91">
        <v>4563.3670000000002</v>
      </c>
      <c r="W26" s="91">
        <v>12774.99</v>
      </c>
      <c r="X26" s="91">
        <v>48738.005999999979</v>
      </c>
      <c r="Y26" s="91">
        <v>38005.747999999985</v>
      </c>
      <c r="Z26" s="91">
        <v>86743.753999999957</v>
      </c>
      <c r="AA26" s="91">
        <v>270178.95643741125</v>
      </c>
      <c r="AB26" s="91">
        <v>296779.87042760418</v>
      </c>
      <c r="AC26" s="91">
        <v>9.8456646442615092E-2</v>
      </c>
      <c r="AD26" s="91"/>
      <c r="AE26" s="223">
        <f t="shared" si="1"/>
        <v>1.0984566464426151</v>
      </c>
      <c r="AF26"/>
      <c r="AG26" s="192">
        <f t="shared" si="0"/>
        <v>3.9497336513756622E-2</v>
      </c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192"/>
      <c r="BD26" s="91"/>
      <c r="BE26" s="91"/>
      <c r="BF26" s="92"/>
      <c r="BG26" s="91"/>
      <c r="BH26" s="192"/>
      <c r="BI26" s="91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8"/>
      <c r="CI26" s="98"/>
    </row>
    <row r="27" spans="1:87">
      <c r="A27" s="75">
        <v>2019</v>
      </c>
      <c r="B27">
        <v>210023</v>
      </c>
      <c r="C27" t="s">
        <v>418</v>
      </c>
      <c r="D27" t="s">
        <v>187</v>
      </c>
      <c r="E27" s="91">
        <v>315596.59999999998</v>
      </c>
      <c r="F27" s="91">
        <v>324794.3</v>
      </c>
      <c r="G27" s="91">
        <v>640390.89999999991</v>
      </c>
      <c r="H27" s="91">
        <v>133973.20000000001</v>
      </c>
      <c r="I27" s="91">
        <v>109812.2</v>
      </c>
      <c r="J27" s="91">
        <v>243785.40000000002</v>
      </c>
      <c r="K27" s="91">
        <v>8911.7000000000007</v>
      </c>
      <c r="L27" s="91">
        <v>2554.6</v>
      </c>
      <c r="M27" s="91">
        <v>11466.300000000001</v>
      </c>
      <c r="N27" s="91">
        <v>41193.699999999997</v>
      </c>
      <c r="O27" s="91">
        <v>58422.1</v>
      </c>
      <c r="P27" s="91">
        <v>99615.799999999988</v>
      </c>
      <c r="Q27" s="91">
        <v>46187.6</v>
      </c>
      <c r="R27" s="91">
        <v>36227.199999999997</v>
      </c>
      <c r="S27" s="91">
        <v>82414.799999999988</v>
      </c>
      <c r="T27" s="91">
        <v>4796.2</v>
      </c>
      <c r="U27" s="91">
        <v>6661.6</v>
      </c>
      <c r="V27" s="91">
        <v>14313.7</v>
      </c>
      <c r="W27" s="91">
        <v>20975.300000000003</v>
      </c>
      <c r="X27" s="91">
        <v>78668.79999999993</v>
      </c>
      <c r="Y27" s="91">
        <v>103464.49999999997</v>
      </c>
      <c r="Z27" s="91">
        <v>182133.2999999999</v>
      </c>
      <c r="AA27" s="91">
        <v>530344.11943340651</v>
      </c>
      <c r="AB27" s="91">
        <v>578009.36885896558</v>
      </c>
      <c r="AC27" s="91">
        <v>8.9876077963270795E-2</v>
      </c>
      <c r="AD27" s="91"/>
      <c r="AE27" s="223">
        <f t="shared" si="1"/>
        <v>1.0898760779632708</v>
      </c>
      <c r="AF27"/>
      <c r="AG27" s="192">
        <f t="shared" si="0"/>
        <v>3.2753900781538288E-2</v>
      </c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192"/>
      <c r="BD27" s="91"/>
      <c r="BE27" s="91"/>
      <c r="BF27" s="92"/>
      <c r="BG27" s="91"/>
      <c r="BH27" s="192"/>
      <c r="BI27" s="91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8"/>
      <c r="CI27" s="98"/>
    </row>
    <row r="28" spans="1:87">
      <c r="A28" s="75">
        <v>2019</v>
      </c>
      <c r="B28">
        <v>210024</v>
      </c>
      <c r="C28" t="s">
        <v>419</v>
      </c>
      <c r="D28" t="s">
        <v>187</v>
      </c>
      <c r="E28" s="91">
        <v>275331.92623999983</v>
      </c>
      <c r="F28" s="91">
        <v>156231.0014500001</v>
      </c>
      <c r="G28" s="91">
        <v>431562.92768999992</v>
      </c>
      <c r="H28" s="91">
        <v>144590.48369605641</v>
      </c>
      <c r="I28" s="91">
        <v>51096.86081909763</v>
      </c>
      <c r="J28" s="91">
        <v>195687.34451515405</v>
      </c>
      <c r="K28" s="91">
        <v>10026.384519030826</v>
      </c>
      <c r="L28" s="91">
        <v>3065.6947827778918</v>
      </c>
      <c r="M28" s="91">
        <v>13092.079301808717</v>
      </c>
      <c r="N28" s="91">
        <v>23003.676059127713</v>
      </c>
      <c r="O28" s="91">
        <v>20588.524994092004</v>
      </c>
      <c r="P28" s="91">
        <v>43592.201053219716</v>
      </c>
      <c r="Q28" s="91">
        <v>56904.580908995486</v>
      </c>
      <c r="R28" s="91">
        <v>37749.453934446414</v>
      </c>
      <c r="S28" s="91">
        <v>94654.034843441899</v>
      </c>
      <c r="T28" s="91">
        <v>3392.2974500000082</v>
      </c>
      <c r="U28" s="91">
        <v>4332.7228812333906</v>
      </c>
      <c r="V28" s="91">
        <v>8673.848028766608</v>
      </c>
      <c r="W28" s="91">
        <v>13006.570909999999</v>
      </c>
      <c r="X28" s="91">
        <v>36474.078175556002</v>
      </c>
      <c r="Y28" s="91">
        <v>35056.61889081954</v>
      </c>
      <c r="Z28" s="91">
        <v>71530.697066375549</v>
      </c>
      <c r="AA28" s="91">
        <v>329400.84877678216</v>
      </c>
      <c r="AB28" s="91">
        <v>361977.84092178853</v>
      </c>
      <c r="AC28" s="91">
        <v>9.8897717677352226E-2</v>
      </c>
      <c r="AD28" s="91"/>
      <c r="AE28" s="223">
        <f t="shared" si="1"/>
        <v>1.0988977176773522</v>
      </c>
      <c r="AF28"/>
      <c r="AG28" s="192">
        <f t="shared" si="0"/>
        <v>3.013829519513982E-2</v>
      </c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192"/>
      <c r="BD28" s="91"/>
      <c r="BE28" s="91"/>
      <c r="BF28" s="92"/>
      <c r="BG28" s="91"/>
      <c r="BH28" s="192"/>
      <c r="BI28" s="91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8"/>
      <c r="CI28" s="98"/>
    </row>
    <row r="29" spans="1:87">
      <c r="A29" s="75">
        <v>2019</v>
      </c>
      <c r="B29">
        <v>210027</v>
      </c>
      <c r="C29" t="s">
        <v>65</v>
      </c>
      <c r="D29" t="s">
        <v>187</v>
      </c>
      <c r="E29" s="91">
        <v>159072.40000000002</v>
      </c>
      <c r="F29" s="91">
        <v>158219.1</v>
      </c>
      <c r="G29" s="91">
        <v>317291.5</v>
      </c>
      <c r="H29" s="91">
        <v>89365.4</v>
      </c>
      <c r="I29" s="91">
        <v>72203.7</v>
      </c>
      <c r="J29" s="91">
        <v>161569.09999999998</v>
      </c>
      <c r="K29" s="91">
        <v>4608.3999999999996</v>
      </c>
      <c r="L29" s="91">
        <v>1673.1000000000001</v>
      </c>
      <c r="M29" s="91">
        <v>6281.5</v>
      </c>
      <c r="N29" s="91">
        <v>10203.599999999999</v>
      </c>
      <c r="O29" s="91">
        <v>16572.8</v>
      </c>
      <c r="P29" s="91">
        <v>26776.399999999998</v>
      </c>
      <c r="Q29" s="91">
        <v>34897.9</v>
      </c>
      <c r="R29" s="91">
        <v>37948.100000000006</v>
      </c>
      <c r="S29" s="91">
        <v>72846</v>
      </c>
      <c r="T29" s="91">
        <v>1604.3910600000004</v>
      </c>
      <c r="U29" s="91">
        <v>6033.7999999999993</v>
      </c>
      <c r="V29" s="91">
        <v>9172</v>
      </c>
      <c r="W29" s="91">
        <v>15205.8</v>
      </c>
      <c r="X29" s="91">
        <v>13963.300000000028</v>
      </c>
      <c r="Y29" s="91">
        <v>20649.399999999994</v>
      </c>
      <c r="Z29" s="91">
        <v>34612.700000000026</v>
      </c>
      <c r="AA29" s="91">
        <v>219102.78116000001</v>
      </c>
      <c r="AB29" s="91">
        <v>246306.10858375454</v>
      </c>
      <c r="AC29" s="91">
        <v>0.12408413437809296</v>
      </c>
      <c r="AD29" s="91"/>
      <c r="AE29" s="223">
        <f t="shared" si="1"/>
        <v>1.1241578371562946</v>
      </c>
      <c r="AF29"/>
      <c r="AG29" s="192">
        <f t="shared" si="0"/>
        <v>4.7923754654631466E-2</v>
      </c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192"/>
      <c r="BD29" s="91"/>
      <c r="BE29" s="91"/>
      <c r="BF29" s="92"/>
      <c r="BG29" s="91"/>
      <c r="BH29" s="192"/>
      <c r="BI29" s="91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8"/>
      <c r="CI29" s="98"/>
    </row>
    <row r="30" spans="1:87">
      <c r="A30" s="75">
        <v>2019</v>
      </c>
      <c r="B30">
        <v>210028</v>
      </c>
      <c r="C30" t="s">
        <v>357</v>
      </c>
      <c r="D30" t="s">
        <v>187</v>
      </c>
      <c r="E30" s="91">
        <v>88856.417090000075</v>
      </c>
      <c r="F30" s="91">
        <v>110169.76106000003</v>
      </c>
      <c r="G30" s="91">
        <v>199026.17815000011</v>
      </c>
      <c r="H30" s="91">
        <v>42908.165738798452</v>
      </c>
      <c r="I30" s="91">
        <v>39619.210812820253</v>
      </c>
      <c r="J30" s="91">
        <v>82527.376551618712</v>
      </c>
      <c r="K30" s="91">
        <v>1817.8065629140756</v>
      </c>
      <c r="L30" s="91">
        <v>1638.7151898032614</v>
      </c>
      <c r="M30" s="91">
        <v>3456.5217527173372</v>
      </c>
      <c r="N30" s="91">
        <v>8686.3329473423455</v>
      </c>
      <c r="O30" s="91">
        <v>14728.898922985863</v>
      </c>
      <c r="P30" s="91">
        <v>23415.231870328207</v>
      </c>
      <c r="Q30" s="91">
        <v>15639.758907626678</v>
      </c>
      <c r="R30" s="91">
        <v>18200.873797253473</v>
      </c>
      <c r="S30" s="91">
        <v>33840.632704880147</v>
      </c>
      <c r="T30" s="91">
        <v>1591.5864100000078</v>
      </c>
      <c r="U30" s="91">
        <v>1800.2173037799025</v>
      </c>
      <c r="V30" s="91">
        <v>5192.9487562200975</v>
      </c>
      <c r="W30" s="91">
        <v>6993.1660599999996</v>
      </c>
      <c r="X30" s="91">
        <v>18004.135629538621</v>
      </c>
      <c r="Y30" s="91">
        <v>30789.113580917088</v>
      </c>
      <c r="Z30" s="91">
        <v>48793.24921045571</v>
      </c>
      <c r="AA30" s="91">
        <v>139808.54796553202</v>
      </c>
      <c r="AB30" s="91">
        <v>153481.94772440373</v>
      </c>
      <c r="AC30" s="91">
        <v>9.7800885266634108E-2</v>
      </c>
      <c r="AD30" s="91"/>
      <c r="AE30" s="223">
        <f t="shared" si="1"/>
        <v>1.0978008852666341</v>
      </c>
      <c r="AF30"/>
      <c r="AG30" s="192">
        <f t="shared" si="0"/>
        <v>3.5136915781648875E-2</v>
      </c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192"/>
      <c r="BD30" s="91"/>
      <c r="BE30" s="91"/>
      <c r="BF30" s="92"/>
      <c r="BG30" s="91"/>
      <c r="BH30" s="192"/>
      <c r="BI30" s="91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8"/>
      <c r="CI30" s="98"/>
    </row>
    <row r="31" spans="1:87">
      <c r="A31" s="75">
        <v>2019</v>
      </c>
      <c r="B31">
        <v>210029</v>
      </c>
      <c r="C31" t="s">
        <v>340</v>
      </c>
      <c r="D31" t="s">
        <v>187</v>
      </c>
      <c r="E31" s="91">
        <v>376182.44223999995</v>
      </c>
      <c r="F31" s="91">
        <v>290134.03615999996</v>
      </c>
      <c r="G31" s="91">
        <v>666316.47839999991</v>
      </c>
      <c r="H31" s="91">
        <v>153352.12299999999</v>
      </c>
      <c r="I31" s="91">
        <v>86757.275999999998</v>
      </c>
      <c r="J31" s="91">
        <v>240109.39899999998</v>
      </c>
      <c r="K31" s="91">
        <v>33124.082000000002</v>
      </c>
      <c r="L31" s="91">
        <v>30783.124</v>
      </c>
      <c r="M31" s="91">
        <v>63907.206000000006</v>
      </c>
      <c r="N31" s="91">
        <v>32199.241879999998</v>
      </c>
      <c r="O31" s="91">
        <v>52195.214500000016</v>
      </c>
      <c r="P31" s="91">
        <v>84394.456380000018</v>
      </c>
      <c r="Q31" s="91">
        <v>78712.221000000005</v>
      </c>
      <c r="R31" s="91">
        <v>58716.057000000001</v>
      </c>
      <c r="S31" s="91">
        <v>137428.27799999999</v>
      </c>
      <c r="T31" s="91">
        <v>5729.1559999999999</v>
      </c>
      <c r="U31" s="91">
        <v>8288.4358964322055</v>
      </c>
      <c r="V31" s="91">
        <v>26446.564103567791</v>
      </c>
      <c r="W31" s="91">
        <v>34735</v>
      </c>
      <c r="X31" s="91">
        <v>70506.338463567765</v>
      </c>
      <c r="Y31" s="91">
        <v>35235.800556432128</v>
      </c>
      <c r="Z31" s="91">
        <v>105742.13901999989</v>
      </c>
      <c r="AA31" s="91">
        <v>597496.76666919165</v>
      </c>
      <c r="AB31" s="91">
        <v>670771.66176938021</v>
      </c>
      <c r="AC31" s="91">
        <v>0.12263647133802436</v>
      </c>
      <c r="AD31" s="91"/>
      <c r="AE31" s="223">
        <f t="shared" si="1"/>
        <v>1.1226364713380244</v>
      </c>
      <c r="AF31"/>
      <c r="AG31" s="192">
        <f t="shared" si="0"/>
        <v>5.2129882910006697E-2</v>
      </c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192"/>
      <c r="BD31" s="91"/>
      <c r="BE31" s="91"/>
      <c r="BF31" s="92"/>
      <c r="BG31" s="91"/>
      <c r="BH31" s="192"/>
      <c r="BI31" s="91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8"/>
      <c r="CI31" s="98"/>
    </row>
    <row r="32" spans="1:87">
      <c r="A32" s="75">
        <v>2019</v>
      </c>
      <c r="B32">
        <v>210030</v>
      </c>
      <c r="C32" t="s">
        <v>420</v>
      </c>
      <c r="D32" t="s">
        <v>187</v>
      </c>
      <c r="E32" s="91">
        <v>11615.196390000005</v>
      </c>
      <c r="F32" s="91">
        <v>33036.961680000008</v>
      </c>
      <c r="G32" s="91">
        <v>44652.158070000012</v>
      </c>
      <c r="H32" s="91">
        <v>6724.4465157705918</v>
      </c>
      <c r="I32" s="91">
        <v>15345.202000708874</v>
      </c>
      <c r="J32" s="91">
        <v>22069.648516479465</v>
      </c>
      <c r="K32" s="91">
        <v>-5.7533625657451051</v>
      </c>
      <c r="L32" s="91">
        <v>280.27189575457203</v>
      </c>
      <c r="M32" s="91">
        <v>274.51853318882695</v>
      </c>
      <c r="N32" s="91">
        <v>831.23984225666834</v>
      </c>
      <c r="O32" s="91">
        <v>2967.7612876775215</v>
      </c>
      <c r="P32" s="91">
        <v>3799.00112993419</v>
      </c>
      <c r="Q32" s="91">
        <v>3132.0158746588049</v>
      </c>
      <c r="R32" s="91">
        <v>7419.1788342271793</v>
      </c>
      <c r="S32" s="91">
        <v>10551.194708885985</v>
      </c>
      <c r="T32" s="91">
        <v>544.22693000000038</v>
      </c>
      <c r="U32" s="91">
        <v>713.89055782246521</v>
      </c>
      <c r="V32" s="91">
        <v>2030.5102221775351</v>
      </c>
      <c r="W32" s="91">
        <v>2744.4007800000004</v>
      </c>
      <c r="X32" s="91">
        <v>219.35696205721945</v>
      </c>
      <c r="Y32" s="91">
        <v>4994.037439454326</v>
      </c>
      <c r="Z32" s="91">
        <v>5213.3944015115458</v>
      </c>
      <c r="AA32" s="91">
        <v>32328.454654185447</v>
      </c>
      <c r="AB32" s="91">
        <v>36845.780505342955</v>
      </c>
      <c r="AC32" s="91">
        <v>0.13973219256778391</v>
      </c>
      <c r="AD32" s="91"/>
      <c r="AE32" s="223">
        <f t="shared" si="1"/>
        <v>1.1397321925677839</v>
      </c>
      <c r="AF32"/>
      <c r="AG32" s="192">
        <f t="shared" si="0"/>
        <v>6.1461772479119048E-2</v>
      </c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192"/>
      <c r="BD32" s="91"/>
      <c r="BE32" s="91"/>
      <c r="BF32" s="92"/>
      <c r="BG32" s="91"/>
      <c r="BH32" s="192"/>
      <c r="BI32" s="91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8"/>
      <c r="CI32" s="98"/>
    </row>
    <row r="33" spans="1:87">
      <c r="A33" s="75">
        <v>2019</v>
      </c>
      <c r="B33">
        <v>210032</v>
      </c>
      <c r="C33" t="s">
        <v>421</v>
      </c>
      <c r="D33" t="s">
        <v>187</v>
      </c>
      <c r="E33" s="91">
        <v>67410.899999999994</v>
      </c>
      <c r="F33" s="91">
        <v>95958.2</v>
      </c>
      <c r="G33" s="91">
        <v>163369.09999999998</v>
      </c>
      <c r="H33" s="91">
        <v>31665.5</v>
      </c>
      <c r="I33" s="91">
        <v>36193.699999999997</v>
      </c>
      <c r="J33" s="91">
        <v>67859.199999999997</v>
      </c>
      <c r="K33" s="91">
        <v>1870.4</v>
      </c>
      <c r="L33" s="91">
        <v>1236.8</v>
      </c>
      <c r="M33" s="91">
        <v>3107.2</v>
      </c>
      <c r="N33" s="91">
        <v>7737.5</v>
      </c>
      <c r="O33" s="91">
        <v>19714.3</v>
      </c>
      <c r="P33" s="91">
        <v>27451.8</v>
      </c>
      <c r="Q33" s="91">
        <v>17641.599999999999</v>
      </c>
      <c r="R33" s="91">
        <v>23496.6</v>
      </c>
      <c r="S33" s="91">
        <v>41138.199999999997</v>
      </c>
      <c r="T33" s="91">
        <v>0</v>
      </c>
      <c r="U33" s="91">
        <v>2535.6999999999998</v>
      </c>
      <c r="V33" s="91">
        <v>7301.1286700000028</v>
      </c>
      <c r="W33" s="91">
        <v>9836.8286700000026</v>
      </c>
      <c r="X33" s="91">
        <v>5960.1999999999944</v>
      </c>
      <c r="Y33" s="91">
        <v>8015.6713299999928</v>
      </c>
      <c r="Z33" s="91">
        <v>13975.871329999987</v>
      </c>
      <c r="AA33" s="91">
        <v>124052.705476</v>
      </c>
      <c r="AB33" s="91">
        <v>140685.67771196208</v>
      </c>
      <c r="AC33" s="91">
        <v>0.13407988299924667</v>
      </c>
      <c r="AD33" s="91"/>
      <c r="AE33" s="223">
        <f t="shared" si="1"/>
        <v>1.1340798829992467</v>
      </c>
      <c r="AF33"/>
      <c r="AG33" s="192">
        <f t="shared" si="0"/>
        <v>6.0212296388974441E-2</v>
      </c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192"/>
      <c r="BD33" s="91"/>
      <c r="BE33" s="91"/>
      <c r="BF33" s="92"/>
      <c r="BG33" s="91"/>
      <c r="BH33" s="192"/>
      <c r="BI33" s="91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8"/>
      <c r="CI33" s="98"/>
    </row>
    <row r="34" spans="1:87">
      <c r="A34" s="75">
        <v>2019</v>
      </c>
      <c r="B34">
        <v>210033</v>
      </c>
      <c r="C34" t="s">
        <v>422</v>
      </c>
      <c r="D34" t="s">
        <v>187</v>
      </c>
      <c r="E34" s="91">
        <v>145277.06900000002</v>
      </c>
      <c r="F34" s="91">
        <v>86467.150999999998</v>
      </c>
      <c r="G34" s="91">
        <v>231744.22000000003</v>
      </c>
      <c r="H34" s="91">
        <v>75360.665847847893</v>
      </c>
      <c r="I34" s="91">
        <v>29684.115092973319</v>
      </c>
      <c r="J34" s="91">
        <v>105044.78094082122</v>
      </c>
      <c r="K34" s="91">
        <v>3981.3024358763087</v>
      </c>
      <c r="L34" s="91">
        <v>627.27116831459341</v>
      </c>
      <c r="M34" s="91">
        <v>4608.5736041909022</v>
      </c>
      <c r="N34" s="91">
        <v>12023.087651145615</v>
      </c>
      <c r="O34" s="91">
        <v>11185.347823642009</v>
      </c>
      <c r="P34" s="91">
        <v>23208.435474787624</v>
      </c>
      <c r="Q34" s="91">
        <v>22330.74654660896</v>
      </c>
      <c r="R34" s="91">
        <v>15068.407635436986</v>
      </c>
      <c r="S34" s="91">
        <v>37399.154182045946</v>
      </c>
      <c r="T34" s="91">
        <v>0</v>
      </c>
      <c r="U34" s="91">
        <v>3266.533475837904</v>
      </c>
      <c r="V34" s="91">
        <v>4804.1000441620963</v>
      </c>
      <c r="W34" s="91">
        <v>8070.6335200000003</v>
      </c>
      <c r="X34" s="91">
        <v>28314.73304268334</v>
      </c>
      <c r="Y34" s="91">
        <v>25097.909235470994</v>
      </c>
      <c r="Z34" s="91">
        <v>53412.642278154337</v>
      </c>
      <c r="AA34" s="91">
        <v>184970.1912447135</v>
      </c>
      <c r="AB34" s="91">
        <v>203384.1218538839</v>
      </c>
      <c r="AC34" s="91">
        <v>9.9550800511467141E-2</v>
      </c>
      <c r="AD34" s="91"/>
      <c r="AE34" s="223">
        <f t="shared" si="1"/>
        <v>1.0995508005114671</v>
      </c>
      <c r="AF34"/>
      <c r="AG34" s="192">
        <f t="shared" si="0"/>
        <v>3.4825608681847593E-2</v>
      </c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192"/>
      <c r="BD34" s="91"/>
      <c r="BE34" s="91"/>
      <c r="BF34" s="92"/>
      <c r="BG34" s="91"/>
      <c r="BH34" s="192"/>
      <c r="BI34" s="91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8"/>
      <c r="CI34" s="98"/>
    </row>
    <row r="35" spans="1:87">
      <c r="A35" s="75">
        <v>2019</v>
      </c>
      <c r="B35">
        <v>210034</v>
      </c>
      <c r="C35" t="s">
        <v>423</v>
      </c>
      <c r="D35" t="s">
        <v>187</v>
      </c>
      <c r="E35" s="91">
        <v>119076.22818000003</v>
      </c>
      <c r="F35" s="91">
        <v>64789.999379999972</v>
      </c>
      <c r="G35" s="91">
        <v>183866.22756</v>
      </c>
      <c r="H35" s="91">
        <v>41361.83758875772</v>
      </c>
      <c r="I35" s="91">
        <v>11965.432723105709</v>
      </c>
      <c r="J35" s="91">
        <v>53327.270311863431</v>
      </c>
      <c r="K35" s="91">
        <v>5467.2882438163779</v>
      </c>
      <c r="L35" s="91">
        <v>1575.2290022873387</v>
      </c>
      <c r="M35" s="91">
        <v>7042.5172461037164</v>
      </c>
      <c r="N35" s="91">
        <v>6643.787427041807</v>
      </c>
      <c r="O35" s="91">
        <v>7905.0938581616047</v>
      </c>
      <c r="P35" s="91">
        <v>14548.881285203412</v>
      </c>
      <c r="Q35" s="91">
        <v>48958.454734312938</v>
      </c>
      <c r="R35" s="91">
        <v>26967.662432558544</v>
      </c>
      <c r="S35" s="91">
        <v>75926.117166871481</v>
      </c>
      <c r="T35" s="91">
        <v>1380.9234800000086</v>
      </c>
      <c r="U35" s="91">
        <v>3907.8371320800879</v>
      </c>
      <c r="V35" s="91">
        <v>5234.038337919912</v>
      </c>
      <c r="W35" s="91">
        <v>9141.875469999999</v>
      </c>
      <c r="X35" s="91">
        <v>12737.023053991106</v>
      </c>
      <c r="Y35" s="91">
        <v>11142.543025966857</v>
      </c>
      <c r="Z35" s="91">
        <v>23879.566079957964</v>
      </c>
      <c r="AA35" s="91">
        <v>144598.3791026659</v>
      </c>
      <c r="AB35" s="91">
        <v>162704.62119235232</v>
      </c>
      <c r="AC35" s="91">
        <v>0.12521746233981546</v>
      </c>
      <c r="AD35" s="91"/>
      <c r="AE35" s="223">
        <f t="shared" si="1"/>
        <v>1.1252174623398155</v>
      </c>
      <c r="AF35"/>
      <c r="AG35" s="192">
        <f t="shared" si="0"/>
        <v>4.9720253639384558E-2</v>
      </c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192"/>
      <c r="BD35" s="91"/>
      <c r="BE35" s="91"/>
      <c r="BF35" s="92"/>
      <c r="BG35" s="91"/>
      <c r="BH35" s="192"/>
      <c r="BI35" s="91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8"/>
      <c r="CI35" s="98"/>
    </row>
    <row r="36" spans="1:87">
      <c r="A36" s="75">
        <v>2019</v>
      </c>
      <c r="B36">
        <v>210035</v>
      </c>
      <c r="C36" t="s">
        <v>360</v>
      </c>
      <c r="D36" t="s">
        <v>187</v>
      </c>
      <c r="E36" s="91">
        <v>88067.740889999986</v>
      </c>
      <c r="F36" s="91">
        <v>67121.788329999981</v>
      </c>
      <c r="G36" s="91">
        <v>155189.52921999997</v>
      </c>
      <c r="H36" s="91">
        <v>50227.429093391031</v>
      </c>
      <c r="I36" s="91">
        <v>19271.245583163658</v>
      </c>
      <c r="J36" s="91">
        <v>69498.674676554685</v>
      </c>
      <c r="K36" s="91">
        <v>2741.3325931336476</v>
      </c>
      <c r="L36" s="91">
        <v>1438.2489748852606</v>
      </c>
      <c r="M36" s="91">
        <v>4179.581568018908</v>
      </c>
      <c r="N36" s="91">
        <v>6583.3146086822171</v>
      </c>
      <c r="O36" s="91">
        <v>10115.538436163353</v>
      </c>
      <c r="P36" s="91">
        <v>16698.853044845571</v>
      </c>
      <c r="Q36" s="91">
        <v>12795.010494503867</v>
      </c>
      <c r="R36" s="91">
        <v>12585.515682549179</v>
      </c>
      <c r="S36" s="91">
        <v>25380.526177053049</v>
      </c>
      <c r="T36" s="91">
        <v>1179.3330000000001</v>
      </c>
      <c r="U36" s="91">
        <v>5477.9333830314317</v>
      </c>
      <c r="V36" s="91">
        <v>4175.0666169685674</v>
      </c>
      <c r="W36" s="91">
        <v>9653</v>
      </c>
      <c r="X36" s="91">
        <v>10242.720717257789</v>
      </c>
      <c r="Y36" s="91">
        <v>19536.173036269956</v>
      </c>
      <c r="Z36" s="91">
        <v>29778.893753527744</v>
      </c>
      <c r="AA36" s="91">
        <v>122134.51742824896</v>
      </c>
      <c r="AB36" s="91">
        <v>138427.9117701184</v>
      </c>
      <c r="AC36" s="91">
        <v>0.13340531968320435</v>
      </c>
      <c r="AD36" s="91"/>
      <c r="AE36" s="223">
        <f t="shared" si="1"/>
        <v>1.1334053196832043</v>
      </c>
      <c r="AF36"/>
      <c r="AG36" s="192">
        <f t="shared" si="0"/>
        <v>6.2201361448269508E-2</v>
      </c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192"/>
      <c r="BD36" s="91"/>
      <c r="BE36" s="91"/>
      <c r="BF36" s="92"/>
      <c r="BG36" s="91"/>
      <c r="BH36" s="192"/>
      <c r="BI36" s="91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8"/>
      <c r="CI36" s="98"/>
    </row>
    <row r="37" spans="1:87">
      <c r="A37" s="75">
        <v>2019</v>
      </c>
      <c r="B37">
        <v>210037</v>
      </c>
      <c r="C37" t="s">
        <v>424</v>
      </c>
      <c r="D37" t="s">
        <v>187</v>
      </c>
      <c r="E37" s="91">
        <v>115542.04308</v>
      </c>
      <c r="F37" s="91">
        <v>121971.48346000002</v>
      </c>
      <c r="G37" s="91">
        <v>237513.52654000002</v>
      </c>
      <c r="H37" s="91">
        <v>67598.656694226142</v>
      </c>
      <c r="I37" s="91">
        <v>61202.696761773172</v>
      </c>
      <c r="J37" s="91">
        <v>128801.35345599931</v>
      </c>
      <c r="K37" s="91">
        <v>4525.7778378272415</v>
      </c>
      <c r="L37" s="91">
        <v>1569.9974805990212</v>
      </c>
      <c r="M37" s="91">
        <v>6095.7753184262629</v>
      </c>
      <c r="N37" s="91">
        <v>7235.9377657820314</v>
      </c>
      <c r="O37" s="91">
        <v>9988.3558028803236</v>
      </c>
      <c r="P37" s="91">
        <v>17224.293568662353</v>
      </c>
      <c r="Q37" s="91">
        <v>20556.469513396136</v>
      </c>
      <c r="R37" s="91">
        <v>22923.961634593448</v>
      </c>
      <c r="S37" s="91">
        <v>43480.431147989584</v>
      </c>
      <c r="T37" s="91">
        <v>1829.4600000000003</v>
      </c>
      <c r="U37" s="91">
        <v>4042.9425762581923</v>
      </c>
      <c r="V37" s="91">
        <v>4267.9157337418092</v>
      </c>
      <c r="W37" s="91">
        <v>8310.8583100000014</v>
      </c>
      <c r="X37" s="91">
        <v>11582.258692510262</v>
      </c>
      <c r="Y37" s="91">
        <v>22018.556046412246</v>
      </c>
      <c r="Z37" s="91">
        <v>33600.814738922505</v>
      </c>
      <c r="AA37" s="91">
        <v>159503.69047465632</v>
      </c>
      <c r="AB37" s="91">
        <v>176720.352744117</v>
      </c>
      <c r="AC37" s="91">
        <v>0.10793895876783011</v>
      </c>
      <c r="AD37" s="91"/>
      <c r="AE37" s="223">
        <f t="shared" si="1"/>
        <v>1.1079389587678301</v>
      </c>
      <c r="AF37"/>
      <c r="AG37" s="192">
        <f t="shared" si="0"/>
        <v>3.4991094743399204E-2</v>
      </c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192"/>
      <c r="BD37" s="91"/>
      <c r="BE37" s="91"/>
      <c r="BF37" s="92"/>
      <c r="BG37" s="91"/>
      <c r="BH37" s="192"/>
      <c r="BI37" s="91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8"/>
      <c r="CI37" s="98"/>
    </row>
    <row r="38" spans="1:87">
      <c r="A38" s="75">
        <v>2019</v>
      </c>
      <c r="B38">
        <v>210038</v>
      </c>
      <c r="C38" t="s">
        <v>425</v>
      </c>
      <c r="D38" t="s">
        <v>187</v>
      </c>
      <c r="E38" s="91">
        <v>117588.17297</v>
      </c>
      <c r="F38" s="91">
        <v>98950.316370000015</v>
      </c>
      <c r="G38" s="91">
        <v>216538.48934000003</v>
      </c>
      <c r="H38" s="91">
        <v>44787.646955294018</v>
      </c>
      <c r="I38" s="91">
        <v>25825.671921498004</v>
      </c>
      <c r="J38" s="91">
        <v>70613.318876792022</v>
      </c>
      <c r="K38" s="91">
        <v>10349.063746871407</v>
      </c>
      <c r="L38" s="91">
        <v>4352.5039802266647</v>
      </c>
      <c r="M38" s="91">
        <v>14701.56772709807</v>
      </c>
      <c r="N38" s="91">
        <v>4376.7528941283235</v>
      </c>
      <c r="O38" s="91">
        <v>7478.4714950431708</v>
      </c>
      <c r="P38" s="91">
        <v>11855.224389171493</v>
      </c>
      <c r="Q38" s="91">
        <v>47318.21343812783</v>
      </c>
      <c r="R38" s="91">
        <v>41302.509193509082</v>
      </c>
      <c r="S38" s="91">
        <v>88620.72263163692</v>
      </c>
      <c r="T38" s="91">
        <v>3913.9231899999613</v>
      </c>
      <c r="U38" s="91">
        <v>5231.064803640742</v>
      </c>
      <c r="V38" s="91">
        <v>4401.935196359258</v>
      </c>
      <c r="W38" s="91">
        <v>9633</v>
      </c>
      <c r="X38" s="91">
        <v>5525.4311319376739</v>
      </c>
      <c r="Y38" s="91">
        <v>15589.224583363835</v>
      </c>
      <c r="Z38" s="91">
        <v>21114.655715301509</v>
      </c>
      <c r="AA38" s="91">
        <v>180676.56622992046</v>
      </c>
      <c r="AB38" s="91">
        <v>202975.69989348904</v>
      </c>
      <c r="AC38" s="91">
        <v>0.12342017633427771</v>
      </c>
      <c r="AD38" s="91"/>
      <c r="AE38" s="223">
        <f t="shared" si="1"/>
        <v>1.1234201763342777</v>
      </c>
      <c r="AF38"/>
      <c r="AG38" s="192">
        <f t="shared" si="0"/>
        <v>4.4486317556573743E-2</v>
      </c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192"/>
      <c r="BD38" s="91"/>
      <c r="BE38" s="91"/>
      <c r="BF38" s="92"/>
      <c r="BG38" s="91"/>
      <c r="BH38" s="192"/>
      <c r="BI38" s="91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8"/>
      <c r="CI38" s="98"/>
    </row>
    <row r="39" spans="1:87">
      <c r="A39" s="75">
        <v>2019</v>
      </c>
      <c r="B39">
        <v>210039</v>
      </c>
      <c r="C39" t="s">
        <v>426</v>
      </c>
      <c r="D39" t="s">
        <v>187</v>
      </c>
      <c r="E39" s="91">
        <v>79468</v>
      </c>
      <c r="F39" s="91">
        <v>77550.399999999994</v>
      </c>
      <c r="G39" s="91">
        <v>157018.4</v>
      </c>
      <c r="H39" s="91">
        <v>45407.344704772695</v>
      </c>
      <c r="I39" s="91">
        <v>33764.823133713529</v>
      </c>
      <c r="J39" s="91">
        <v>79172.167838486232</v>
      </c>
      <c r="K39" s="91">
        <v>1359.9096288396022</v>
      </c>
      <c r="L39" s="91">
        <v>681.18545122640603</v>
      </c>
      <c r="M39" s="91">
        <v>2041.0950800660082</v>
      </c>
      <c r="N39" s="91">
        <v>3899.4045571921847</v>
      </c>
      <c r="O39" s="91">
        <v>6325.4981229077193</v>
      </c>
      <c r="P39" s="91">
        <v>10224.902680099904</v>
      </c>
      <c r="Q39" s="91">
        <v>13852.081290535509</v>
      </c>
      <c r="R39" s="91">
        <v>13522.486501624857</v>
      </c>
      <c r="S39" s="91">
        <v>27374.567792160364</v>
      </c>
      <c r="T39" s="91">
        <v>1184.367</v>
      </c>
      <c r="U39" s="91">
        <v>1310.6988699999999</v>
      </c>
      <c r="V39" s="91">
        <v>3670.1607199999999</v>
      </c>
      <c r="W39" s="91">
        <v>4980.85959</v>
      </c>
      <c r="X39" s="91">
        <v>13638.560948660008</v>
      </c>
      <c r="Y39" s="91">
        <v>19586.246070527486</v>
      </c>
      <c r="Z39" s="91">
        <v>33224.807019187494</v>
      </c>
      <c r="AA39" s="91">
        <v>125172.53828937659</v>
      </c>
      <c r="AB39" s="91">
        <v>137666.23054295679</v>
      </c>
      <c r="AC39" s="91">
        <v>9.9770040938981674E-2</v>
      </c>
      <c r="AD39" s="91"/>
      <c r="AE39" s="223">
        <f t="shared" si="1"/>
        <v>1.0998117672160408</v>
      </c>
      <c r="AF39"/>
      <c r="AG39" s="192">
        <f t="shared" si="0"/>
        <v>3.1721502639181144E-2</v>
      </c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192"/>
      <c r="BD39" s="91"/>
      <c r="BE39" s="91"/>
      <c r="BF39" s="92"/>
      <c r="BG39" s="91"/>
      <c r="BH39" s="192"/>
      <c r="BI39" s="91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8"/>
      <c r="CI39" s="98"/>
    </row>
    <row r="40" spans="1:87">
      <c r="A40" s="75">
        <v>2019</v>
      </c>
      <c r="B40">
        <v>210040</v>
      </c>
      <c r="C40" t="s">
        <v>427</v>
      </c>
      <c r="D40" t="s">
        <v>187</v>
      </c>
      <c r="E40" s="91">
        <v>141331.83535999991</v>
      </c>
      <c r="F40" s="91">
        <v>126747.27354000002</v>
      </c>
      <c r="G40" s="91">
        <v>268079.10889999993</v>
      </c>
      <c r="H40" s="91">
        <v>70595.927721888511</v>
      </c>
      <c r="I40" s="91">
        <v>45574.03220392514</v>
      </c>
      <c r="J40" s="91">
        <v>116169.95992581366</v>
      </c>
      <c r="K40" s="91">
        <v>9378.1963046991877</v>
      </c>
      <c r="L40" s="91">
        <v>2092.2502491582745</v>
      </c>
      <c r="M40" s="91">
        <v>11470.446553857462</v>
      </c>
      <c r="N40" s="91">
        <v>11380.819709496873</v>
      </c>
      <c r="O40" s="91">
        <v>17720.636772169422</v>
      </c>
      <c r="P40" s="91">
        <v>29101.456481666297</v>
      </c>
      <c r="Q40" s="91">
        <v>32444.459724345765</v>
      </c>
      <c r="R40" s="91">
        <v>28067.811314551338</v>
      </c>
      <c r="S40" s="91">
        <v>60512.271038897103</v>
      </c>
      <c r="T40" s="91">
        <v>0</v>
      </c>
      <c r="U40" s="91">
        <v>4728.948524075965</v>
      </c>
      <c r="V40" s="91">
        <v>12753.027735924034</v>
      </c>
      <c r="W40" s="91">
        <v>17481.976259999999</v>
      </c>
      <c r="X40" s="91">
        <v>12803.483375493612</v>
      </c>
      <c r="Y40" s="91">
        <v>20539.515264271824</v>
      </c>
      <c r="Z40" s="91">
        <v>33342.998639765436</v>
      </c>
      <c r="AA40" s="91">
        <v>194507.91761863593</v>
      </c>
      <c r="AB40" s="91">
        <v>222069.16609930317</v>
      </c>
      <c r="AC40" s="91">
        <v>0.1416973088710225</v>
      </c>
      <c r="AD40" s="91"/>
      <c r="AE40" s="223">
        <f t="shared" si="1"/>
        <v>1.1416973088710225</v>
      </c>
      <c r="AF40"/>
      <c r="AG40" s="192">
        <f t="shared" si="0"/>
        <v>6.5212005261182829E-2</v>
      </c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192"/>
      <c r="BD40" s="91"/>
      <c r="BE40" s="91"/>
      <c r="BF40" s="92"/>
      <c r="BG40" s="91"/>
      <c r="BH40" s="192"/>
      <c r="BI40" s="91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8"/>
      <c r="CI40" s="98"/>
    </row>
    <row r="41" spans="1:87">
      <c r="A41" s="75">
        <v>2019</v>
      </c>
      <c r="B41">
        <v>210043</v>
      </c>
      <c r="C41" t="s">
        <v>362</v>
      </c>
      <c r="D41" t="s">
        <v>187</v>
      </c>
      <c r="E41" s="91">
        <v>278706.95785000006</v>
      </c>
      <c r="F41" s="91">
        <v>160077.17693000005</v>
      </c>
      <c r="G41" s="91">
        <v>438784.13478000008</v>
      </c>
      <c r="H41" s="91">
        <v>109869.55788775544</v>
      </c>
      <c r="I41" s="91">
        <v>50523.451472680899</v>
      </c>
      <c r="J41" s="91">
        <v>160393.00936043635</v>
      </c>
      <c r="K41" s="91">
        <v>14410.004497175831</v>
      </c>
      <c r="L41" s="91">
        <v>3194.4417152761071</v>
      </c>
      <c r="M41" s="91">
        <v>17604.446212451938</v>
      </c>
      <c r="N41" s="91">
        <v>14972.796781862105</v>
      </c>
      <c r="O41" s="91">
        <v>16483.695075279495</v>
      </c>
      <c r="P41" s="91">
        <v>31456.491857141598</v>
      </c>
      <c r="Q41" s="91">
        <v>71238.850575622346</v>
      </c>
      <c r="R41" s="91">
        <v>35804.141834579335</v>
      </c>
      <c r="S41" s="91">
        <v>107042.99241020168</v>
      </c>
      <c r="T41" s="91">
        <v>2266.9639699999893</v>
      </c>
      <c r="U41" s="91">
        <v>15937.304303220895</v>
      </c>
      <c r="V41" s="91">
        <v>9153.6956967791084</v>
      </c>
      <c r="W41" s="91">
        <v>25091.000000000004</v>
      </c>
      <c r="X41" s="91">
        <v>52278.443804363444</v>
      </c>
      <c r="Y41" s="91">
        <v>44917.751135405109</v>
      </c>
      <c r="Z41" s="91">
        <v>97196.194939768553</v>
      </c>
      <c r="AA41" s="91">
        <v>355162.82929992548</v>
      </c>
      <c r="AB41" s="91">
        <v>400574.06884405989</v>
      </c>
      <c r="AC41" s="91">
        <v>0.12786033840772748</v>
      </c>
      <c r="AD41" s="91"/>
      <c r="AE41" s="223">
        <f t="shared" si="1"/>
        <v>1.1278603384077275</v>
      </c>
      <c r="AF41"/>
      <c r="AG41" s="192">
        <f t="shared" ref="AG41:AG58" si="2">+W41/G41</f>
        <v>5.7183015544945037E-2</v>
      </c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192"/>
      <c r="BD41" s="91"/>
      <c r="BE41" s="91"/>
      <c r="BF41" s="92"/>
      <c r="BG41" s="91"/>
      <c r="BH41" s="192"/>
      <c r="BI41" s="91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8"/>
      <c r="CI41" s="98"/>
    </row>
    <row r="42" spans="1:87">
      <c r="A42" s="75">
        <v>2019</v>
      </c>
      <c r="B42">
        <v>210044</v>
      </c>
      <c r="C42" t="s">
        <v>71</v>
      </c>
      <c r="D42" t="s">
        <v>187</v>
      </c>
      <c r="E42" s="91">
        <v>237357.89935521723</v>
      </c>
      <c r="F42" s="91">
        <v>235186.49969478266</v>
      </c>
      <c r="G42" s="91">
        <v>472544.39904999989</v>
      </c>
      <c r="H42" s="91">
        <v>83152.570208751189</v>
      </c>
      <c r="I42" s="91">
        <v>78276.37856782673</v>
      </c>
      <c r="J42" s="91">
        <v>161428.94877657792</v>
      </c>
      <c r="K42" s="91">
        <v>3143.6789111013195</v>
      </c>
      <c r="L42" s="91">
        <v>1295.8544626237192</v>
      </c>
      <c r="M42" s="91">
        <v>4439.5333737250385</v>
      </c>
      <c r="N42" s="91">
        <v>24436.936351977263</v>
      </c>
      <c r="O42" s="91">
        <v>30973.926949042136</v>
      </c>
      <c r="P42" s="91">
        <v>55410.863301019403</v>
      </c>
      <c r="Q42" s="91">
        <v>50451.313641976936</v>
      </c>
      <c r="R42" s="91">
        <v>35553.712387077321</v>
      </c>
      <c r="S42" s="91">
        <v>86005.02602905425</v>
      </c>
      <c r="T42" s="91">
        <v>198.16855999999999</v>
      </c>
      <c r="U42" s="91">
        <v>6400</v>
      </c>
      <c r="V42" s="91">
        <v>7448</v>
      </c>
      <c r="W42" s="91">
        <v>13848</v>
      </c>
      <c r="X42" s="91">
        <v>69773.400241410534</v>
      </c>
      <c r="Y42" s="91">
        <v>81638.627328212766</v>
      </c>
      <c r="Z42" s="91">
        <v>151412.02756962331</v>
      </c>
      <c r="AA42" s="91">
        <v>377518.51169493899</v>
      </c>
      <c r="AB42" s="91">
        <v>410060.72586958646</v>
      </c>
      <c r="AC42" s="91">
        <v>8.6200313803270756E-2</v>
      </c>
      <c r="AD42" s="91"/>
      <c r="AE42" s="223">
        <f t="shared" si="1"/>
        <v>1.0862003138032708</v>
      </c>
      <c r="AF42"/>
      <c r="AG42" s="192">
        <f t="shared" si="2"/>
        <v>2.9305182809996111E-2</v>
      </c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192"/>
      <c r="BD42" s="91"/>
      <c r="BE42" s="91"/>
      <c r="BF42" s="92"/>
      <c r="BG42" s="91"/>
      <c r="BH42" s="192"/>
      <c r="BI42" s="91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8"/>
      <c r="CI42" s="98"/>
    </row>
    <row r="43" spans="1:87">
      <c r="A43" s="75">
        <v>2019</v>
      </c>
      <c r="B43">
        <v>210045</v>
      </c>
      <c r="C43" t="s">
        <v>428</v>
      </c>
      <c r="D43" t="s">
        <v>187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/>
      <c r="AE43" s="223" t="e">
        <f t="shared" si="1"/>
        <v>#DIV/0!</v>
      </c>
      <c r="AF43"/>
      <c r="AG43" s="192" t="e">
        <f t="shared" si="2"/>
        <v>#DIV/0!</v>
      </c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192"/>
      <c r="BD43" s="91"/>
      <c r="BE43" s="91"/>
      <c r="BF43" s="92"/>
      <c r="BG43" s="91"/>
      <c r="BH43" s="192"/>
      <c r="BI43" s="91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8"/>
      <c r="CI43" s="98"/>
    </row>
    <row r="44" spans="1:87">
      <c r="A44" s="75">
        <v>2019</v>
      </c>
      <c r="B44">
        <v>210048</v>
      </c>
      <c r="C44" t="s">
        <v>429</v>
      </c>
      <c r="D44" t="s">
        <v>187</v>
      </c>
      <c r="E44" s="91">
        <v>191637.253</v>
      </c>
      <c r="F44" s="91">
        <v>109091.57500000001</v>
      </c>
      <c r="G44" s="91">
        <v>300728.82799999998</v>
      </c>
      <c r="H44" s="91">
        <v>72785.111999999994</v>
      </c>
      <c r="I44" s="91">
        <v>23452.489000000001</v>
      </c>
      <c r="J44" s="91">
        <v>96237.600999999995</v>
      </c>
      <c r="K44" s="91">
        <v>11573.61</v>
      </c>
      <c r="L44" s="91">
        <v>3908.7779999999998</v>
      </c>
      <c r="M44" s="91">
        <v>15482.388000000001</v>
      </c>
      <c r="N44" s="91">
        <v>20571.316999999999</v>
      </c>
      <c r="O44" s="91">
        <v>15134.93</v>
      </c>
      <c r="P44" s="91">
        <v>35706.247000000003</v>
      </c>
      <c r="Q44" s="91">
        <v>21339.914000000001</v>
      </c>
      <c r="R44" s="91">
        <v>14402.578</v>
      </c>
      <c r="S44" s="91">
        <v>35742.491999999998</v>
      </c>
      <c r="T44" s="91">
        <v>1920.827</v>
      </c>
      <c r="U44" s="91">
        <v>8278</v>
      </c>
      <c r="V44" s="91">
        <v>7479</v>
      </c>
      <c r="W44" s="91">
        <v>15757</v>
      </c>
      <c r="X44" s="91">
        <v>57089.3</v>
      </c>
      <c r="Y44" s="91">
        <v>44713.799999999996</v>
      </c>
      <c r="Z44" s="91">
        <v>101803.1</v>
      </c>
      <c r="AA44" s="91">
        <v>251425.30891948615</v>
      </c>
      <c r="AB44" s="91">
        <v>279291.56939784193</v>
      </c>
      <c r="AC44" s="91">
        <v>0.11083315597030596</v>
      </c>
      <c r="AD44" s="91"/>
      <c r="AE44" s="223">
        <f t="shared" si="1"/>
        <v>1.110833155970306</v>
      </c>
      <c r="AF44"/>
      <c r="AG44" s="192">
        <f t="shared" si="2"/>
        <v>5.2396040994114476E-2</v>
      </c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192"/>
      <c r="BD44" s="91"/>
      <c r="BE44" s="91"/>
      <c r="BF44" s="92"/>
      <c r="BG44" s="91"/>
      <c r="BH44" s="192"/>
      <c r="BI44" s="91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8"/>
      <c r="CI44" s="98"/>
    </row>
    <row r="45" spans="1:87">
      <c r="A45" s="75">
        <v>2019</v>
      </c>
      <c r="B45">
        <v>210049</v>
      </c>
      <c r="C45" t="s">
        <v>364</v>
      </c>
      <c r="D45" t="s">
        <v>187</v>
      </c>
      <c r="E45" s="91">
        <v>160756.6966</v>
      </c>
      <c r="F45" s="91">
        <v>151483.82386</v>
      </c>
      <c r="G45" s="91">
        <v>312240.52046000003</v>
      </c>
      <c r="H45" s="91">
        <v>81476.464175704081</v>
      </c>
      <c r="I45" s="91">
        <v>54940.123084681429</v>
      </c>
      <c r="J45" s="91">
        <v>136416.58726038551</v>
      </c>
      <c r="K45" s="91">
        <v>3746.9900967138706</v>
      </c>
      <c r="L45" s="91">
        <v>2299.4405068099413</v>
      </c>
      <c r="M45" s="91">
        <v>6046.4306035238114</v>
      </c>
      <c r="N45" s="91">
        <v>10764.884619575003</v>
      </c>
      <c r="O45" s="91">
        <v>17290.098700979863</v>
      </c>
      <c r="P45" s="91">
        <v>28054.983320554864</v>
      </c>
      <c r="Q45" s="91">
        <v>24378.120465814576</v>
      </c>
      <c r="R45" s="91">
        <v>21688.280141554445</v>
      </c>
      <c r="S45" s="91">
        <v>46066.400607369025</v>
      </c>
      <c r="T45" s="91">
        <v>1471.0947000000017</v>
      </c>
      <c r="U45" s="91">
        <v>9677.7470945144505</v>
      </c>
      <c r="V45" s="91">
        <v>9119.5089674855517</v>
      </c>
      <c r="W45" s="91">
        <v>18797.256062</v>
      </c>
      <c r="X45" s="91">
        <v>30712.490147678014</v>
      </c>
      <c r="Y45" s="91">
        <v>46146.372458488768</v>
      </c>
      <c r="Z45" s="91">
        <v>76858.862606166775</v>
      </c>
      <c r="AA45" s="91">
        <v>256959.5968888902</v>
      </c>
      <c r="AB45" s="91">
        <v>289917.76762166555</v>
      </c>
      <c r="AC45" s="91">
        <v>0.12826207361706965</v>
      </c>
      <c r="AD45" s="91"/>
      <c r="AE45" s="223">
        <f t="shared" si="1"/>
        <v>1.1282620736170696</v>
      </c>
      <c r="AF45"/>
      <c r="AG45" s="192">
        <f t="shared" si="2"/>
        <v>6.0201206538816436E-2</v>
      </c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192"/>
      <c r="BD45" s="91"/>
      <c r="BE45" s="91"/>
      <c r="BF45" s="92"/>
      <c r="BG45" s="91"/>
      <c r="BH45" s="192"/>
      <c r="BI45" s="91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8"/>
      <c r="CI45" s="98"/>
    </row>
    <row r="46" spans="1:87">
      <c r="A46" s="75">
        <v>2019</v>
      </c>
      <c r="B46">
        <v>210051</v>
      </c>
      <c r="C46" t="s">
        <v>430</v>
      </c>
      <c r="D46" t="s">
        <v>187</v>
      </c>
      <c r="E46" s="91">
        <v>150967.41027999998</v>
      </c>
      <c r="F46" s="91">
        <v>105674.90562999999</v>
      </c>
      <c r="G46" s="91">
        <v>256642.31590999998</v>
      </c>
      <c r="H46" s="91">
        <v>67413.411590771109</v>
      </c>
      <c r="I46" s="91">
        <v>31474.912657534507</v>
      </c>
      <c r="J46" s="91">
        <v>98888.324248305609</v>
      </c>
      <c r="K46" s="91">
        <v>10873.169879976153</v>
      </c>
      <c r="L46" s="91">
        <v>3751.0002885776294</v>
      </c>
      <c r="M46" s="91">
        <v>14624.170168553781</v>
      </c>
      <c r="N46" s="91">
        <v>18244.334857596205</v>
      </c>
      <c r="O46" s="91">
        <v>19743.178766434852</v>
      </c>
      <c r="P46" s="91">
        <v>37987.513624031053</v>
      </c>
      <c r="Q46" s="91">
        <v>27271.53911962279</v>
      </c>
      <c r="R46" s="91">
        <v>23222.270600645941</v>
      </c>
      <c r="S46" s="91">
        <v>50493.809720268735</v>
      </c>
      <c r="T46" s="91">
        <v>804.01474999999857</v>
      </c>
      <c r="U46" s="91">
        <v>10403.417814728646</v>
      </c>
      <c r="V46" s="91">
        <v>7199.1843352713531</v>
      </c>
      <c r="W46" s="91">
        <v>17602.602149999999</v>
      </c>
      <c r="X46" s="91">
        <v>16761.537017305083</v>
      </c>
      <c r="Y46" s="91">
        <v>20284.358981535712</v>
      </c>
      <c r="Z46" s="91">
        <v>37045.895998840795</v>
      </c>
      <c r="AA46" s="91">
        <v>204748.6609800616</v>
      </c>
      <c r="AB46" s="91">
        <v>233749.09280220658</v>
      </c>
      <c r="AC46" s="91">
        <v>0.14163917694665185</v>
      </c>
      <c r="AD46" s="91"/>
      <c r="AE46" s="223">
        <f t="shared" si="1"/>
        <v>1.1416391769466518</v>
      </c>
      <c r="AF46"/>
      <c r="AG46" s="192">
        <f t="shared" si="2"/>
        <v>6.8588073979869033E-2</v>
      </c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192"/>
      <c r="BD46" s="91"/>
      <c r="BE46" s="91"/>
      <c r="BF46" s="92"/>
      <c r="BG46" s="91"/>
      <c r="BH46" s="192"/>
      <c r="BI46" s="91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8"/>
      <c r="CI46" s="98"/>
    </row>
    <row r="47" spans="1:87">
      <c r="A47" s="75">
        <v>2019</v>
      </c>
      <c r="B47">
        <v>210055</v>
      </c>
      <c r="C47" t="s">
        <v>431</v>
      </c>
      <c r="D47" t="s">
        <v>187</v>
      </c>
      <c r="E47" s="91">
        <v>0</v>
      </c>
      <c r="F47" s="91">
        <v>31679.107449999967</v>
      </c>
      <c r="G47" s="91">
        <v>31679.107449999967</v>
      </c>
      <c r="H47" s="91">
        <v>0</v>
      </c>
      <c r="I47" s="91">
        <v>6096.3805398346421</v>
      </c>
      <c r="J47" s="91">
        <v>6096.3805398346421</v>
      </c>
      <c r="K47" s="91">
        <v>0</v>
      </c>
      <c r="L47" s="91">
        <v>1124.2249279383407</v>
      </c>
      <c r="M47" s="91">
        <v>1124.2249279383407</v>
      </c>
      <c r="N47" s="91">
        <v>0</v>
      </c>
      <c r="O47" s="91">
        <v>4499.3555708151935</v>
      </c>
      <c r="P47" s="91">
        <v>4499.3555708151935</v>
      </c>
      <c r="Q47" s="91">
        <v>0</v>
      </c>
      <c r="R47" s="91">
        <v>7409.4858124920347</v>
      </c>
      <c r="S47" s="91">
        <v>7409.4858124920347</v>
      </c>
      <c r="T47" s="91">
        <v>168.0010199999999</v>
      </c>
      <c r="U47" s="91">
        <v>0</v>
      </c>
      <c r="V47" s="91">
        <v>3956</v>
      </c>
      <c r="W47" s="91">
        <v>3956</v>
      </c>
      <c r="X47" s="91">
        <v>0</v>
      </c>
      <c r="Y47" s="91">
        <v>8593.660598919756</v>
      </c>
      <c r="Z47" s="91">
        <v>8593.660598919756</v>
      </c>
      <c r="AA47" s="91">
        <v>38478.111600000011</v>
      </c>
      <c r="AB47" s="91">
        <v>46293.946336330489</v>
      </c>
      <c r="AC47" s="91">
        <v>0.20312417661189164</v>
      </c>
      <c r="AD47" s="91"/>
      <c r="AE47" s="223">
        <f t="shared" si="1"/>
        <v>1.2031241766118916</v>
      </c>
      <c r="AF47"/>
      <c r="AG47" s="192">
        <f t="shared" si="2"/>
        <v>0.12487725565639332</v>
      </c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192"/>
      <c r="BD47" s="91"/>
      <c r="BE47" s="91"/>
      <c r="BF47" s="92"/>
      <c r="BG47" s="91"/>
      <c r="BH47" s="192"/>
      <c r="BI47" s="91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7"/>
      <c r="CB47" s="97"/>
      <c r="CC47" s="97"/>
      <c r="CD47" s="97"/>
      <c r="CE47" s="97"/>
      <c r="CF47" s="97"/>
      <c r="CG47" s="97"/>
      <c r="CH47" s="98"/>
      <c r="CI47" s="98"/>
    </row>
    <row r="48" spans="1:87">
      <c r="A48" s="75">
        <v>2019</v>
      </c>
      <c r="B48">
        <v>210056</v>
      </c>
      <c r="C48" t="s">
        <v>432</v>
      </c>
      <c r="D48" t="s">
        <v>187</v>
      </c>
      <c r="E48" s="91">
        <v>166089.87648999994</v>
      </c>
      <c r="F48" s="91">
        <v>102929.99460999995</v>
      </c>
      <c r="G48" s="91">
        <v>269019.87109999987</v>
      </c>
      <c r="H48" s="91">
        <v>89122.359274894567</v>
      </c>
      <c r="I48" s="91">
        <v>41400.335602210704</v>
      </c>
      <c r="J48" s="91">
        <v>130522.69487710527</v>
      </c>
      <c r="K48" s="91">
        <v>9907.21042943473</v>
      </c>
      <c r="L48" s="91">
        <v>2972.608965513994</v>
      </c>
      <c r="M48" s="91">
        <v>12879.819394948725</v>
      </c>
      <c r="N48" s="91">
        <v>9132.0014601141393</v>
      </c>
      <c r="O48" s="91">
        <v>10480.592306527837</v>
      </c>
      <c r="P48" s="91">
        <v>19612.593766641978</v>
      </c>
      <c r="Q48" s="91">
        <v>39405.086607105157</v>
      </c>
      <c r="R48" s="91">
        <v>28888.77353062449</v>
      </c>
      <c r="S48" s="91">
        <v>68293.860137729644</v>
      </c>
      <c r="T48" s="91">
        <v>3974.46542000002</v>
      </c>
      <c r="U48" s="91">
        <v>4219.8632320185397</v>
      </c>
      <c r="V48" s="91">
        <v>7945.4026879814601</v>
      </c>
      <c r="W48" s="91">
        <v>12165.26592</v>
      </c>
      <c r="X48" s="91">
        <v>14303.3554864328</v>
      </c>
      <c r="Y48" s="91">
        <v>11242.28151714147</v>
      </c>
      <c r="Z48" s="91">
        <v>25545.637003574269</v>
      </c>
      <c r="AA48" s="91">
        <v>213882.90373294055</v>
      </c>
      <c r="AB48" s="91">
        <v>240215.98000055098</v>
      </c>
      <c r="AC48" s="91">
        <v>0.12311912643794365</v>
      </c>
      <c r="AD48" s="91"/>
      <c r="AE48" s="223">
        <f t="shared" si="1"/>
        <v>1.1231191264379436</v>
      </c>
      <c r="AF48"/>
      <c r="AG48" s="192">
        <f t="shared" si="2"/>
        <v>4.5220696412711966E-2</v>
      </c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192"/>
      <c r="BD48" s="91"/>
      <c r="BE48" s="91"/>
      <c r="BF48" s="92"/>
      <c r="BG48" s="91"/>
      <c r="BH48" s="192"/>
      <c r="BI48" s="91"/>
      <c r="BJ48" s="97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97"/>
      <c r="BY48" s="97"/>
      <c r="BZ48" s="97"/>
      <c r="CA48" s="97"/>
      <c r="CB48" s="97"/>
      <c r="CC48" s="97"/>
      <c r="CD48" s="97"/>
      <c r="CE48" s="97"/>
      <c r="CF48" s="97"/>
      <c r="CG48" s="97"/>
      <c r="CH48" s="98"/>
      <c r="CI48" s="98"/>
    </row>
    <row r="49" spans="1:94">
      <c r="A49" s="75">
        <v>2019</v>
      </c>
      <c r="B49">
        <v>210057</v>
      </c>
      <c r="C49" t="s">
        <v>69</v>
      </c>
      <c r="D49" t="s">
        <v>187</v>
      </c>
      <c r="E49" s="91">
        <v>623977.60057399655</v>
      </c>
      <c r="F49" s="91">
        <v>325060.19942600344</v>
      </c>
      <c r="G49" s="91">
        <v>949037.8</v>
      </c>
      <c r="H49" s="91">
        <v>219254.22399999999</v>
      </c>
      <c r="I49" s="91">
        <v>90021.95</v>
      </c>
      <c r="J49" s="91">
        <v>309276.174</v>
      </c>
      <c r="K49" s="91">
        <v>75698.763999999996</v>
      </c>
      <c r="L49" s="91">
        <v>16948.312000000002</v>
      </c>
      <c r="M49" s="91">
        <v>92647.076000000001</v>
      </c>
      <c r="N49" s="91">
        <v>111980.144</v>
      </c>
      <c r="O49" s="91">
        <v>77750.789999999994</v>
      </c>
      <c r="P49" s="91">
        <v>189730.93400000001</v>
      </c>
      <c r="Q49" s="91">
        <v>86968.55</v>
      </c>
      <c r="R49" s="91">
        <v>42364.078000000001</v>
      </c>
      <c r="S49" s="91">
        <v>129332.628</v>
      </c>
      <c r="T49" s="91">
        <v>14178.1</v>
      </c>
      <c r="U49" s="91">
        <v>40349.915064602232</v>
      </c>
      <c r="V49" s="91">
        <v>21020.228935397765</v>
      </c>
      <c r="W49" s="91">
        <v>61370.144</v>
      </c>
      <c r="X49" s="91">
        <v>89726.003509394301</v>
      </c>
      <c r="Y49" s="91">
        <v>76954.840490605638</v>
      </c>
      <c r="Z49" s="91">
        <v>166680.84399999992</v>
      </c>
      <c r="AA49" s="91">
        <v>744669.70763409196</v>
      </c>
      <c r="AB49" s="91">
        <v>842579.65415387275</v>
      </c>
      <c r="AC49" s="91">
        <v>0.25620838487942343</v>
      </c>
      <c r="AD49" s="91"/>
      <c r="AE49" s="223">
        <f t="shared" si="1"/>
        <v>1.1314810385276082</v>
      </c>
      <c r="AF49"/>
      <c r="AG49" s="192">
        <f t="shared" si="2"/>
        <v>6.4665647669671325E-2</v>
      </c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192"/>
      <c r="BD49" s="91"/>
      <c r="BE49" s="91"/>
      <c r="BF49" s="92"/>
      <c r="BG49" s="91"/>
      <c r="BH49" s="192"/>
      <c r="BI49" s="91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8"/>
      <c r="CI49" s="98"/>
    </row>
    <row r="50" spans="1:94">
      <c r="A50" s="75">
        <v>2019</v>
      </c>
      <c r="B50">
        <v>210058</v>
      </c>
      <c r="C50" t="s">
        <v>433</v>
      </c>
      <c r="D50" t="s">
        <v>187</v>
      </c>
      <c r="E50" s="91">
        <v>69067.804849999986</v>
      </c>
      <c r="F50" s="91">
        <v>45194.536380000005</v>
      </c>
      <c r="G50" s="91">
        <v>114262.34122999999</v>
      </c>
      <c r="H50" s="91">
        <v>26154.634382314965</v>
      </c>
      <c r="I50" s="91">
        <v>8453.0780216831154</v>
      </c>
      <c r="J50" s="91">
        <v>34607.712403998084</v>
      </c>
      <c r="K50" s="91">
        <v>4431.8423697776761</v>
      </c>
      <c r="L50" s="91">
        <v>1734.4107828982217</v>
      </c>
      <c r="M50" s="91">
        <v>6166.2531526758976</v>
      </c>
      <c r="N50" s="91">
        <v>5473.4012643152328</v>
      </c>
      <c r="O50" s="91">
        <v>7917.5881783538825</v>
      </c>
      <c r="P50" s="91">
        <v>13390.989442669115</v>
      </c>
      <c r="Q50" s="91">
        <v>16040.183580217614</v>
      </c>
      <c r="R50" s="91">
        <v>11545.879518075852</v>
      </c>
      <c r="S50" s="91">
        <v>27586.063098293467</v>
      </c>
      <c r="T50" s="91">
        <v>488.02691000000215</v>
      </c>
      <c r="U50" s="91">
        <v>2730.3770529212534</v>
      </c>
      <c r="V50" s="91">
        <v>1786.6229470787471</v>
      </c>
      <c r="W50" s="91">
        <v>4517</v>
      </c>
      <c r="X50" s="91">
        <v>14237.366200453249</v>
      </c>
      <c r="Y50" s="91">
        <v>13756.956931910181</v>
      </c>
      <c r="Z50" s="91">
        <v>27994.323132363432</v>
      </c>
      <c r="AA50" s="91">
        <v>102941.70395881117</v>
      </c>
      <c r="AB50" s="91">
        <v>113513.29972408495</v>
      </c>
      <c r="AC50" s="91">
        <v>0.10269497549315565</v>
      </c>
      <c r="AD50" s="91"/>
      <c r="AE50" s="223">
        <f t="shared" si="1"/>
        <v>1.1026949754931556</v>
      </c>
      <c r="AF50"/>
      <c r="AG50" s="192">
        <f t="shared" si="2"/>
        <v>3.953183482305582E-2</v>
      </c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192"/>
      <c r="BD50" s="91"/>
      <c r="BE50" s="91"/>
      <c r="BF50" s="92"/>
      <c r="BG50" s="91"/>
      <c r="BH50" s="192"/>
      <c r="BI50" s="91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8"/>
      <c r="CI50" s="98"/>
    </row>
    <row r="51" spans="1:94">
      <c r="A51" s="75">
        <v>2019</v>
      </c>
      <c r="B51">
        <v>210060</v>
      </c>
      <c r="C51" t="s">
        <v>456</v>
      </c>
      <c r="D51" t="s">
        <v>187</v>
      </c>
      <c r="E51" s="91">
        <v>24368.100004872213</v>
      </c>
      <c r="F51" s="91">
        <v>29258.399995127784</v>
      </c>
      <c r="G51" s="91">
        <v>53626.5</v>
      </c>
      <c r="H51" s="91">
        <v>10451.525</v>
      </c>
      <c r="I51" s="91">
        <v>8880.3220000000001</v>
      </c>
      <c r="J51" s="91">
        <v>19331.847000000002</v>
      </c>
      <c r="K51" s="91">
        <v>1295.8420000000001</v>
      </c>
      <c r="L51" s="91">
        <v>715.40599999999995</v>
      </c>
      <c r="M51" s="91">
        <v>2011.248</v>
      </c>
      <c r="N51" s="91">
        <v>3092.721</v>
      </c>
      <c r="O51" s="91">
        <v>4473.9070000000002</v>
      </c>
      <c r="P51" s="91">
        <v>7566.6280000000006</v>
      </c>
      <c r="Q51" s="91">
        <v>6143.9219999999996</v>
      </c>
      <c r="R51" s="91">
        <v>6389.7669999999998</v>
      </c>
      <c r="S51" s="91">
        <v>12533.688999999998</v>
      </c>
      <c r="T51" s="91">
        <v>457.21300000000002</v>
      </c>
      <c r="U51" s="91">
        <v>1779.4842061488685</v>
      </c>
      <c r="V51" s="91">
        <v>2136.883793851131</v>
      </c>
      <c r="W51" s="91">
        <v>3916.3679999999995</v>
      </c>
      <c r="X51" s="91">
        <v>1604.6057987233448</v>
      </c>
      <c r="Y51" s="91">
        <v>6662.1142012766541</v>
      </c>
      <c r="Z51" s="91">
        <v>8266.7199999999993</v>
      </c>
      <c r="AA51" s="91">
        <v>47593.597881200003</v>
      </c>
      <c r="AB51" s="91">
        <v>54580.15208029958</v>
      </c>
      <c r="AC51" s="91">
        <v>0.14144717133000073</v>
      </c>
      <c r="AD51" s="91"/>
      <c r="AE51" s="223">
        <f t="shared" si="1"/>
        <v>1.1467960925446097</v>
      </c>
      <c r="AF51"/>
      <c r="AG51" s="192">
        <f t="shared" si="2"/>
        <v>7.3030460686414361E-2</v>
      </c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192"/>
      <c r="BD51" s="91"/>
      <c r="BE51" s="91"/>
      <c r="BF51" s="92"/>
      <c r="BG51" s="91"/>
      <c r="BH51" s="192"/>
      <c r="BI51" s="91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8"/>
      <c r="CI51" s="98"/>
    </row>
    <row r="52" spans="1:94">
      <c r="A52" s="75">
        <v>2019</v>
      </c>
      <c r="B52">
        <v>210061</v>
      </c>
      <c r="C52" t="s">
        <v>73</v>
      </c>
      <c r="D52" t="s">
        <v>187</v>
      </c>
      <c r="E52" s="91">
        <v>40650</v>
      </c>
      <c r="F52" s="91">
        <v>66507.5</v>
      </c>
      <c r="G52" s="91">
        <v>107157.5</v>
      </c>
      <c r="H52" s="91">
        <v>22283.3</v>
      </c>
      <c r="I52" s="91">
        <v>30607.5</v>
      </c>
      <c r="J52" s="91">
        <v>52890.8</v>
      </c>
      <c r="K52" s="91">
        <v>826.9</v>
      </c>
      <c r="L52" s="91">
        <v>988.2</v>
      </c>
      <c r="M52" s="91">
        <v>1815.1</v>
      </c>
      <c r="N52" s="91">
        <v>4085.7</v>
      </c>
      <c r="O52" s="91">
        <v>13338.4</v>
      </c>
      <c r="P52" s="91">
        <v>17424.099999999999</v>
      </c>
      <c r="Q52" s="91">
        <v>3289</v>
      </c>
      <c r="R52" s="91">
        <v>8980.5</v>
      </c>
      <c r="S52" s="91">
        <v>12269.5</v>
      </c>
      <c r="T52" s="91">
        <v>1586.7239999999999</v>
      </c>
      <c r="U52" s="91">
        <v>4592.1536699999997</v>
      </c>
      <c r="V52" s="91">
        <v>1453.5</v>
      </c>
      <c r="W52" s="91">
        <v>6045.6536699999997</v>
      </c>
      <c r="X52" s="91">
        <v>5572.9463299999989</v>
      </c>
      <c r="Y52" s="91">
        <v>11139.400000000001</v>
      </c>
      <c r="Z52" s="91">
        <v>16712.34633</v>
      </c>
      <c r="AA52" s="91">
        <v>76691.296774949762</v>
      </c>
      <c r="AB52" s="91">
        <v>86304.155701531272</v>
      </c>
      <c r="AC52" s="91">
        <v>0.12278941830680701</v>
      </c>
      <c r="AD52" s="91"/>
      <c r="AE52" s="223">
        <f t="shared" si="1"/>
        <v>1.1253448478618167</v>
      </c>
      <c r="AF52"/>
      <c r="AG52" s="192">
        <f t="shared" si="2"/>
        <v>5.6418390406644425E-2</v>
      </c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192"/>
      <c r="BD52" s="91"/>
      <c r="BE52" s="91"/>
      <c r="BF52" s="92"/>
      <c r="BG52" s="91"/>
      <c r="BH52" s="192"/>
      <c r="BI52" s="91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8"/>
      <c r="CI52" s="98"/>
    </row>
    <row r="53" spans="1:94">
      <c r="A53" s="75">
        <v>2019</v>
      </c>
      <c r="B53">
        <v>210062</v>
      </c>
      <c r="C53" t="s">
        <v>368</v>
      </c>
      <c r="D53" t="s">
        <v>187</v>
      </c>
      <c r="E53" s="91">
        <v>183403.6410700001</v>
      </c>
      <c r="F53" s="91">
        <v>97978.772820000027</v>
      </c>
      <c r="G53" s="91">
        <v>281382.41389000014</v>
      </c>
      <c r="H53" s="91">
        <v>73752.018880698786</v>
      </c>
      <c r="I53" s="91">
        <v>28078.617175080439</v>
      </c>
      <c r="J53" s="91">
        <v>101830.63605577922</v>
      </c>
      <c r="K53" s="91">
        <v>7798.7398779262176</v>
      </c>
      <c r="L53" s="91">
        <v>2813.7153502760002</v>
      </c>
      <c r="M53" s="91">
        <v>10612.455228202218</v>
      </c>
      <c r="N53" s="91">
        <v>13520.176474210193</v>
      </c>
      <c r="O53" s="91">
        <v>10957.239466066736</v>
      </c>
      <c r="P53" s="91">
        <v>24477.415940276929</v>
      </c>
      <c r="Q53" s="91">
        <v>44572.771260406815</v>
      </c>
      <c r="R53" s="91">
        <v>21098.574153654277</v>
      </c>
      <c r="S53" s="91">
        <v>65671.345414061099</v>
      </c>
      <c r="T53" s="91">
        <v>1864.7362300000043</v>
      </c>
      <c r="U53" s="91">
        <v>5985.8691698534813</v>
      </c>
      <c r="V53" s="91">
        <v>7877.1867401465188</v>
      </c>
      <c r="W53" s="91">
        <v>13863.055909999999</v>
      </c>
      <c r="X53" s="91">
        <v>37774.065406904607</v>
      </c>
      <c r="Y53" s="91">
        <v>27153.439934776055</v>
      </c>
      <c r="Z53" s="91">
        <v>64927.505341680662</v>
      </c>
      <c r="AA53" s="91">
        <v>205710.2496014277</v>
      </c>
      <c r="AB53" s="91">
        <v>229783.52008291421</v>
      </c>
      <c r="AC53" s="91">
        <v>0.11702513865074526</v>
      </c>
      <c r="AD53" s="91"/>
      <c r="AE53" s="223">
        <f t="shared" si="1"/>
        <v>1.1170251386507453</v>
      </c>
      <c r="AF53"/>
      <c r="AG53" s="192">
        <f t="shared" si="2"/>
        <v>4.9267669995252214E-2</v>
      </c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192"/>
      <c r="BD53" s="91"/>
      <c r="BE53" s="91"/>
      <c r="BF53" s="92"/>
      <c r="BG53" s="91"/>
      <c r="BH53" s="192"/>
      <c r="BI53" s="91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8"/>
    </row>
    <row r="54" spans="1:94">
      <c r="A54" s="75">
        <v>2019</v>
      </c>
      <c r="B54">
        <v>210063</v>
      </c>
      <c r="C54" t="s">
        <v>434</v>
      </c>
      <c r="D54" t="s">
        <v>187</v>
      </c>
      <c r="E54" s="91">
        <v>250314.93859000001</v>
      </c>
      <c r="F54" s="91">
        <v>122583.34742999999</v>
      </c>
      <c r="G54" s="91">
        <v>372898.28602</v>
      </c>
      <c r="H54" s="91">
        <v>121073.78043378367</v>
      </c>
      <c r="I54" s="91">
        <v>42069.11214267624</v>
      </c>
      <c r="J54" s="91">
        <v>163142.89257645991</v>
      </c>
      <c r="K54" s="91">
        <v>9805.6497143755987</v>
      </c>
      <c r="L54" s="91">
        <v>1185.6588613427482</v>
      </c>
      <c r="M54" s="91">
        <v>10991.308575718347</v>
      </c>
      <c r="N54" s="91">
        <v>22389.212441343418</v>
      </c>
      <c r="O54" s="91">
        <v>17288.495470347221</v>
      </c>
      <c r="P54" s="91">
        <v>39677.707911690639</v>
      </c>
      <c r="Q54" s="91">
        <v>33263.640301253014</v>
      </c>
      <c r="R54" s="91">
        <v>17265.106934930147</v>
      </c>
      <c r="S54" s="91">
        <v>50528.747236183161</v>
      </c>
      <c r="T54" s="91">
        <v>966.3321699999974</v>
      </c>
      <c r="U54" s="91">
        <v>9255.1369357626536</v>
      </c>
      <c r="V54" s="91">
        <v>4532.3929642373441</v>
      </c>
      <c r="W54" s="91">
        <v>13787.529899999998</v>
      </c>
      <c r="X54" s="91">
        <v>54527.518763481647</v>
      </c>
      <c r="Y54" s="91">
        <v>40242.581056466297</v>
      </c>
      <c r="Z54" s="91">
        <v>94770.099819947936</v>
      </c>
      <c r="AA54" s="91">
        <v>290648.15942755278</v>
      </c>
      <c r="AB54" s="91">
        <v>319728.94583115232</v>
      </c>
      <c r="AC54" s="91">
        <v>0.10005494774463974</v>
      </c>
      <c r="AD54" s="91"/>
      <c r="AE54" s="223">
        <f t="shared" si="1"/>
        <v>1.1000549477446397</v>
      </c>
      <c r="AF54"/>
      <c r="AG54" s="192">
        <f t="shared" si="2"/>
        <v>3.6973969623610763E-2</v>
      </c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192"/>
      <c r="BD54" s="91"/>
      <c r="BE54" s="91"/>
      <c r="BF54" s="92"/>
      <c r="BG54" s="91"/>
      <c r="BH54" s="192"/>
      <c r="BI54" s="91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7"/>
      <c r="CA54" s="97"/>
      <c r="CB54" s="97"/>
      <c r="CC54" s="97"/>
      <c r="CD54" s="97"/>
      <c r="CE54" s="97"/>
      <c r="CF54" s="97"/>
      <c r="CG54" s="97"/>
      <c r="CH54" s="98"/>
    </row>
    <row r="55" spans="1:94">
      <c r="A55" s="75">
        <v>2019</v>
      </c>
      <c r="B55">
        <v>210064</v>
      </c>
      <c r="C55" t="s">
        <v>74</v>
      </c>
      <c r="D55" t="s">
        <v>187</v>
      </c>
      <c r="E55" s="91">
        <v>60865.466</v>
      </c>
      <c r="F55" s="91">
        <v>2360.8500000000004</v>
      </c>
      <c r="G55" s="91">
        <v>63226.315999999999</v>
      </c>
      <c r="H55" s="91">
        <v>48643.13</v>
      </c>
      <c r="I55" s="91">
        <v>2153.65</v>
      </c>
      <c r="J55" s="91">
        <v>50796.78</v>
      </c>
      <c r="K55" s="91">
        <v>2063.73</v>
      </c>
      <c r="L55" s="91">
        <v>0</v>
      </c>
      <c r="M55" s="91">
        <v>2063.73</v>
      </c>
      <c r="N55" s="91">
        <v>2279.61</v>
      </c>
      <c r="O55" s="91">
        <v>45.44</v>
      </c>
      <c r="P55" s="91">
        <v>2325.0500000000002</v>
      </c>
      <c r="Q55" s="91">
        <v>4428.53</v>
      </c>
      <c r="R55" s="91">
        <v>94.9</v>
      </c>
      <c r="S55" s="91">
        <v>4523.4299999999994</v>
      </c>
      <c r="T55" s="91">
        <v>0</v>
      </c>
      <c r="U55" s="91">
        <v>3033.096</v>
      </c>
      <c r="V55" s="91">
        <v>0</v>
      </c>
      <c r="W55" s="91">
        <v>3033.096</v>
      </c>
      <c r="X55" s="91">
        <v>417.37000000000307</v>
      </c>
      <c r="Y55" s="91">
        <v>66.860000000000269</v>
      </c>
      <c r="Z55" s="91">
        <v>484.23000000000332</v>
      </c>
      <c r="AA55" s="91">
        <v>44276.550171644718</v>
      </c>
      <c r="AB55" s="91">
        <v>50254.624167757196</v>
      </c>
      <c r="AC55" s="91">
        <v>0.13501670687841694</v>
      </c>
      <c r="AD55" s="91"/>
      <c r="AE55" s="223">
        <f t="shared" si="1"/>
        <v>1.1350167068784169</v>
      </c>
      <c r="AF55"/>
      <c r="AG55" s="192">
        <f t="shared" si="2"/>
        <v>4.7972050119130777E-2</v>
      </c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192"/>
      <c r="BD55" s="91"/>
      <c r="BE55" s="91"/>
      <c r="BF55" s="92"/>
      <c r="BG55" s="91"/>
      <c r="BH55" s="192"/>
      <c r="BI55" s="91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8"/>
    </row>
    <row r="56" spans="1:94">
      <c r="A56" s="75">
        <v>2019</v>
      </c>
      <c r="B56">
        <v>210065</v>
      </c>
      <c r="C56" t="s">
        <v>370</v>
      </c>
      <c r="D56" t="s">
        <v>187</v>
      </c>
      <c r="E56" s="91">
        <v>74819.399999999994</v>
      </c>
      <c r="F56" s="91">
        <v>44627.7</v>
      </c>
      <c r="G56" s="91">
        <v>119447.09999999999</v>
      </c>
      <c r="H56" s="91">
        <v>23910.145128712436</v>
      </c>
      <c r="I56" s="91">
        <v>8365.8139626120592</v>
      </c>
      <c r="J56" s="91">
        <v>32275.959091324497</v>
      </c>
      <c r="K56" s="91">
        <v>7065.0596842141495</v>
      </c>
      <c r="L56" s="91">
        <v>3074.6346178134891</v>
      </c>
      <c r="M56" s="91">
        <v>10139.694302027638</v>
      </c>
      <c r="N56" s="91">
        <v>9881.5090032047283</v>
      </c>
      <c r="O56" s="91">
        <v>6698.8991289675478</v>
      </c>
      <c r="P56" s="91">
        <v>16580.408132172277</v>
      </c>
      <c r="Q56" s="91">
        <v>15539.29256289263</v>
      </c>
      <c r="R56" s="91">
        <v>7979.5307707101365</v>
      </c>
      <c r="S56" s="91">
        <v>23518.823333602766</v>
      </c>
      <c r="T56" s="91">
        <v>1428.9965100000002</v>
      </c>
      <c r="U56" s="91">
        <v>2925.17402392239</v>
      </c>
      <c r="V56" s="91">
        <v>7439.54281607761</v>
      </c>
      <c r="W56" s="91">
        <v>10364.716840000001</v>
      </c>
      <c r="X56" s="91">
        <v>15498.219597053652</v>
      </c>
      <c r="Y56" s="91">
        <v>11069.278703819149</v>
      </c>
      <c r="Z56" s="91">
        <v>26567.498300872801</v>
      </c>
      <c r="AA56" s="91">
        <v>99279.614702527862</v>
      </c>
      <c r="AB56" s="91">
        <v>115064.30924061999</v>
      </c>
      <c r="AC56" s="91">
        <v>0.15867729599553249</v>
      </c>
      <c r="AD56" s="91"/>
      <c r="AE56" s="223">
        <f t="shared" si="1"/>
        <v>1.1589923025526228</v>
      </c>
      <c r="AF56" s="116"/>
      <c r="AG56" s="192">
        <f t="shared" si="2"/>
        <v>8.6772444370771681E-2</v>
      </c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192"/>
      <c r="BD56" s="91"/>
      <c r="BE56" s="91"/>
      <c r="BF56" s="92"/>
      <c r="BG56" s="91"/>
      <c r="BH56" s="192"/>
      <c r="BI56" s="91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125"/>
      <c r="BY56" s="125"/>
      <c r="BZ56" s="125"/>
      <c r="CA56" s="125"/>
      <c r="CB56" s="125"/>
      <c r="CC56" s="125"/>
      <c r="CD56" s="125"/>
      <c r="CE56" s="125"/>
      <c r="CF56" s="125"/>
      <c r="CG56" s="125"/>
      <c r="CH56" s="98"/>
    </row>
    <row r="57" spans="1:94">
      <c r="A57" s="75">
        <v>2019</v>
      </c>
      <c r="B57" s="33">
        <v>210087</v>
      </c>
      <c r="C57" s="26" t="s">
        <v>457</v>
      </c>
      <c r="D57" s="26" t="s">
        <v>187</v>
      </c>
      <c r="E57" s="91">
        <v>0</v>
      </c>
      <c r="F57" s="91">
        <v>12504.4</v>
      </c>
      <c r="G57" s="91">
        <v>12504.4</v>
      </c>
      <c r="H57" s="91">
        <v>0</v>
      </c>
      <c r="I57" s="91">
        <v>1087.135</v>
      </c>
      <c r="J57" s="91">
        <v>1087.135</v>
      </c>
      <c r="K57" s="91">
        <v>0</v>
      </c>
      <c r="L57" s="91">
        <v>399.86900000000003</v>
      </c>
      <c r="M57" s="91">
        <v>399.86900000000003</v>
      </c>
      <c r="N57" s="91">
        <v>0</v>
      </c>
      <c r="O57" s="91">
        <v>2551.549</v>
      </c>
      <c r="P57" s="91">
        <v>2551.549</v>
      </c>
      <c r="Q57" s="91">
        <v>0</v>
      </c>
      <c r="R57" s="91">
        <v>4068.46</v>
      </c>
      <c r="S57" s="91">
        <v>4068.46</v>
      </c>
      <c r="T57" s="91">
        <v>100.98099999999999</v>
      </c>
      <c r="U57" s="91">
        <v>0</v>
      </c>
      <c r="V57" s="91">
        <v>3377.1729999999998</v>
      </c>
      <c r="W57" s="91">
        <v>3377.1729999999998</v>
      </c>
      <c r="X57" s="91">
        <v>0</v>
      </c>
      <c r="Y57" s="91">
        <v>1020.2139999999981</v>
      </c>
      <c r="Z57" s="91">
        <v>1020.2139999999981</v>
      </c>
      <c r="AA57" s="91">
        <v>11433.323999999999</v>
      </c>
      <c r="AB57" s="91">
        <v>16574.529122317079</v>
      </c>
      <c r="AC57" s="91">
        <v>0.43808653373750284</v>
      </c>
      <c r="AD57" s="91"/>
      <c r="AE57" s="223">
        <f t="shared" si="1"/>
        <v>1.4496684535763249</v>
      </c>
      <c r="AF57"/>
      <c r="AG57" s="192">
        <f t="shared" si="2"/>
        <v>0.27007877227216021</v>
      </c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192"/>
      <c r="BD57" s="91"/>
      <c r="BE57" s="91"/>
      <c r="BF57" s="92"/>
      <c r="BG57" s="91"/>
      <c r="BH57" s="192"/>
      <c r="BI57" s="91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97"/>
      <c r="CE57" s="97"/>
      <c r="CF57" s="97"/>
      <c r="CG57" s="97"/>
      <c r="CH57" s="98"/>
    </row>
    <row r="58" spans="1:94">
      <c r="A58" s="75">
        <v>2019</v>
      </c>
      <c r="B58">
        <v>210088</v>
      </c>
      <c r="C58" s="26" t="s">
        <v>372</v>
      </c>
      <c r="D58" s="26" t="s">
        <v>187</v>
      </c>
      <c r="E58" s="91">
        <v>0</v>
      </c>
      <c r="F58" s="91">
        <v>7448.4907900000007</v>
      </c>
      <c r="G58" s="91">
        <v>7448.4907900000007</v>
      </c>
      <c r="H58" s="91">
        <v>0</v>
      </c>
      <c r="I58" s="91">
        <v>1686.3686104952862</v>
      </c>
      <c r="J58" s="91">
        <v>1686.3686104952862</v>
      </c>
      <c r="K58" s="91">
        <v>0</v>
      </c>
      <c r="L58" s="91">
        <v>122.14787217802356</v>
      </c>
      <c r="M58" s="91">
        <v>122.14787217802356</v>
      </c>
      <c r="N58" s="91">
        <v>0</v>
      </c>
      <c r="O58" s="91">
        <v>741.74223798533501</v>
      </c>
      <c r="P58" s="91">
        <v>741.74223798533501</v>
      </c>
      <c r="Q58" s="91">
        <v>0</v>
      </c>
      <c r="R58" s="91">
        <v>2034.1418321909014</v>
      </c>
      <c r="S58" s="91">
        <v>2034.1418321909014</v>
      </c>
      <c r="T58" s="91">
        <v>0</v>
      </c>
      <c r="U58" s="91">
        <v>0</v>
      </c>
      <c r="V58" s="91">
        <v>849.20699999999999</v>
      </c>
      <c r="W58" s="91">
        <v>849.20699999999999</v>
      </c>
      <c r="X58" s="91">
        <v>0</v>
      </c>
      <c r="Y58" s="91">
        <v>2014.8832371504554</v>
      </c>
      <c r="Z58" s="91">
        <v>2014.8832371504554</v>
      </c>
      <c r="AA58" s="91">
        <v>4901.4176431816422</v>
      </c>
      <c r="AB58" s="91">
        <v>5842.8552989343243</v>
      </c>
      <c r="AC58" s="91">
        <v>0.19207456378713528</v>
      </c>
      <c r="AD58" s="91"/>
      <c r="AE58" s="223">
        <f t="shared" si="1"/>
        <v>1.1920745637871353</v>
      </c>
      <c r="AG58" s="192">
        <f t="shared" si="2"/>
        <v>0.11401061288014291</v>
      </c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192"/>
      <c r="BD58" s="91"/>
      <c r="BE58" s="91"/>
      <c r="BF58" s="92"/>
      <c r="BG58" s="91"/>
      <c r="BH58" s="192"/>
      <c r="BI58" s="91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I58" s="115"/>
    </row>
    <row r="59" spans="1:94">
      <c r="A59" s="75">
        <v>2019</v>
      </c>
      <c r="B59" s="75">
        <v>210333</v>
      </c>
      <c r="C59" s="26" t="s">
        <v>435</v>
      </c>
      <c r="D59" s="26" t="s">
        <v>187</v>
      </c>
      <c r="E59" s="91">
        <v>0</v>
      </c>
      <c r="F59" s="91">
        <v>19451.934540000002</v>
      </c>
      <c r="G59" s="91">
        <v>19451.934540000002</v>
      </c>
      <c r="H59" s="91">
        <v>0</v>
      </c>
      <c r="I59" s="91">
        <v>3115.2900214387746</v>
      </c>
      <c r="J59" s="91">
        <v>3115.2900214387746</v>
      </c>
      <c r="K59" s="91">
        <v>0</v>
      </c>
      <c r="L59" s="91">
        <v>301.8767562651787</v>
      </c>
      <c r="M59" s="91">
        <v>301.8767562651787</v>
      </c>
      <c r="N59" s="91">
        <v>0</v>
      </c>
      <c r="O59" s="91">
        <v>3446.1209541191192</v>
      </c>
      <c r="P59" s="91">
        <v>3446.1209541191192</v>
      </c>
      <c r="Q59" s="91">
        <v>0</v>
      </c>
      <c r="R59" s="91">
        <v>4475.9807084661461</v>
      </c>
      <c r="S59" s="91">
        <v>4475.9807084661461</v>
      </c>
      <c r="T59" s="91">
        <v>79.803239999999917</v>
      </c>
      <c r="U59" s="91">
        <v>0</v>
      </c>
      <c r="V59" s="91">
        <v>2971</v>
      </c>
      <c r="W59" s="91">
        <v>2971</v>
      </c>
      <c r="X59" s="91">
        <v>0</v>
      </c>
      <c r="Y59" s="91">
        <v>5141.6660997107847</v>
      </c>
      <c r="Z59" s="91">
        <v>5141.6660997107847</v>
      </c>
      <c r="AA59" s="91">
        <v>15942.91</v>
      </c>
      <c r="AB59" s="91">
        <v>19752.313535150097</v>
      </c>
      <c r="AC59" s="91">
        <v>0.23894028976831061</v>
      </c>
      <c r="AD59" s="91"/>
      <c r="AE59" s="91"/>
      <c r="AG59" s="192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192"/>
      <c r="BD59" s="91"/>
      <c r="BE59" s="91"/>
      <c r="BF59" s="92"/>
      <c r="BG59" s="91"/>
      <c r="BH59" s="192"/>
      <c r="BI59" s="91"/>
    </row>
    <row r="60" spans="1:94">
      <c r="A60" s="75">
        <v>2019</v>
      </c>
      <c r="B60">
        <v>213300</v>
      </c>
      <c r="C60" s="75" t="s">
        <v>383</v>
      </c>
      <c r="D60" s="75" t="s">
        <v>187</v>
      </c>
      <c r="E60" s="91">
        <v>47099.251953631472</v>
      </c>
      <c r="F60" s="91">
        <v>15806.274016368527</v>
      </c>
      <c r="G60" s="91">
        <v>62905.525970000002</v>
      </c>
      <c r="H60" s="91">
        <v>0</v>
      </c>
      <c r="I60" s="91">
        <v>23.414705357639594</v>
      </c>
      <c r="J60" s="91">
        <v>23.414705357639594</v>
      </c>
      <c r="K60" s="91">
        <v>15915.627591044178</v>
      </c>
      <c r="L60" s="91">
        <v>2602.2328058698708</v>
      </c>
      <c r="M60" s="91">
        <v>18517.860396914049</v>
      </c>
      <c r="N60" s="91">
        <v>5943.4374962495249</v>
      </c>
      <c r="O60" s="91">
        <v>3708.2399125149987</v>
      </c>
      <c r="P60" s="91">
        <v>9651.6774087645244</v>
      </c>
      <c r="Q60" s="91">
        <v>22384.434221005595</v>
      </c>
      <c r="R60" s="91">
        <v>6517.23559349261</v>
      </c>
      <c r="S60" s="91">
        <v>28901.669814498204</v>
      </c>
      <c r="T60" s="91">
        <v>0</v>
      </c>
      <c r="U60" s="91">
        <v>72.727074761624252</v>
      </c>
      <c r="V60" s="91">
        <v>601.22092523837591</v>
      </c>
      <c r="W60" s="91">
        <v>673.94800000000021</v>
      </c>
      <c r="X60" s="91">
        <v>2783.0255705705526</v>
      </c>
      <c r="Y60" s="91">
        <v>2353.930073895031</v>
      </c>
      <c r="Z60" s="91">
        <v>5136.9556444655836</v>
      </c>
      <c r="AA60" s="91">
        <v>54215.821565910781</v>
      </c>
      <c r="AB60" s="91">
        <v>58544.622675458741</v>
      </c>
      <c r="AC60" s="91">
        <v>7.9843871853632065E-2</v>
      </c>
      <c r="AD60" s="91"/>
      <c r="AE60" s="91"/>
      <c r="AG60" s="192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192"/>
      <c r="BD60" s="91"/>
      <c r="BE60" s="91"/>
      <c r="BF60" s="92"/>
      <c r="BG60" s="91"/>
      <c r="BH60" s="192"/>
      <c r="BI60" s="91"/>
    </row>
    <row r="61" spans="1:94">
      <c r="A61" s="75">
        <v>2019</v>
      </c>
      <c r="B61">
        <v>214000</v>
      </c>
      <c r="C61" t="s">
        <v>374</v>
      </c>
      <c r="D61" t="s">
        <v>187</v>
      </c>
      <c r="E61" s="91">
        <v>141034.78549000001</v>
      </c>
      <c r="F61" s="91">
        <v>12463.391680000001</v>
      </c>
      <c r="G61" s="91">
        <v>153498.17717000001</v>
      </c>
      <c r="H61" s="91">
        <v>23372.748766798075</v>
      </c>
      <c r="I61" s="91">
        <v>1244.3033594568014</v>
      </c>
      <c r="J61" s="91">
        <v>24617.052126254875</v>
      </c>
      <c r="K61" s="91">
        <v>60563.911836262771</v>
      </c>
      <c r="L61" s="91">
        <v>3139.8125199999999</v>
      </c>
      <c r="M61" s="91">
        <v>63703.72435626277</v>
      </c>
      <c r="N61" s="91">
        <v>23897.201178757194</v>
      </c>
      <c r="O61" s="91">
        <v>3671.62200801667</v>
      </c>
      <c r="P61" s="91">
        <v>27568.823186773865</v>
      </c>
      <c r="Q61" s="91">
        <v>0</v>
      </c>
      <c r="R61" s="91">
        <v>0</v>
      </c>
      <c r="S61" s="91">
        <v>0</v>
      </c>
      <c r="T61" s="91">
        <v>0</v>
      </c>
      <c r="U61" s="91">
        <v>4370.1557899999998</v>
      </c>
      <c r="V61" s="91">
        <v>196.96895999999998</v>
      </c>
      <c r="W61" s="91">
        <v>4567.1247499999999</v>
      </c>
      <c r="X61" s="91">
        <v>28830.767918181973</v>
      </c>
      <c r="Y61" s="91">
        <v>4210.684832526531</v>
      </c>
      <c r="Z61" s="91">
        <v>33041.4527507085</v>
      </c>
      <c r="AA61" s="91">
        <v>136277.41605283602</v>
      </c>
      <c r="AB61" s="91">
        <v>148576.95839584869</v>
      </c>
      <c r="AC61" s="91">
        <v>9.0253709670016224E-2</v>
      </c>
      <c r="AD61" s="91"/>
      <c r="AE61" s="223">
        <f>+AB61/AA61</f>
        <v>1.0902537096700162</v>
      </c>
      <c r="AF61"/>
      <c r="AG61" s="192">
        <f>+W61/G61</f>
        <v>2.9753609027825041E-2</v>
      </c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192"/>
      <c r="BD61" s="91"/>
      <c r="BE61" s="91"/>
      <c r="BF61" s="92"/>
      <c r="BG61" s="91"/>
      <c r="BH61" s="192"/>
      <c r="BI61" s="91"/>
    </row>
    <row r="62" spans="1:94">
      <c r="A62" s="75">
        <v>2019</v>
      </c>
      <c r="B62">
        <v>214003</v>
      </c>
      <c r="C62" s="26" t="s">
        <v>375</v>
      </c>
      <c r="D62" s="26" t="s">
        <v>187</v>
      </c>
      <c r="E62" s="91">
        <v>20724.900000000001</v>
      </c>
      <c r="F62" s="91">
        <v>1446.6</v>
      </c>
      <c r="G62" s="91">
        <v>22171.5</v>
      </c>
      <c r="H62" s="91">
        <v>3575.2</v>
      </c>
      <c r="I62" s="91">
        <v>299.10000000000002</v>
      </c>
      <c r="J62" s="91">
        <v>3874.2999999999997</v>
      </c>
      <c r="K62" s="91">
        <v>9827.4</v>
      </c>
      <c r="L62" s="91">
        <v>446</v>
      </c>
      <c r="M62" s="91">
        <v>10273.4</v>
      </c>
      <c r="N62" s="91">
        <v>3983.8</v>
      </c>
      <c r="O62" s="91">
        <v>333.8</v>
      </c>
      <c r="P62" s="91">
        <v>4317.6000000000004</v>
      </c>
      <c r="Q62" s="91">
        <v>0</v>
      </c>
      <c r="R62" s="91">
        <v>0</v>
      </c>
      <c r="S62" s="91">
        <v>0</v>
      </c>
      <c r="T62" s="91">
        <v>0</v>
      </c>
      <c r="U62" s="91">
        <v>895.3</v>
      </c>
      <c r="V62" s="91">
        <v>80</v>
      </c>
      <c r="W62" s="91">
        <v>975.3</v>
      </c>
      <c r="X62" s="91">
        <v>2443.2000000000007</v>
      </c>
      <c r="Y62" s="91">
        <v>287.7</v>
      </c>
      <c r="Z62" s="91">
        <v>2730.9000000000005</v>
      </c>
      <c r="AA62" s="91">
        <v>19532.099136000001</v>
      </c>
      <c r="AB62" s="91">
        <v>21711.793890626563</v>
      </c>
      <c r="AC62" s="91">
        <v>0.11159551973648973</v>
      </c>
      <c r="AD62" s="91"/>
      <c r="AE62" s="223">
        <f>+AB62/AA62</f>
        <v>1.1115955197364897</v>
      </c>
      <c r="AG62" s="192">
        <f>+W62/G62</f>
        <v>4.3988904674920504E-2</v>
      </c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192"/>
      <c r="BD62" s="91"/>
      <c r="BE62" s="91"/>
      <c r="BF62" s="92"/>
      <c r="BG62" s="91"/>
      <c r="BH62" s="192"/>
      <c r="BI62" s="91"/>
      <c r="BJ62" s="97"/>
      <c r="BK62" s="97"/>
      <c r="BL62" s="97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  <c r="BZ62" s="97"/>
      <c r="CA62" s="97"/>
      <c r="CB62" s="97"/>
      <c r="CC62" s="97"/>
      <c r="CD62" s="97"/>
      <c r="CE62" s="97"/>
      <c r="CF62" s="97"/>
      <c r="CG62" s="97"/>
      <c r="CH62" s="98"/>
      <c r="CI62" s="115"/>
      <c r="CJ62" s="112"/>
      <c r="CK62" s="112"/>
      <c r="CL62" s="178"/>
      <c r="CM62" s="178"/>
      <c r="CN62" s="178"/>
      <c r="CO62" s="178"/>
      <c r="CP62" s="178"/>
    </row>
    <row r="63" spans="1:94">
      <c r="A63" s="75">
        <v>2019</v>
      </c>
      <c r="B63" s="75">
        <v>218992</v>
      </c>
      <c r="C63" s="26" t="s">
        <v>371</v>
      </c>
      <c r="D63" s="26" t="s">
        <v>187</v>
      </c>
      <c r="E63" s="91">
        <v>193198.45456000004</v>
      </c>
      <c r="F63" s="91">
        <v>27576.068010000025</v>
      </c>
      <c r="G63" s="91">
        <v>220774.52257000006</v>
      </c>
      <c r="H63" s="91">
        <v>58852.612371896917</v>
      </c>
      <c r="I63" s="91">
        <v>4316.1933684499681</v>
      </c>
      <c r="J63" s="91">
        <v>63168.805740346885</v>
      </c>
      <c r="K63" s="91">
        <v>19270.072895415917</v>
      </c>
      <c r="L63" s="91">
        <v>1808.5792327316883</v>
      </c>
      <c r="M63" s="91">
        <v>21078.652128147605</v>
      </c>
      <c r="N63" s="91">
        <v>13834.646585594541</v>
      </c>
      <c r="O63" s="91">
        <v>2220.7117838183344</v>
      </c>
      <c r="P63" s="91">
        <v>16055.358369412876</v>
      </c>
      <c r="Q63" s="91">
        <v>50076.18144965182</v>
      </c>
      <c r="R63" s="91">
        <v>9389.5419733181716</v>
      </c>
      <c r="S63" s="91">
        <v>59465.72342296999</v>
      </c>
      <c r="T63" s="91">
        <v>359.93377558207777</v>
      </c>
      <c r="U63" s="91">
        <v>12137.553434851485</v>
      </c>
      <c r="V63" s="91">
        <v>1732.446565148517</v>
      </c>
      <c r="W63" s="91">
        <v>13870.000000000002</v>
      </c>
      <c r="X63" s="91">
        <v>39027.387822589364</v>
      </c>
      <c r="Y63" s="91">
        <v>8108.5950865333471</v>
      </c>
      <c r="Z63" s="91">
        <v>47135.982909122715</v>
      </c>
      <c r="AA63" s="91">
        <v>162161.14637055033</v>
      </c>
      <c r="AB63" s="91">
        <v>184064.55195655211</v>
      </c>
      <c r="AC63" s="91">
        <v>0.13507184721024901</v>
      </c>
      <c r="AD63" s="91"/>
      <c r="AE63" s="223">
        <f>+AB63/AA63</f>
        <v>1.135071847210249</v>
      </c>
      <c r="AG63" s="192">
        <f>+W63/G63</f>
        <v>6.282427808490583E-2</v>
      </c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192"/>
      <c r="BD63" s="91"/>
      <c r="BE63" s="91"/>
      <c r="BF63" s="92"/>
      <c r="BG63" s="91"/>
      <c r="BH63" s="192"/>
      <c r="BI63" s="91"/>
      <c r="BJ63" s="125"/>
      <c r="BK63" s="125"/>
      <c r="BL63" s="125"/>
      <c r="BM63" s="125"/>
      <c r="BN63" s="125"/>
      <c r="BO63" s="125"/>
      <c r="BP63" s="125"/>
      <c r="BQ63" s="125"/>
      <c r="BR63" s="125"/>
      <c r="BS63" s="125"/>
      <c r="BT63" s="125"/>
      <c r="BU63" s="125"/>
      <c r="BV63" s="125"/>
      <c r="BW63" s="125"/>
      <c r="BX63" s="125"/>
      <c r="BY63" s="125"/>
      <c r="BZ63" s="125"/>
      <c r="CA63" s="125"/>
      <c r="CB63" s="125"/>
      <c r="CC63" s="125"/>
      <c r="CD63" s="125"/>
      <c r="CE63" s="125"/>
      <c r="CF63" s="125"/>
      <c r="CG63" s="125"/>
      <c r="CH63" s="98"/>
      <c r="CI63" s="115"/>
    </row>
    <row r="64" spans="1:94">
      <c r="B64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223"/>
      <c r="AF64" s="26"/>
      <c r="AG64" s="192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192"/>
      <c r="BD64" s="91"/>
      <c r="BE64" s="91"/>
      <c r="BF64" s="92"/>
      <c r="BG64" s="91"/>
      <c r="BH64" s="192"/>
      <c r="BI64" s="91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98"/>
      <c r="CI64" s="115"/>
    </row>
    <row r="65" spans="2:87">
      <c r="B65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223"/>
      <c r="AF65" s="26"/>
      <c r="AG65" s="192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192"/>
      <c r="BD65" s="91"/>
      <c r="BE65" s="91"/>
      <c r="BF65" s="92"/>
      <c r="BG65" s="91"/>
      <c r="BH65" s="192"/>
      <c r="BI65" s="91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98"/>
      <c r="CI65" s="26"/>
    </row>
    <row r="66" spans="2:87">
      <c r="B66"/>
      <c r="C66" s="26"/>
      <c r="D66" s="26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223"/>
      <c r="AF66" s="26"/>
      <c r="AG66" s="192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192"/>
      <c r="BD66" s="91"/>
      <c r="BE66" s="91"/>
      <c r="BF66" s="92"/>
      <c r="BG66" s="91"/>
      <c r="BH66" s="192"/>
      <c r="BI66" s="91"/>
      <c r="BJ66" s="125"/>
      <c r="BK66" s="125"/>
      <c r="BL66" s="125"/>
      <c r="BM66" s="125"/>
      <c r="BN66" s="125"/>
      <c r="BO66" s="125"/>
      <c r="BP66" s="125"/>
      <c r="BQ66" s="125"/>
      <c r="BR66" s="125"/>
      <c r="BS66" s="125"/>
      <c r="BT66" s="125"/>
      <c r="BU66" s="125"/>
      <c r="BV66" s="125"/>
      <c r="BW66" s="125"/>
      <c r="BX66" s="125"/>
      <c r="BY66" s="125"/>
      <c r="BZ66" s="125"/>
      <c r="CA66" s="125"/>
      <c r="CB66" s="125"/>
      <c r="CC66" s="125"/>
      <c r="CD66" s="125"/>
      <c r="CE66" s="125"/>
      <c r="CF66" s="125"/>
      <c r="CG66" s="125"/>
      <c r="CH66" s="98"/>
      <c r="CI66" s="115"/>
    </row>
    <row r="67" spans="2:87">
      <c r="B67"/>
      <c r="C67" s="26"/>
      <c r="D67" s="26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223"/>
      <c r="AF67" s="26"/>
      <c r="AG67" s="192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192"/>
      <c r="BD67" s="91"/>
      <c r="BE67" s="91"/>
      <c r="BF67" s="92"/>
      <c r="BG67" s="91"/>
      <c r="BH67" s="192"/>
      <c r="BI67" s="91"/>
      <c r="BJ67" s="125"/>
      <c r="BK67" s="125"/>
      <c r="BL67" s="125"/>
      <c r="BM67" s="125"/>
      <c r="BN67" s="125"/>
      <c r="BO67" s="125"/>
      <c r="BP67" s="125"/>
      <c r="BQ67" s="125"/>
      <c r="BR67" s="125"/>
      <c r="BS67" s="125"/>
      <c r="BT67" s="125"/>
      <c r="BU67" s="125"/>
      <c r="BV67" s="125"/>
      <c r="BW67" s="125"/>
      <c r="BX67" s="125"/>
      <c r="BY67" s="125"/>
      <c r="BZ67" s="125"/>
      <c r="CA67" s="125"/>
      <c r="CB67" s="125"/>
      <c r="CC67" s="125"/>
      <c r="CD67" s="125"/>
      <c r="CE67" s="125"/>
      <c r="CF67" s="125"/>
      <c r="CG67" s="125"/>
      <c r="CH67" s="98"/>
      <c r="CI67" s="26"/>
    </row>
    <row r="68" spans="2:87">
      <c r="B68" s="33"/>
      <c r="C68" s="26"/>
      <c r="D68" s="26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223"/>
      <c r="AF68" s="26"/>
      <c r="AG68" s="192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26"/>
      <c r="BH68" s="192"/>
      <c r="BJ68" s="125"/>
      <c r="BK68" s="125"/>
      <c r="BL68" s="125"/>
      <c r="BM68" s="125"/>
      <c r="BN68" s="125"/>
      <c r="BO68" s="125"/>
      <c r="BP68" s="125"/>
      <c r="BQ68" s="125"/>
      <c r="BR68" s="125"/>
      <c r="BS68" s="125"/>
      <c r="BT68" s="125"/>
      <c r="BU68" s="125"/>
      <c r="BV68" s="125"/>
      <c r="BW68" s="125"/>
      <c r="BX68" s="125"/>
      <c r="BY68" s="125"/>
      <c r="BZ68" s="125"/>
      <c r="CA68" s="125"/>
      <c r="CB68" s="125"/>
      <c r="CC68" s="125"/>
      <c r="CD68" s="125"/>
      <c r="CE68" s="125"/>
      <c r="CF68" s="125"/>
      <c r="CG68" s="125"/>
      <c r="CH68" s="98"/>
      <c r="CI68" s="115"/>
    </row>
    <row r="69" spans="2:87">
      <c r="B69" s="85"/>
      <c r="C69" s="26"/>
      <c r="D69" s="26"/>
      <c r="E69" s="91">
        <f>SUM(E58:E68)</f>
        <v>402057.39200363151</v>
      </c>
      <c r="F69" s="91">
        <f t="shared" ref="F69:AB69" si="3">SUM(F58:F68)</f>
        <v>84192.759036368545</v>
      </c>
      <c r="G69" s="91">
        <f t="shared" si="3"/>
        <v>486250.15104000003</v>
      </c>
      <c r="H69" s="91">
        <f t="shared" si="3"/>
        <v>85800.561138694989</v>
      </c>
      <c r="I69" s="91">
        <f t="shared" si="3"/>
        <v>10684.67006519847</v>
      </c>
      <c r="J69" s="91">
        <f t="shared" si="3"/>
        <v>96485.231203893461</v>
      </c>
      <c r="K69" s="91">
        <f t="shared" si="3"/>
        <v>105577.01232272286</v>
      </c>
      <c r="L69" s="91">
        <f t="shared" si="3"/>
        <v>8420.6491870447608</v>
      </c>
      <c r="M69" s="91">
        <f t="shared" si="3"/>
        <v>113997.66150976761</v>
      </c>
      <c r="N69" s="91">
        <f t="shared" si="3"/>
        <v>47659.085260601263</v>
      </c>
      <c r="O69" s="91">
        <f t="shared" si="3"/>
        <v>14122.236896454457</v>
      </c>
      <c r="P69" s="91">
        <f t="shared" si="3"/>
        <v>61781.322157055714</v>
      </c>
      <c r="Q69" s="91">
        <f t="shared" si="3"/>
        <v>72460.615670657411</v>
      </c>
      <c r="R69" s="91">
        <f t="shared" si="3"/>
        <v>22416.900107467831</v>
      </c>
      <c r="S69" s="91">
        <f t="shared" si="3"/>
        <v>94877.515778125235</v>
      </c>
      <c r="T69" s="91">
        <f t="shared" si="3"/>
        <v>439.73701558207767</v>
      </c>
      <c r="U69" s="91">
        <f t="shared" si="3"/>
        <v>17475.736299613109</v>
      </c>
      <c r="V69" s="91">
        <f t="shared" si="3"/>
        <v>6430.843450386893</v>
      </c>
      <c r="W69" s="91">
        <f t="shared" si="3"/>
        <v>23906.579750000001</v>
      </c>
      <c r="X69" s="91">
        <f t="shared" si="3"/>
        <v>73084.381311341887</v>
      </c>
      <c r="Y69" s="91">
        <f t="shared" si="3"/>
        <v>22117.459329816149</v>
      </c>
      <c r="Z69" s="91">
        <f t="shared" si="3"/>
        <v>95201.840641158051</v>
      </c>
      <c r="AA69" s="91">
        <f t="shared" si="3"/>
        <v>393030.81076847878</v>
      </c>
      <c r="AB69" s="91">
        <f t="shared" si="3"/>
        <v>438493.09575257055</v>
      </c>
      <c r="AC69" s="91"/>
      <c r="AD69" s="91"/>
      <c r="AE69" s="223">
        <f>+AB69/AA69</f>
        <v>1.1156710459803418</v>
      </c>
      <c r="AF69" s="26"/>
      <c r="AG69" s="192">
        <f>+W69/G69</f>
        <v>4.9165187298899966E-2</v>
      </c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26"/>
      <c r="BJ69" s="125"/>
      <c r="BK69" s="125"/>
      <c r="BL69" s="125"/>
      <c r="BM69" s="125"/>
      <c r="BN69" s="125"/>
      <c r="BO69" s="125"/>
      <c r="BP69" s="125"/>
      <c r="BQ69" s="125"/>
      <c r="BR69" s="125"/>
      <c r="BS69" s="125"/>
      <c r="BT69" s="125"/>
      <c r="BU69" s="125"/>
      <c r="BV69" s="125"/>
      <c r="BW69" s="125"/>
      <c r="BX69" s="125"/>
      <c r="BY69" s="125"/>
      <c r="BZ69" s="125"/>
      <c r="CA69" s="125"/>
      <c r="CB69" s="125"/>
      <c r="CC69" s="125"/>
      <c r="CD69" s="125"/>
      <c r="CE69" s="125"/>
      <c r="CF69" s="125"/>
      <c r="CG69" s="125"/>
      <c r="CH69" s="98"/>
      <c r="CI69" s="115"/>
    </row>
    <row r="70" spans="2:87">
      <c r="B70" s="85"/>
      <c r="C70" s="26"/>
      <c r="D70" s="26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26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26"/>
      <c r="BJ70" s="125"/>
      <c r="BK70" s="125"/>
      <c r="BL70" s="125"/>
      <c r="BM70" s="125"/>
      <c r="BN70" s="125"/>
      <c r="BO70" s="125"/>
      <c r="BP70" s="125"/>
      <c r="BQ70" s="125"/>
      <c r="BR70" s="125"/>
      <c r="BS70" s="125"/>
      <c r="BT70" s="125"/>
      <c r="BU70" s="125"/>
      <c r="BV70" s="125"/>
      <c r="BW70" s="125"/>
      <c r="BX70" s="125"/>
      <c r="BY70" s="125"/>
      <c r="BZ70" s="125"/>
      <c r="CA70" s="125"/>
      <c r="CB70" s="125"/>
      <c r="CC70" s="125"/>
      <c r="CD70" s="125"/>
      <c r="CE70" s="125"/>
      <c r="CF70" s="125"/>
      <c r="CG70" s="125"/>
      <c r="CH70" s="98"/>
      <c r="CI70" s="115"/>
    </row>
    <row r="71" spans="2:87">
      <c r="B71" s="85"/>
      <c r="C71" s="26"/>
      <c r="D71" s="26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91"/>
      <c r="BD71" s="91"/>
      <c r="BE71" s="91"/>
      <c r="BJ71" s="125"/>
      <c r="BK71" s="125"/>
      <c r="BL71" s="125"/>
      <c r="BM71" s="125"/>
      <c r="BN71" s="125"/>
      <c r="BO71" s="125"/>
      <c r="BP71" s="125"/>
      <c r="BQ71" s="125"/>
      <c r="BR71" s="125"/>
      <c r="BS71" s="125"/>
      <c r="BT71" s="125"/>
      <c r="BU71" s="125"/>
      <c r="BV71" s="125"/>
      <c r="BW71" s="125"/>
      <c r="BX71" s="125"/>
      <c r="BY71" s="125"/>
      <c r="BZ71" s="125"/>
      <c r="CA71" s="125"/>
      <c r="CB71" s="125"/>
      <c r="CC71" s="125"/>
      <c r="CD71" s="125"/>
      <c r="CE71" s="125"/>
      <c r="CF71" s="125"/>
      <c r="CG71" s="125"/>
      <c r="CI71" s="26"/>
    </row>
    <row r="72" spans="2:87">
      <c r="B72" s="85"/>
      <c r="C72" s="26"/>
      <c r="D72" s="26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85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91"/>
      <c r="BD72" s="91"/>
      <c r="BE72" s="91"/>
      <c r="BF72" s="26"/>
      <c r="BG72" s="26"/>
      <c r="BH72" s="26"/>
      <c r="BI72" s="26"/>
      <c r="BJ72" s="125"/>
      <c r="BK72" s="125"/>
      <c r="BL72" s="125"/>
      <c r="BM72" s="125"/>
      <c r="BN72" s="125"/>
      <c r="BO72" s="125"/>
      <c r="BP72" s="125"/>
      <c r="BQ72" s="125"/>
      <c r="BR72" s="125"/>
      <c r="BS72" s="125"/>
      <c r="BT72" s="125"/>
      <c r="BU72" s="125"/>
      <c r="BV72" s="125"/>
      <c r="BW72" s="125"/>
      <c r="BX72" s="125"/>
      <c r="BY72" s="125"/>
      <c r="BZ72" s="125"/>
      <c r="CA72" s="125"/>
      <c r="CB72" s="125"/>
      <c r="CC72" s="125"/>
      <c r="CD72" s="125"/>
      <c r="CE72" s="125"/>
      <c r="CF72" s="125"/>
      <c r="CG72" s="125"/>
      <c r="CH72" s="26"/>
      <c r="CI72" s="115"/>
    </row>
    <row r="73" spans="2:87">
      <c r="B73" s="85"/>
      <c r="C73" s="26"/>
      <c r="D73" s="26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85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91"/>
      <c r="BD73" s="91"/>
      <c r="BE73" s="91"/>
      <c r="BF73" s="26"/>
      <c r="BG73" s="26"/>
      <c r="BH73" s="26"/>
      <c r="BI73" s="26"/>
      <c r="BJ73" s="125"/>
      <c r="BK73" s="125"/>
      <c r="BL73" s="125"/>
      <c r="BM73" s="125"/>
      <c r="BN73" s="125"/>
      <c r="BO73" s="125"/>
      <c r="BP73" s="125"/>
      <c r="BQ73" s="125"/>
      <c r="BR73" s="125"/>
      <c r="BS73" s="125"/>
      <c r="BT73" s="125"/>
      <c r="BU73" s="125"/>
      <c r="BV73" s="125"/>
      <c r="BW73" s="125"/>
      <c r="BX73" s="125"/>
      <c r="BY73" s="125"/>
      <c r="BZ73" s="125"/>
      <c r="CA73" s="125"/>
      <c r="CB73" s="125"/>
      <c r="CC73" s="125"/>
      <c r="CD73" s="125"/>
      <c r="CE73" s="125"/>
      <c r="CF73" s="125"/>
      <c r="CG73" s="125"/>
      <c r="CH73" s="26"/>
      <c r="CI73" s="26"/>
    </row>
    <row r="74" spans="2:87">
      <c r="B74" s="85"/>
      <c r="C74" s="26"/>
      <c r="D74" s="26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91"/>
      <c r="BD74" s="91"/>
      <c r="BE74" s="91"/>
      <c r="BF74" s="26"/>
      <c r="BG74" s="137"/>
      <c r="BH74" s="137"/>
      <c r="BI74" s="138"/>
      <c r="BJ74" s="125"/>
      <c r="BK74" s="125"/>
      <c r="BL74" s="125"/>
      <c r="BM74" s="125"/>
      <c r="BN74" s="125"/>
      <c r="BO74" s="125"/>
      <c r="BP74" s="125"/>
      <c r="BQ74" s="125"/>
      <c r="BR74" s="125"/>
      <c r="BS74" s="125"/>
      <c r="BT74" s="125"/>
      <c r="BU74" s="125"/>
      <c r="BV74" s="125"/>
      <c r="BW74" s="125"/>
      <c r="BX74" s="125"/>
      <c r="BY74" s="125"/>
      <c r="BZ74" s="125"/>
      <c r="CA74" s="125"/>
      <c r="CB74" s="125"/>
      <c r="CC74" s="125"/>
      <c r="CD74" s="125"/>
      <c r="CE74" s="125"/>
      <c r="CF74" s="125"/>
      <c r="CG74" s="125"/>
      <c r="CH74" s="139"/>
      <c r="CI74" s="115"/>
    </row>
    <row r="75" spans="2:87">
      <c r="B75" s="85"/>
      <c r="C75" s="26"/>
      <c r="D75" s="26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</row>
    <row r="76" spans="2:87">
      <c r="B76" s="85"/>
      <c r="C76" s="26"/>
      <c r="D76" s="26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</row>
    <row r="77" spans="2:87">
      <c r="B77" s="85"/>
      <c r="C77" s="26"/>
      <c r="D77" s="26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</row>
    <row r="78" spans="2:87">
      <c r="B78" s="85"/>
      <c r="C78" s="26"/>
      <c r="D78" s="26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G78" s="136"/>
      <c r="BH78" s="136"/>
      <c r="BI78" s="136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</row>
    <row r="79" spans="2:87">
      <c r="B79" s="85"/>
      <c r="C79" s="26"/>
      <c r="D79" s="26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</row>
    <row r="80" spans="2:87">
      <c r="B80" s="85"/>
      <c r="C80" s="26"/>
      <c r="D80" s="26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J80" s="149"/>
      <c r="BK80" s="149"/>
      <c r="BL80" s="149"/>
      <c r="BM80" s="149"/>
      <c r="BN80" s="149"/>
      <c r="BO80" s="149"/>
      <c r="BP80" s="149"/>
      <c r="BQ80" s="149"/>
      <c r="BR80" s="149"/>
      <c r="BS80" s="149"/>
      <c r="BT80" s="149"/>
      <c r="BU80" s="149"/>
      <c r="BV80" s="149"/>
      <c r="BW80" s="149"/>
      <c r="BX80" s="149"/>
      <c r="BY80" s="149"/>
      <c r="BZ80" s="149"/>
      <c r="CA80" s="149"/>
      <c r="CB80" s="149"/>
      <c r="CC80" s="149"/>
      <c r="CD80" s="149"/>
      <c r="CE80" s="149"/>
      <c r="CF80" s="149"/>
      <c r="CG80" s="149"/>
      <c r="CH80" s="149"/>
    </row>
    <row r="81" spans="2:56">
      <c r="B81" s="85"/>
      <c r="C81" s="26"/>
      <c r="D81" s="26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</row>
    <row r="82" spans="2:56">
      <c r="B82" s="85"/>
      <c r="C82" s="26"/>
      <c r="D82" s="26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</row>
    <row r="83" spans="2:56">
      <c r="B83" s="85"/>
      <c r="C83" s="26"/>
      <c r="D83" s="26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</row>
    <row r="84" spans="2:56">
      <c r="B84" s="85"/>
      <c r="C84" s="26"/>
      <c r="D84" s="26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</row>
    <row r="85" spans="2:56">
      <c r="B85" s="85"/>
      <c r="C85" s="26"/>
      <c r="D85" s="26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</row>
    <row r="86" spans="2:56">
      <c r="B86" s="85"/>
      <c r="C86" s="26"/>
      <c r="D86" s="26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</row>
    <row r="87" spans="2:56">
      <c r="B87" s="85"/>
      <c r="C87" s="26"/>
      <c r="D87" s="26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</row>
    <row r="88" spans="2:56">
      <c r="B88" s="85"/>
      <c r="C88" s="26"/>
      <c r="D88" s="26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</row>
    <row r="89" spans="2:56">
      <c r="B89" s="85"/>
      <c r="C89" s="26"/>
      <c r="D89" s="26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</row>
    <row r="90" spans="2:56">
      <c r="B90" s="85"/>
      <c r="C90" s="26"/>
      <c r="D90" s="26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</row>
    <row r="91" spans="2:56">
      <c r="B91" s="85"/>
      <c r="C91" s="26"/>
      <c r="D91" s="26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</row>
    <row r="92" spans="2:56">
      <c r="B92" s="85"/>
      <c r="C92" s="26"/>
      <c r="D92" s="26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</row>
    <row r="93" spans="2:56">
      <c r="B93" s="85"/>
      <c r="C93" s="26"/>
      <c r="D93" s="26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</row>
    <row r="94" spans="2:56">
      <c r="B94" s="85"/>
      <c r="C94" s="26"/>
      <c r="D94" s="26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</row>
    <row r="95" spans="2:56">
      <c r="B95" s="85"/>
      <c r="C95" s="26"/>
      <c r="D95" s="26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</row>
    <row r="96" spans="2:56">
      <c r="B96" s="26"/>
      <c r="C96" s="26"/>
      <c r="D96" s="26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</row>
    <row r="97" spans="2:56">
      <c r="B97" s="85"/>
      <c r="C97" s="26"/>
      <c r="D97" s="26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</row>
    <row r="98" spans="2:56">
      <c r="B98" s="85"/>
      <c r="C98" s="26"/>
      <c r="D98" s="26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</row>
    <row r="99" spans="2:56">
      <c r="B99" s="85"/>
      <c r="C99" s="26"/>
      <c r="D99" s="26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</row>
    <row r="100" spans="2:56">
      <c r="B100" s="85"/>
      <c r="C100" s="26"/>
      <c r="D100" s="26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</row>
    <row r="101" spans="2:56">
      <c r="B101" s="85"/>
      <c r="C101" s="26"/>
      <c r="D101" s="26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</row>
    <row r="102" spans="2:56">
      <c r="B102" s="85"/>
      <c r="C102" s="26"/>
      <c r="D102" s="26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</row>
    <row r="103" spans="2:56">
      <c r="B103" s="85"/>
      <c r="C103" s="26"/>
      <c r="D103" s="26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</row>
    <row r="104" spans="2:56">
      <c r="B104" s="85"/>
      <c r="C104" s="26"/>
      <c r="D104" s="26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</row>
    <row r="105" spans="2:56">
      <c r="B105" s="85"/>
      <c r="C105" s="26"/>
      <c r="D105" s="26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</row>
    <row r="106" spans="2:56">
      <c r="B106" s="85"/>
      <c r="C106" s="26"/>
      <c r="D106" s="26"/>
      <c r="E106" s="93"/>
      <c r="F106" s="93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93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</row>
    <row r="107" spans="2:56">
      <c r="B107" s="26"/>
      <c r="C107" s="26"/>
      <c r="D107" s="26"/>
      <c r="E107" s="26"/>
      <c r="F107" s="26"/>
      <c r="G107" s="26"/>
      <c r="H107" s="26"/>
      <c r="I107" s="26"/>
      <c r="J107" s="20"/>
      <c r="K107" s="26"/>
      <c r="L107" s="26"/>
      <c r="M107" s="20"/>
      <c r="N107" s="26"/>
      <c r="O107" s="26"/>
      <c r="P107" s="20"/>
      <c r="Q107" s="26"/>
      <c r="R107" s="26"/>
      <c r="S107" s="20"/>
      <c r="T107" s="20"/>
      <c r="U107" s="20"/>
      <c r="V107" s="20"/>
      <c r="W107" s="20"/>
      <c r="X107" s="20"/>
      <c r="Y107" s="20"/>
      <c r="Z107" s="20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</row>
  </sheetData>
  <pageMargins left="0.16666666666666666" right="0.16666666666666666" top="0.16666666666666666" bottom="0.16666666666666666" header="0" footer="0"/>
  <pageSetup scale="99" orientation="landscape" r:id="rId1"/>
  <headerFooter alignWithMargins="0">
    <oddFooter>&amp;L&amp;"Arial"&amp;12&amp;D&amp;C&amp;"Arial"&amp;12&amp;T&amp;R&amp;"Arial"&amp;12&amp;F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4DD9C0-E318-48DD-B18E-EF5610452C41}"/>
</file>

<file path=customXml/itemProps2.xml><?xml version="1.0" encoding="utf-8"?>
<ds:datastoreItem xmlns:ds="http://schemas.openxmlformats.org/officeDocument/2006/customXml" ds:itemID="{D24B3EAE-2711-4CC5-9172-3CA41416C14B}"/>
</file>

<file path=customXml/itemProps3.xml><?xml version="1.0" encoding="utf-8"?>
<ds:datastoreItem xmlns:ds="http://schemas.openxmlformats.org/officeDocument/2006/customXml" ds:itemID="{8C710B17-00F6-47DD-85DE-9D0499277C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</vt:lpstr>
      <vt:lpstr>Final UCC Appr'd FY2022</vt:lpstr>
      <vt:lpstr>UCC Fund Calc FY2022</vt:lpstr>
      <vt:lpstr>PayOut  PayIn FY2022</vt:lpstr>
      <vt:lpstr>PDA Schedules FY 2020</vt:lpstr>
      <vt:lpstr>PDA Schedules FY 2019</vt:lpstr>
      <vt:lpstr>PDA Schedules FY 2018</vt:lpstr>
      <vt:lpstr>PDA Schedules FY 2017</vt:lpstr>
      <vt:lpstr>Marcellas PDA FY 2020</vt:lpstr>
      <vt:lpstr> Schedule RE FY 2017</vt:lpstr>
      <vt:lpstr>' Schedule RE FY 2017'!Print_Area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Jerry Schmith</dc:creator>
  <cp:lastModifiedBy>Jerry Schmith</cp:lastModifiedBy>
  <cp:lastPrinted>2021-02-18T21:27:08Z</cp:lastPrinted>
  <dcterms:created xsi:type="dcterms:W3CDTF">2014-04-16T19:30:05Z</dcterms:created>
  <dcterms:modified xsi:type="dcterms:W3CDTF">2021-07-20T21:30:25Z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