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R:\Rate Setting\Model Input\RY2020\NOT READY\"/>
    </mc:Choice>
  </mc:AlternateContent>
  <bookViews>
    <workbookView xWindow="0" yWindow="0" windowWidth="9570" windowHeight="5655" firstSheet="1" activeTab="1"/>
  </bookViews>
  <sheets>
    <sheet name="FY2020 Original" sheetId="2" state="hidden" r:id="rId1"/>
    <sheet name="FY2020 Adjusted" sheetId="3" r:id="rId2"/>
  </sheets>
  <externalReferences>
    <externalReference r:id="rId3"/>
  </externalReferences>
  <definedNames>
    <definedName name="hospid2">'[1]Hosp. I.D.'!$A$5:$C$66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0" i="3" l="1"/>
  <c r="D14" i="3"/>
  <c r="C14" i="3"/>
  <c r="B3" i="3" l="1"/>
  <c r="D10" i="2"/>
  <c r="C10" i="2"/>
  <c r="B3" i="2"/>
  <c r="B83" i="3" l="1"/>
  <c r="B84" i="3"/>
  <c r="B82" i="3"/>
  <c r="I76" i="2" l="1"/>
  <c r="I75" i="2"/>
  <c r="I74" i="2"/>
  <c r="I73" i="2"/>
  <c r="I63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D43" i="3" s="1"/>
  <c r="I13" i="2"/>
  <c r="I12" i="2"/>
  <c r="D73" i="3" l="1"/>
  <c r="C69" i="3"/>
  <c r="D69" i="3"/>
  <c r="C18" i="3"/>
  <c r="C34" i="3"/>
  <c r="C15" i="3"/>
  <c r="C27" i="3"/>
  <c r="C39" i="3"/>
  <c r="C55" i="3"/>
  <c r="D12" i="3"/>
  <c r="D24" i="3"/>
  <c r="D36" i="3"/>
  <c r="D40" i="3"/>
  <c r="D44" i="3"/>
  <c r="D48" i="3"/>
  <c r="D52" i="3"/>
  <c r="D56" i="3"/>
  <c r="D60" i="3"/>
  <c r="D70" i="3"/>
  <c r="C30" i="3"/>
  <c r="C46" i="3"/>
  <c r="C58" i="3"/>
  <c r="C23" i="3"/>
  <c r="C35" i="3"/>
  <c r="C47" i="3"/>
  <c r="C59" i="3"/>
  <c r="D16" i="3"/>
  <c r="D28" i="3"/>
  <c r="C16" i="3"/>
  <c r="C20" i="3"/>
  <c r="C24" i="3"/>
  <c r="C28" i="3"/>
  <c r="C32" i="3"/>
  <c r="C36" i="3"/>
  <c r="C40" i="3"/>
  <c r="C44" i="3"/>
  <c r="C48" i="3"/>
  <c r="C52" i="3"/>
  <c r="C56" i="3"/>
  <c r="C60" i="3"/>
  <c r="C72" i="3"/>
  <c r="D13" i="3"/>
  <c r="D17" i="3"/>
  <c r="D21" i="3"/>
  <c r="D25" i="3"/>
  <c r="D29" i="3"/>
  <c r="D33" i="3"/>
  <c r="D37" i="3"/>
  <c r="D41" i="3"/>
  <c r="D45" i="3"/>
  <c r="D49" i="3"/>
  <c r="D53" i="3"/>
  <c r="D57" i="3"/>
  <c r="D71" i="3"/>
  <c r="C26" i="3"/>
  <c r="C42" i="3"/>
  <c r="C70" i="3"/>
  <c r="C19" i="3"/>
  <c r="C31" i="3"/>
  <c r="C43" i="3"/>
  <c r="C51" i="3"/>
  <c r="C71" i="3"/>
  <c r="D20" i="3"/>
  <c r="D32" i="3"/>
  <c r="C13" i="3"/>
  <c r="C17" i="3"/>
  <c r="C21" i="3"/>
  <c r="C25" i="3"/>
  <c r="C29" i="3"/>
  <c r="C33" i="3"/>
  <c r="C37" i="3"/>
  <c r="C41" i="3"/>
  <c r="C45" i="3"/>
  <c r="C49" i="3"/>
  <c r="C53" i="3"/>
  <c r="C57" i="3"/>
  <c r="C73" i="3"/>
  <c r="D18" i="3"/>
  <c r="D22" i="3"/>
  <c r="D26" i="3"/>
  <c r="D30" i="3"/>
  <c r="D34" i="3"/>
  <c r="D38" i="3"/>
  <c r="D42" i="3"/>
  <c r="D46" i="3"/>
  <c r="D54" i="3"/>
  <c r="D58" i="3"/>
  <c r="D72" i="3"/>
  <c r="C22" i="3"/>
  <c r="C38" i="3"/>
  <c r="C54" i="3"/>
  <c r="C12" i="3"/>
  <c r="D15" i="3"/>
  <c r="D19" i="3"/>
  <c r="D23" i="3"/>
  <c r="D27" i="3"/>
  <c r="D31" i="3"/>
  <c r="D35" i="3"/>
  <c r="D39" i="3"/>
  <c r="D47" i="3"/>
  <c r="D51" i="3"/>
  <c r="D55" i="3"/>
  <c r="D59" i="3"/>
  <c r="D10" i="3"/>
  <c r="C10" i="3"/>
  <c r="D76" i="3" l="1"/>
  <c r="C76" i="3"/>
  <c r="D79" i="2"/>
  <c r="C79" i="2"/>
  <c r="C63" i="3" l="1"/>
  <c r="C79" i="3" s="1"/>
  <c r="D66" i="2"/>
  <c r="C66" i="2"/>
  <c r="D63" i="3" l="1"/>
  <c r="D79" i="3" s="1"/>
  <c r="C82" i="2" l="1"/>
  <c r="D82" i="2"/>
  <c r="F56" i="3"/>
  <c r="F60" i="3"/>
  <c r="F26" i="3"/>
  <c r="F32" i="3"/>
  <c r="E29" i="3"/>
  <c r="E6" i="3"/>
  <c r="F13" i="3" s="1"/>
  <c r="E71" i="3"/>
  <c r="E5" i="2"/>
  <c r="E6" i="2" s="1"/>
  <c r="E30" i="2" s="1"/>
  <c r="E22" i="3" l="1"/>
  <c r="F50" i="3"/>
  <c r="F14" i="3"/>
  <c r="F54" i="3"/>
  <c r="E43" i="3"/>
  <c r="G43" i="3" s="1"/>
  <c r="H43" i="3" s="1"/>
  <c r="E31" i="3"/>
  <c r="F36" i="3"/>
  <c r="F40" i="3"/>
  <c r="F27" i="3"/>
  <c r="E21" i="3"/>
  <c r="F69" i="3"/>
  <c r="F37" i="3"/>
  <c r="F43" i="3"/>
  <c r="F44" i="3"/>
  <c r="E14" i="2"/>
  <c r="E27" i="2"/>
  <c r="E17" i="2"/>
  <c r="E22" i="2"/>
  <c r="E43" i="2"/>
  <c r="E76" i="2"/>
  <c r="E52" i="2"/>
  <c r="E54" i="2"/>
  <c r="E73" i="2"/>
  <c r="E59" i="2"/>
  <c r="E24" i="2"/>
  <c r="G24" i="2" s="1"/>
  <c r="H24" i="2" s="1"/>
  <c r="E61" i="2"/>
  <c r="E53" i="2"/>
  <c r="E49" i="2"/>
  <c r="E40" i="2"/>
  <c r="E56" i="2"/>
  <c r="E23" i="2"/>
  <c r="E19" i="2"/>
  <c r="E16" i="2"/>
  <c r="F14" i="2"/>
  <c r="F73" i="2"/>
  <c r="F58" i="2"/>
  <c r="F75" i="2"/>
  <c r="F54" i="2"/>
  <c r="F24" i="2"/>
  <c r="F55" i="2"/>
  <c r="F16" i="2"/>
  <c r="F45" i="2"/>
  <c r="F52" i="2"/>
  <c r="F62" i="2"/>
  <c r="F51" i="2"/>
  <c r="F31" i="2"/>
  <c r="F41" i="2"/>
  <c r="E46" i="2"/>
  <c r="E51" i="2"/>
  <c r="G51" i="2" s="1"/>
  <c r="H51" i="2" s="1"/>
  <c r="E37" i="2"/>
  <c r="E38" i="2"/>
  <c r="E47" i="2"/>
  <c r="G47" i="2" s="1"/>
  <c r="H47" i="2" s="1"/>
  <c r="F61" i="2"/>
  <c r="F20" i="2"/>
  <c r="F53" i="2"/>
  <c r="F21" i="2"/>
  <c r="F43" i="2"/>
  <c r="F57" i="2"/>
  <c r="F34" i="2"/>
  <c r="F19" i="2"/>
  <c r="F33" i="2"/>
  <c r="F23" i="2"/>
  <c r="F18" i="2"/>
  <c r="F42" i="2"/>
  <c r="F40" i="2"/>
  <c r="F46" i="2"/>
  <c r="E58" i="2"/>
  <c r="E41" i="2"/>
  <c r="G41" i="2" s="1"/>
  <c r="H41" i="2" s="1"/>
  <c r="E39" i="2"/>
  <c r="E21" i="2"/>
  <c r="F47" i="2"/>
  <c r="F38" i="2"/>
  <c r="F15" i="2"/>
  <c r="F13" i="2"/>
  <c r="F59" i="2"/>
  <c r="F26" i="2"/>
  <c r="F25" i="2"/>
  <c r="E13" i="2"/>
  <c r="G13" i="2" s="1"/>
  <c r="H13" i="2" s="1"/>
  <c r="E36" i="2"/>
  <c r="E33" i="2"/>
  <c r="E12" i="2"/>
  <c r="E60" i="2"/>
  <c r="E57" i="2"/>
  <c r="E74" i="2"/>
  <c r="G74" i="2" s="1"/>
  <c r="H74" i="2" s="1"/>
  <c r="F72" i="2"/>
  <c r="E32" i="2"/>
  <c r="E31" i="2"/>
  <c r="E45" i="2"/>
  <c r="G45" i="2" s="1"/>
  <c r="H45" i="2" s="1"/>
  <c r="E29" i="2"/>
  <c r="G29" i="2" s="1"/>
  <c r="H29" i="2" s="1"/>
  <c r="E75" i="2"/>
  <c r="E18" i="2"/>
  <c r="G18" i="2" s="1"/>
  <c r="H18" i="2" s="1"/>
  <c r="F22" i="2"/>
  <c r="F36" i="2"/>
  <c r="F28" i="2"/>
  <c r="F32" i="2"/>
  <c r="F35" i="2"/>
  <c r="F17" i="2"/>
  <c r="F30" i="2"/>
  <c r="G30" i="2" s="1"/>
  <c r="H30" i="2" s="1"/>
  <c r="F74" i="2"/>
  <c r="F76" i="2"/>
  <c r="F49" i="2"/>
  <c r="F39" i="2"/>
  <c r="F29" i="2"/>
  <c r="F63" i="2"/>
  <c r="F44" i="2"/>
  <c r="E50" i="2"/>
  <c r="E44" i="2"/>
  <c r="E26" i="2"/>
  <c r="G26" i="2" s="1"/>
  <c r="H26" i="2" s="1"/>
  <c r="E63" i="2"/>
  <c r="E15" i="2"/>
  <c r="E34" i="2"/>
  <c r="G34" i="2" s="1"/>
  <c r="H34" i="2" s="1"/>
  <c r="E28" i="2"/>
  <c r="G28" i="2" s="1"/>
  <c r="H28" i="2" s="1"/>
  <c r="E35" i="2"/>
  <c r="E42" i="2"/>
  <c r="E48" i="2"/>
  <c r="F12" i="2"/>
  <c r="E55" i="2"/>
  <c r="G55" i="2" s="1"/>
  <c r="H55" i="2" s="1"/>
  <c r="E20" i="2"/>
  <c r="G20" i="2" s="1"/>
  <c r="H20" i="2" s="1"/>
  <c r="F37" i="2"/>
  <c r="F27" i="2"/>
  <c r="F56" i="2"/>
  <c r="F50" i="2"/>
  <c r="F48" i="2"/>
  <c r="F60" i="2"/>
  <c r="E72" i="2"/>
  <c r="E62" i="2"/>
  <c r="E25" i="2"/>
  <c r="E13" i="3"/>
  <c r="G13" i="3" s="1"/>
  <c r="H13" i="3" s="1"/>
  <c r="E39" i="3"/>
  <c r="E54" i="3"/>
  <c r="F33" i="3"/>
  <c r="F42" i="3"/>
  <c r="F18" i="3"/>
  <c r="F24" i="3"/>
  <c r="F17" i="3"/>
  <c r="F22" i="3"/>
  <c r="G22" i="3" s="1"/>
  <c r="H22" i="3" s="1"/>
  <c r="F71" i="3"/>
  <c r="G71" i="3" s="1"/>
  <c r="H71" i="3" s="1"/>
  <c r="F48" i="3"/>
  <c r="F38" i="3"/>
  <c r="F70" i="3"/>
  <c r="F15" i="3"/>
  <c r="F72" i="3"/>
  <c r="F59" i="3"/>
  <c r="F45" i="3"/>
  <c r="F41" i="3"/>
  <c r="F53" i="3"/>
  <c r="F28" i="3"/>
  <c r="F46" i="3"/>
  <c r="F19" i="3"/>
  <c r="E48" i="3"/>
  <c r="G48" i="3" s="1"/>
  <c r="H48" i="3" s="1"/>
  <c r="E38" i="3"/>
  <c r="G38" i="3" s="1"/>
  <c r="H38" i="3" s="1"/>
  <c r="E72" i="3"/>
  <c r="E42" i="3"/>
  <c r="E40" i="3"/>
  <c r="E28" i="3"/>
  <c r="G28" i="3" s="1"/>
  <c r="H28" i="3" s="1"/>
  <c r="E73" i="3"/>
  <c r="E50" i="3"/>
  <c r="G50" i="3" s="1"/>
  <c r="H50" i="3" s="1"/>
  <c r="E24" i="3"/>
  <c r="G24" i="3" s="1"/>
  <c r="H24" i="3" s="1"/>
  <c r="E55" i="3"/>
  <c r="E59" i="3"/>
  <c r="E16" i="3"/>
  <c r="E14" i="3"/>
  <c r="G14" i="3" s="1"/>
  <c r="H14" i="3" s="1"/>
  <c r="E46" i="3"/>
  <c r="E49" i="3"/>
  <c r="E32" i="3"/>
  <c r="G32" i="3" s="1"/>
  <c r="H32" i="3" s="1"/>
  <c r="E34" i="3"/>
  <c r="E12" i="3"/>
  <c r="E17" i="3"/>
  <c r="E15" i="3"/>
  <c r="G15" i="3" s="1"/>
  <c r="H15" i="3" s="1"/>
  <c r="F35" i="3"/>
  <c r="F23" i="3"/>
  <c r="F57" i="3"/>
  <c r="F51" i="3"/>
  <c r="F39" i="3"/>
  <c r="F21" i="3"/>
  <c r="F73" i="3"/>
  <c r="F49" i="3"/>
  <c r="F25" i="3"/>
  <c r="F30" i="3"/>
  <c r="F20" i="3"/>
  <c r="F55" i="3"/>
  <c r="F58" i="3"/>
  <c r="F12" i="3"/>
  <c r="E69" i="3"/>
  <c r="E23" i="3"/>
  <c r="G23" i="3" s="1"/>
  <c r="H23" i="3" s="1"/>
  <c r="E57" i="3"/>
  <c r="E51" i="3"/>
  <c r="E26" i="3"/>
  <c r="G26" i="3" s="1"/>
  <c r="H26" i="3" s="1"/>
  <c r="E58" i="3"/>
  <c r="E25" i="3"/>
  <c r="G25" i="3" s="1"/>
  <c r="H25" i="3" s="1"/>
  <c r="E53" i="3"/>
  <c r="E18" i="3"/>
  <c r="E45" i="3"/>
  <c r="E41" i="3"/>
  <c r="E33" i="3"/>
  <c r="G33" i="3" s="1"/>
  <c r="H33" i="3" s="1"/>
  <c r="E37" i="3"/>
  <c r="G37" i="3" s="1"/>
  <c r="H37" i="3" s="1"/>
  <c r="E36" i="3"/>
  <c r="G36" i="3" s="1"/>
  <c r="H36" i="3" s="1"/>
  <c r="E30" i="3"/>
  <c r="E19" i="3"/>
  <c r="E47" i="3"/>
  <c r="E20" i="3"/>
  <c r="E44" i="3"/>
  <c r="E56" i="3"/>
  <c r="G56" i="3" s="1"/>
  <c r="H56" i="3" s="1"/>
  <c r="E35" i="3"/>
  <c r="E60" i="3"/>
  <c r="G60" i="3" s="1"/>
  <c r="H60" i="3" s="1"/>
  <c r="E70" i="3"/>
  <c r="E52" i="3"/>
  <c r="E27" i="3"/>
  <c r="G27" i="3" s="1"/>
  <c r="H27" i="3" s="1"/>
  <c r="F16" i="3"/>
  <c r="F47" i="3"/>
  <c r="F34" i="3"/>
  <c r="F52" i="3"/>
  <c r="F29" i="3"/>
  <c r="G29" i="3" s="1"/>
  <c r="H29" i="3" s="1"/>
  <c r="F31" i="3"/>
  <c r="G18" i="3" l="1"/>
  <c r="H18" i="3" s="1"/>
  <c r="G33" i="2"/>
  <c r="H33" i="2" s="1"/>
  <c r="G19" i="3"/>
  <c r="H19" i="3" s="1"/>
  <c r="G21" i="3"/>
  <c r="H21" i="3" s="1"/>
  <c r="G25" i="2"/>
  <c r="H25" i="2" s="1"/>
  <c r="G53" i="2"/>
  <c r="H53" i="2" s="1"/>
  <c r="G73" i="2"/>
  <c r="H73" i="2" s="1"/>
  <c r="G31" i="3"/>
  <c r="H31" i="3" s="1"/>
  <c r="G70" i="3"/>
  <c r="G44" i="3"/>
  <c r="H44" i="3" s="1"/>
  <c r="G30" i="3"/>
  <c r="H30" i="3" s="1"/>
  <c r="G41" i="3"/>
  <c r="H41" i="3" s="1"/>
  <c r="G57" i="3"/>
  <c r="H57" i="3" s="1"/>
  <c r="G40" i="3"/>
  <c r="H40" i="3" s="1"/>
  <c r="G54" i="3"/>
  <c r="H54" i="3" s="1"/>
  <c r="G62" i="2"/>
  <c r="H62" i="2" s="1"/>
  <c r="G42" i="2"/>
  <c r="H42" i="2" s="1"/>
  <c r="G15" i="2"/>
  <c r="H15" i="2" s="1"/>
  <c r="G75" i="2"/>
  <c r="H75" i="2" s="1"/>
  <c r="G32" i="2"/>
  <c r="H32" i="2" s="1"/>
  <c r="G21" i="2"/>
  <c r="H21" i="2" s="1"/>
  <c r="G20" i="3"/>
  <c r="H20" i="3" s="1"/>
  <c r="G45" i="3"/>
  <c r="H45" i="3" s="1"/>
  <c r="G35" i="3"/>
  <c r="H35" i="3" s="1"/>
  <c r="G53" i="3"/>
  <c r="H53" i="3" s="1"/>
  <c r="G58" i="3"/>
  <c r="H58" i="3" s="1"/>
  <c r="G42" i="3"/>
  <c r="H42" i="3" s="1"/>
  <c r="G52" i="3"/>
  <c r="H52" i="3" s="1"/>
  <c r="G51" i="3"/>
  <c r="H51" i="3" s="1"/>
  <c r="G46" i="3"/>
  <c r="H46" i="3" s="1"/>
  <c r="F63" i="3"/>
  <c r="G12" i="3"/>
  <c r="E63" i="3"/>
  <c r="G55" i="3"/>
  <c r="H55" i="3" s="1"/>
  <c r="F76" i="3"/>
  <c r="G50" i="2"/>
  <c r="H50" i="2" s="1"/>
  <c r="G60" i="2"/>
  <c r="H60" i="2" s="1"/>
  <c r="G37" i="2"/>
  <c r="H37" i="2" s="1"/>
  <c r="G56" i="2"/>
  <c r="H56" i="2" s="1"/>
  <c r="G76" i="2"/>
  <c r="H76" i="2" s="1"/>
  <c r="G17" i="2"/>
  <c r="H17" i="2" s="1"/>
  <c r="H70" i="3"/>
  <c r="G34" i="3"/>
  <c r="H34" i="3" s="1"/>
  <c r="E79" i="2"/>
  <c r="G72" i="2"/>
  <c r="G35" i="2"/>
  <c r="H35" i="2" s="1"/>
  <c r="G63" i="2"/>
  <c r="H63" i="2" s="1"/>
  <c r="F79" i="2"/>
  <c r="G12" i="2"/>
  <c r="E66" i="2"/>
  <c r="G39" i="2"/>
  <c r="H39" i="2" s="1"/>
  <c r="G16" i="2"/>
  <c r="H16" i="2" s="1"/>
  <c r="G40" i="2"/>
  <c r="H40" i="2" s="1"/>
  <c r="G61" i="2"/>
  <c r="H61" i="2" s="1"/>
  <c r="G27" i="2"/>
  <c r="H27" i="2" s="1"/>
  <c r="G16" i="3"/>
  <c r="H16" i="3" s="1"/>
  <c r="G39" i="3"/>
  <c r="H39" i="3" s="1"/>
  <c r="F66" i="2"/>
  <c r="G46" i="2"/>
  <c r="H46" i="2" s="1"/>
  <c r="G19" i="2"/>
  <c r="H19" i="2" s="1"/>
  <c r="G49" i="2"/>
  <c r="H49" i="2" s="1"/>
  <c r="G54" i="2"/>
  <c r="H54" i="2" s="1"/>
  <c r="G43" i="2"/>
  <c r="H43" i="2" s="1"/>
  <c r="G14" i="2"/>
  <c r="H14" i="2" s="1"/>
  <c r="G47" i="3"/>
  <c r="H47" i="3" s="1"/>
  <c r="E76" i="3"/>
  <c r="E79" i="3" s="1"/>
  <c r="G17" i="3"/>
  <c r="H17" i="3" s="1"/>
  <c r="G49" i="3"/>
  <c r="H49" i="3" s="1"/>
  <c r="G59" i="3"/>
  <c r="H59" i="3" s="1"/>
  <c r="G73" i="3"/>
  <c r="H73" i="3" s="1"/>
  <c r="G72" i="3"/>
  <c r="H72" i="3" s="1"/>
  <c r="G48" i="2"/>
  <c r="H48" i="2" s="1"/>
  <c r="G44" i="2"/>
  <c r="H44" i="2" s="1"/>
  <c r="G31" i="2"/>
  <c r="H31" i="2" s="1"/>
  <c r="G57" i="2"/>
  <c r="H57" i="2" s="1"/>
  <c r="G36" i="2"/>
  <c r="H36" i="2" s="1"/>
  <c r="G58" i="2"/>
  <c r="H58" i="2" s="1"/>
  <c r="G38" i="2"/>
  <c r="H38" i="2" s="1"/>
  <c r="G23" i="2"/>
  <c r="H23" i="2" s="1"/>
  <c r="G59" i="2"/>
  <c r="H59" i="2" s="1"/>
  <c r="G52" i="2"/>
  <c r="H52" i="2" s="1"/>
  <c r="G22" i="2"/>
  <c r="H22" i="2" s="1"/>
  <c r="F79" i="3" l="1"/>
  <c r="H12" i="2"/>
  <c r="H66" i="2" s="1"/>
  <c r="G66" i="2"/>
  <c r="G79" i="2"/>
  <c r="G82" i="2" s="1"/>
  <c r="H72" i="2"/>
  <c r="H79" i="2" s="1"/>
  <c r="H76" i="3"/>
  <c r="F82" i="2"/>
  <c r="E82" i="2"/>
  <c r="G63" i="3"/>
  <c r="H12" i="3"/>
  <c r="H63" i="3" s="1"/>
  <c r="G76" i="3"/>
  <c r="H82" i="2" l="1"/>
  <c r="G79" i="3"/>
  <c r="H79" i="3"/>
</calcChain>
</file>

<file path=xl/sharedStrings.xml><?xml version="1.0" encoding="utf-8"?>
<sst xmlns="http://schemas.openxmlformats.org/spreadsheetml/2006/main" count="162" uniqueCount="89">
  <si>
    <t>HEALTH SERVICES COST REVIEW COMMISSION</t>
  </si>
  <si>
    <t>CALCULATION OF USER FEES</t>
  </si>
  <si>
    <t>BUDGET TOTAL =</t>
  </si>
  <si>
    <t>1/2 BUDGET =</t>
  </si>
  <si>
    <t>User Fee</t>
  </si>
  <si>
    <t>Hosp.</t>
  </si>
  <si>
    <t>Based on</t>
  </si>
  <si>
    <t>TOTAL User</t>
  </si>
  <si>
    <t>I.D</t>
  </si>
  <si>
    <t>HOSPITAL</t>
  </si>
  <si>
    <t>ADMISSIONS</t>
  </si>
  <si>
    <t xml:space="preserve">  REVENUE</t>
  </si>
  <si>
    <t>Fee Assessed</t>
  </si>
  <si>
    <t>Fee Rounded</t>
  </si>
  <si>
    <t>GROUP SUB-TOTAL</t>
  </si>
  <si>
    <t>STATE TOTAL</t>
  </si>
  <si>
    <t>ü</t>
  </si>
  <si>
    <t>Levindale</t>
  </si>
  <si>
    <t>Notes</t>
  </si>
  <si>
    <t>Psychiatric and Specialty Hospitals</t>
  </si>
  <si>
    <t>(Plus M/U)</t>
  </si>
  <si>
    <t>Meritus</t>
  </si>
  <si>
    <t>UMMC</t>
  </si>
  <si>
    <t>PG Hospital</t>
  </si>
  <si>
    <t>Holy Cross</t>
  </si>
  <si>
    <t>Frederick</t>
  </si>
  <si>
    <t>UM-Harford</t>
  </si>
  <si>
    <t>Mercy</t>
  </si>
  <si>
    <t>Johns Hopkins</t>
  </si>
  <si>
    <t>UM-Dorchester</t>
  </si>
  <si>
    <t>St. Agnes</t>
  </si>
  <si>
    <t>Sinai</t>
  </si>
  <si>
    <t>Bon Secours</t>
  </si>
  <si>
    <t>MedStar Fr Square</t>
  </si>
  <si>
    <t>Washington Adventist</t>
  </si>
  <si>
    <t>Garrett</t>
  </si>
  <si>
    <t>MedStar Montgomery</t>
  </si>
  <si>
    <t>Peninsula</t>
  </si>
  <si>
    <t>Suburban</t>
  </si>
  <si>
    <t>Anne Arundel</t>
  </si>
  <si>
    <t>MedStar Union Mem</t>
  </si>
  <si>
    <t>Western Maryland</t>
  </si>
  <si>
    <t>MedStar St. Mary's</t>
  </si>
  <si>
    <t>JH Bayview</t>
  </si>
  <si>
    <t>UM-Chestertown</t>
  </si>
  <si>
    <t>Union of Cecil</t>
  </si>
  <si>
    <t>Carroll</t>
  </si>
  <si>
    <t>MedStar Harbor</t>
  </si>
  <si>
    <t>UM-Charles Regional</t>
  </si>
  <si>
    <t>UM-Easton</t>
  </si>
  <si>
    <t>UMMC Midtown</t>
  </si>
  <si>
    <t>Calvert</t>
  </si>
  <si>
    <t>Northwest</t>
  </si>
  <si>
    <t>UM-BWMC</t>
  </si>
  <si>
    <t>GBMC</t>
  </si>
  <si>
    <t>McCready</t>
  </si>
  <si>
    <t>Howard County</t>
  </si>
  <si>
    <t>UM-Upper Chesapeake</t>
  </si>
  <si>
    <t>Doctors</t>
  </si>
  <si>
    <t>Laurel Regional</t>
  </si>
  <si>
    <t>MedStar Good Sam</t>
  </si>
  <si>
    <t>Shady Grove</t>
  </si>
  <si>
    <t>UMROI</t>
  </si>
  <si>
    <t>Ft. Washington</t>
  </si>
  <si>
    <t>Atlantic General</t>
  </si>
  <si>
    <t>MedStar Southern MD</t>
  </si>
  <si>
    <t>UM-St. Joe</t>
  </si>
  <si>
    <t>HC-Germantown</t>
  </si>
  <si>
    <t>Germantown ED</t>
  </si>
  <si>
    <t>UM-Queen Anne's ED</t>
  </si>
  <si>
    <t>Bowie ED</t>
  </si>
  <si>
    <t>Mt. Washington Peds</t>
  </si>
  <si>
    <t>Sheppard Pratt</t>
  </si>
  <si>
    <t>Brook Lane</t>
  </si>
  <si>
    <t>Adventist BH-Rockville</t>
  </si>
  <si>
    <t>UM-Shock Trauma</t>
  </si>
  <si>
    <t>Adventist HealthCare Rehabilitation</t>
  </si>
  <si>
    <t>Adventist HealthCare Rehabilitation (4)</t>
  </si>
  <si>
    <t>UM-Easton (2)</t>
  </si>
  <si>
    <t>Shady Grove (3)</t>
  </si>
  <si>
    <t>4) Adventist Rehab Fees to be added to Shady Grove Hospital Fees</t>
  </si>
  <si>
    <t>To</t>
  </si>
  <si>
    <t>Hosp ID</t>
  </si>
  <si>
    <t>ID</t>
  </si>
  <si>
    <t>Adventist BH-Rockville (4)</t>
  </si>
  <si>
    <t>213029 is from Financial Report</t>
  </si>
  <si>
    <t>5) Laurel becomes FMF, IP revenue and admission added to PG</t>
  </si>
  <si>
    <t>PG Hospital (1), (5)</t>
  </si>
  <si>
    <t>Laurel Regional (5)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</si>
</sst>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;[Red]\-General"/>
    <numFmt numFmtId="165" formatCode=";;;"/>
    <numFmt numFmtId="166" formatCode="[$$-409]#,##0"/>
    <numFmt numFmtId="167" formatCode="[$$-409]#,##0.00"/>
    <numFmt numFmtId="168" formatCode="[$$-409]#,##0;[Red]\-[$$-409]#,##0"/>
    <numFmt numFmtId="169" formatCode="[$USD]\ #,##0;[Red]\-[$USD]\ #,##0"/>
    <numFmt numFmtId="170" formatCode="[$USD]\ #,##0"/>
    <numFmt numFmtId="171" formatCode="&quot;$&quot;#,##0"/>
    <numFmt numFmtId="172" formatCode="#,##0.0"/>
    <numFmt numFmtId="173" formatCode="&quot;$&quot;#,##0\ ;\(&quot;$&quot;#,##0\)"/>
    <numFmt numFmtId="174" formatCode="#,##0.0000"/>
    <numFmt numFmtId="175" formatCode="_-* #,##0_-;\-* #,##0_-;_-* &quot;-&quot;_-;_-@_-"/>
    <numFmt numFmtId="176" formatCode="_-* #,##0.00_-;\-* #,##0.00_-;_-* &quot;-&quot;??_-;_-@_-"/>
    <numFmt numFmtId="177" formatCode="#,##0.00\ &quot;Ft&quot;;\-#,##0.00\ &quot;Ft&quot;"/>
    <numFmt numFmtId="178" formatCode="_-&quot;£&quot;* #,##0_-;\-&quot;£&quot;* #,##0_-;_-&quot;£&quot;* &quot;-&quot;_-;_-@_-"/>
    <numFmt numFmtId="179" formatCode="_-&quot;£&quot;* #,##0.00_-;\-&quot;£&quot;* #,##0.00_-;_-&quot;£&quot;* &quot;-&quot;??_-;_-@_-"/>
  </numFmts>
  <fonts count="5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Arial"/>
      <family val="2"/>
    </font>
    <font>
      <b/>
      <u/>
      <sz val="24"/>
      <name val="Arial"/>
      <family val="2"/>
    </font>
    <font>
      <b/>
      <sz val="14"/>
      <name val="Courier New"/>
      <family val="3"/>
    </font>
    <font>
      <b/>
      <sz val="14"/>
      <name val="Arial"/>
      <family val="2"/>
    </font>
    <font>
      <sz val="14"/>
      <name val="Arial"/>
      <family val="2"/>
    </font>
    <font>
      <b/>
      <sz val="14"/>
      <color indexed="12"/>
      <name val="Arial"/>
      <family val="2"/>
    </font>
    <font>
      <b/>
      <sz val="14"/>
      <color indexed="8"/>
      <name val="Arial"/>
      <family val="2"/>
    </font>
    <font>
      <sz val="12"/>
      <color indexed="12"/>
      <name val="Arial"/>
      <family val="2"/>
    </font>
    <font>
      <sz val="14"/>
      <name val="Courier New"/>
      <family val="3"/>
    </font>
    <font>
      <sz val="14"/>
      <color indexed="12"/>
      <name val="Arial"/>
      <family val="2"/>
    </font>
    <font>
      <b/>
      <sz val="12"/>
      <name val="Wingdings"/>
      <charset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Arial Unicode MS"/>
      <family val="2"/>
    </font>
    <font>
      <b/>
      <sz val="18"/>
      <color theme="3"/>
      <name val="Calibri Light"/>
      <family val="2"/>
      <scheme val="major"/>
    </font>
    <font>
      <b/>
      <sz val="10"/>
      <name val="Arial Unicode MS"/>
      <family val="2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24"/>
      <name val="Arial"/>
      <family val="2"/>
    </font>
    <font>
      <sz val="11"/>
      <name val="Arial"/>
      <family val="2"/>
    </font>
    <font>
      <sz val="10.5"/>
      <name val="Arial"/>
      <family val="2"/>
    </font>
    <font>
      <b/>
      <sz val="10.5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u/>
      <sz val="10"/>
      <color indexed="12"/>
      <name val="Arial"/>
      <family val="2"/>
    </font>
    <font>
      <sz val="12"/>
      <name val="Helv"/>
    </font>
    <font>
      <sz val="10"/>
      <name val="Times New Roman"/>
      <family val="1"/>
    </font>
    <font>
      <sz val="12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mediumGray">
        <fgColor indexed="22"/>
      </patternFill>
    </fill>
    <fill>
      <patternFill patternType="solid">
        <fgColor indexed="58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13">
    <xf numFmtId="0" fontId="0" fillId="0" borderId="0"/>
    <xf numFmtId="0" fontId="14" fillId="0" borderId="0"/>
    <xf numFmtId="0" fontId="31" fillId="0" borderId="0"/>
    <xf numFmtId="43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6" fillId="28" borderId="0" applyNumberFormat="0" applyBorder="0" applyAlignment="0" applyProtection="0"/>
    <xf numFmtId="0" fontId="17" fillId="29" borderId="3" applyNumberFormat="0" applyAlignment="0" applyProtection="0"/>
    <xf numFmtId="0" fontId="18" fillId="30" borderId="4" applyNumberForma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3" fontId="34" fillId="0" borderId="0" applyFont="0" applyFill="0" applyBorder="0" applyAlignment="0" applyProtection="0"/>
    <xf numFmtId="3" fontId="34" fillId="0" borderId="0" applyFont="0" applyFill="0" applyBorder="0" applyAlignment="0" applyProtection="0"/>
    <xf numFmtId="172" fontId="34" fillId="0" borderId="0"/>
    <xf numFmtId="172" fontId="34" fillId="0" borderId="0"/>
    <xf numFmtId="4" fontId="34" fillId="0" borderId="0"/>
    <xf numFmtId="4" fontId="34" fillId="0" borderId="0"/>
    <xf numFmtId="42" fontId="34" fillId="0" borderId="0" applyFont="0" applyFill="0" applyBorder="0" applyAlignment="0" applyProtection="0"/>
    <xf numFmtId="42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173" fontId="36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4" fontId="34" fillId="0" borderId="0"/>
    <xf numFmtId="174" fontId="34" fillId="0" borderId="0"/>
    <xf numFmtId="0" fontId="37" fillId="0" borderId="0">
      <alignment horizontal="left" indent="1"/>
    </xf>
    <xf numFmtId="0" fontId="37" fillId="0" borderId="0">
      <alignment horizontal="left"/>
    </xf>
    <xf numFmtId="175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36" fillId="0" borderId="0" applyFont="0" applyFill="0" applyBorder="0" applyAlignment="0" applyProtection="0"/>
    <xf numFmtId="1" fontId="34" fillId="0" borderId="0"/>
    <xf numFmtId="1" fontId="34" fillId="0" borderId="0"/>
    <xf numFmtId="41" fontId="38" fillId="0" borderId="0" applyBorder="0"/>
    <xf numFmtId="41" fontId="38" fillId="0" borderId="0" applyBorder="0"/>
    <xf numFmtId="43" fontId="38" fillId="0" borderId="0" applyBorder="0"/>
    <xf numFmtId="43" fontId="38" fillId="0" borderId="0" applyBorder="0"/>
    <xf numFmtId="0" fontId="37" fillId="0" borderId="0">
      <alignment horizontal="left"/>
    </xf>
    <xf numFmtId="0" fontId="39" fillId="0" borderId="12">
      <alignment horizontal="center" wrapText="1"/>
    </xf>
    <xf numFmtId="0" fontId="39" fillId="0" borderId="12">
      <alignment horizontal="center"/>
    </xf>
    <xf numFmtId="0" fontId="20" fillId="31" borderId="0" applyNumberFormat="0" applyBorder="0" applyAlignment="0" applyProtection="0"/>
    <xf numFmtId="0" fontId="40" fillId="0" borderId="0"/>
    <xf numFmtId="0" fontId="37" fillId="0" borderId="0">
      <alignment horizontal="left" indent="5"/>
    </xf>
    <xf numFmtId="0" fontId="40" fillId="0" borderId="0">
      <alignment horizontal="center"/>
    </xf>
    <xf numFmtId="0" fontId="41" fillId="0" borderId="13">
      <alignment horizontal="left"/>
    </xf>
    <xf numFmtId="0" fontId="37" fillId="0" borderId="0">
      <alignment horizontal="left"/>
    </xf>
    <xf numFmtId="0" fontId="37" fillId="0" borderId="0"/>
    <xf numFmtId="0" fontId="13" fillId="0" borderId="14" applyNumberFormat="0" applyAlignment="0" applyProtection="0">
      <alignment horizontal="left" vertical="center"/>
    </xf>
    <xf numFmtId="0" fontId="13" fillId="0" borderId="15">
      <alignment horizontal="left" vertical="center"/>
    </xf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24" fillId="32" borderId="3" applyNumberFormat="0" applyAlignment="0" applyProtection="0"/>
    <xf numFmtId="0" fontId="25" fillId="0" borderId="8" applyNumberFormat="0" applyFill="0" applyAlignment="0" applyProtection="0"/>
    <xf numFmtId="0" fontId="26" fillId="33" borderId="0" applyNumberFormat="0" applyBorder="0" applyAlignment="0" applyProtection="0"/>
    <xf numFmtId="177" fontId="34" fillId="0" borderId="0"/>
    <xf numFmtId="177" fontId="3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4" fillId="0" borderId="0"/>
    <xf numFmtId="0" fontId="3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4" fillId="0" borderId="0"/>
    <xf numFmtId="0" fontId="34" fillId="0" borderId="0"/>
    <xf numFmtId="0" fontId="14" fillId="0" borderId="0"/>
    <xf numFmtId="0" fontId="37" fillId="0" borderId="0"/>
    <xf numFmtId="0" fontId="34" fillId="0" borderId="0"/>
    <xf numFmtId="0" fontId="34" fillId="0" borderId="0"/>
    <xf numFmtId="0" fontId="37" fillId="0" borderId="0"/>
    <xf numFmtId="0" fontId="31" fillId="0" borderId="0"/>
    <xf numFmtId="0" fontId="34" fillId="0" borderId="0"/>
    <xf numFmtId="0" fontId="37" fillId="0" borderId="0"/>
    <xf numFmtId="0" fontId="31" fillId="0" borderId="0"/>
    <xf numFmtId="0" fontId="3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4" fillId="0" borderId="0"/>
    <xf numFmtId="0" fontId="37" fillId="0" borderId="0"/>
    <xf numFmtId="0" fontId="37" fillId="0" borderId="0"/>
    <xf numFmtId="0" fontId="34" fillId="0" borderId="0"/>
    <xf numFmtId="0" fontId="34" fillId="0" borderId="0"/>
    <xf numFmtId="0" fontId="14" fillId="0" borderId="0"/>
    <xf numFmtId="0" fontId="37" fillId="0" borderId="0"/>
    <xf numFmtId="0" fontId="37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4" fillId="0" borderId="0"/>
    <xf numFmtId="0" fontId="34" fillId="0" borderId="0"/>
    <xf numFmtId="0" fontId="3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34" borderId="9" applyNumberFormat="0" applyFont="0" applyAlignment="0" applyProtection="0"/>
    <xf numFmtId="0" fontId="1" fillId="34" borderId="9" applyNumberFormat="0" applyFont="0" applyAlignment="0" applyProtection="0"/>
    <xf numFmtId="0" fontId="1" fillId="34" borderId="9" applyNumberFormat="0" applyFont="0" applyAlignment="0" applyProtection="0"/>
    <xf numFmtId="0" fontId="1" fillId="34" borderId="9" applyNumberFormat="0" applyFont="0" applyAlignment="0" applyProtection="0"/>
    <xf numFmtId="0" fontId="1" fillId="34" borderId="9" applyNumberFormat="0" applyFont="0" applyAlignment="0" applyProtection="0"/>
    <xf numFmtId="0" fontId="14" fillId="34" borderId="9" applyNumberFormat="0" applyFont="0" applyAlignment="0" applyProtection="0"/>
    <xf numFmtId="6" fontId="44" fillId="0" borderId="0" applyNumberFormat="0" applyFont="0"/>
    <xf numFmtId="6" fontId="44" fillId="0" borderId="0" applyNumberFormat="0" applyFont="0"/>
    <xf numFmtId="6" fontId="44" fillId="0" borderId="0" applyNumberFormat="0" applyFont="0"/>
    <xf numFmtId="6" fontId="44" fillId="0" borderId="0" applyNumberFormat="0" applyFont="0"/>
    <xf numFmtId="6" fontId="44" fillId="0" borderId="0" applyNumberFormat="0" applyFont="0"/>
    <xf numFmtId="8" fontId="45" fillId="0" borderId="0" applyNumberFormat="0" applyFont="0">
      <alignment horizontal="right"/>
    </xf>
    <xf numFmtId="0" fontId="27" fillId="29" borderId="10" applyNumberFormat="0" applyAlignment="0" applyProtection="0"/>
    <xf numFmtId="9" fontId="34" fillId="0" borderId="0"/>
    <xf numFmtId="9" fontId="34" fillId="0" borderId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8" fillId="0" borderId="0" applyBorder="0">
      <alignment horizontal="center"/>
    </xf>
    <xf numFmtId="0" fontId="46" fillId="0" borderId="0" applyNumberFormat="0" applyFont="0" applyFill="0" applyBorder="0" applyAlignment="0" applyProtection="0">
      <alignment horizontal="left"/>
    </xf>
    <xf numFmtId="15" fontId="46" fillId="0" borderId="0" applyFont="0" applyFill="0" applyBorder="0" applyAlignment="0" applyProtection="0"/>
    <xf numFmtId="4" fontId="46" fillId="0" borderId="0" applyFont="0" applyFill="0" applyBorder="0" applyAlignment="0" applyProtection="0"/>
    <xf numFmtId="0" fontId="47" fillId="0" borderId="13">
      <alignment horizontal="center"/>
    </xf>
    <xf numFmtId="3" fontId="46" fillId="0" borderId="0" applyFont="0" applyFill="0" applyBorder="0" applyAlignment="0" applyProtection="0"/>
    <xf numFmtId="0" fontId="46" fillId="36" borderId="0" applyNumberFormat="0" applyFont="0" applyBorder="0" applyAlignment="0" applyProtection="0"/>
    <xf numFmtId="0" fontId="34" fillId="37" borderId="0"/>
    <xf numFmtId="49" fontId="34" fillId="0" borderId="0" applyBorder="0">
      <alignment horizontal="center"/>
    </xf>
    <xf numFmtId="49" fontId="34" fillId="0" borderId="0" applyBorder="0">
      <alignment horizontal="center"/>
    </xf>
    <xf numFmtId="0" fontId="32" fillId="0" borderId="0" applyNumberFormat="0" applyFill="0" applyBorder="0" applyAlignment="0" applyProtection="0"/>
    <xf numFmtId="0" fontId="28" fillId="0" borderId="11" applyNumberFormat="0" applyFill="0" applyAlignment="0" applyProtection="0"/>
    <xf numFmtId="178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1" fillId="0" borderId="0"/>
    <xf numFmtId="0" fontId="31" fillId="0" borderId="0"/>
    <xf numFmtId="0" fontId="49" fillId="0" borderId="0"/>
  </cellStyleXfs>
  <cellXfs count="64">
    <xf numFmtId="0" fontId="0" fillId="0" borderId="0" xfId="0"/>
    <xf numFmtId="0" fontId="2" fillId="0" borderId="0" xfId="0" applyNumberFormat="1" applyFont="1" applyAlignment="1"/>
    <xf numFmtId="164" fontId="3" fillId="0" borderId="0" xfId="0" applyNumberFormat="1" applyFont="1" applyAlignment="1">
      <alignment horizontal="centerContinuous"/>
    </xf>
    <xf numFmtId="164" fontId="4" fillId="0" borderId="0" xfId="0" applyNumberFormat="1" applyFont="1" applyAlignment="1">
      <alignment horizontal="centerContinuous"/>
    </xf>
    <xf numFmtId="3" fontId="4" fillId="0" borderId="0" xfId="0" applyNumberFormat="1" applyFont="1" applyAlignment="1">
      <alignment horizontal="centerContinuous"/>
    </xf>
    <xf numFmtId="165" fontId="4" fillId="0" borderId="0" xfId="0" applyNumberFormat="1" applyFont="1" applyAlignment="1" applyProtection="1">
      <alignment horizontal="centerContinuous"/>
      <protection hidden="1"/>
    </xf>
    <xf numFmtId="164" fontId="5" fillId="0" borderId="0" xfId="0" applyNumberFormat="1" applyFont="1" applyAlignment="1">
      <alignment horizontal="centerContinuous"/>
    </xf>
    <xf numFmtId="164" fontId="4" fillId="0" borderId="0" xfId="0" applyNumberFormat="1" applyFont="1" applyAlignment="1"/>
    <xf numFmtId="164" fontId="6" fillId="0" borderId="0" xfId="0" applyNumberFormat="1" applyFont="1" applyAlignment="1"/>
    <xf numFmtId="3" fontId="6" fillId="0" borderId="0" xfId="0" applyNumberFormat="1" applyFont="1" applyAlignment="1"/>
    <xf numFmtId="0" fontId="5" fillId="0" borderId="0" xfId="0" applyNumberFormat="1" applyFont="1" applyAlignment="1">
      <alignment horizontal="right"/>
    </xf>
    <xf numFmtId="166" fontId="5" fillId="0" borderId="0" xfId="0" applyNumberFormat="1" applyFont="1" applyAlignment="1"/>
    <xf numFmtId="3" fontId="6" fillId="0" borderId="0" xfId="0" applyNumberFormat="1" applyFont="1" applyAlignment="1" applyProtection="1">
      <alignment horizontal="center"/>
      <protection locked="0"/>
    </xf>
    <xf numFmtId="164" fontId="2" fillId="0" borderId="0" xfId="0" applyNumberFormat="1" applyFont="1" applyAlignment="1"/>
    <xf numFmtId="164" fontId="5" fillId="0" borderId="0" xfId="0" applyNumberFormat="1" applyFont="1" applyAlignment="1">
      <alignment horizontal="center"/>
    </xf>
    <xf numFmtId="0" fontId="9" fillId="3" borderId="0" xfId="0" applyNumberFormat="1" applyFont="1" applyFill="1" applyAlignment="1">
      <alignment horizontal="center"/>
    </xf>
    <xf numFmtId="164" fontId="10" fillId="0" borderId="1" xfId="0" applyNumberFormat="1" applyFont="1" applyBorder="1" applyAlignment="1"/>
    <xf numFmtId="164" fontId="6" fillId="0" borderId="1" xfId="0" applyNumberFormat="1" applyFont="1" applyBorder="1" applyAlignment="1"/>
    <xf numFmtId="3" fontId="6" fillId="0" borderId="1" xfId="0" applyNumberFormat="1" applyFont="1" applyBorder="1" applyAlignment="1"/>
    <xf numFmtId="3" fontId="6" fillId="0" borderId="1" xfId="0" applyNumberFormat="1" applyFont="1" applyBorder="1" applyAlignment="1" applyProtection="1">
      <protection locked="0"/>
    </xf>
    <xf numFmtId="0" fontId="6" fillId="0" borderId="1" xfId="0" applyNumberFormat="1" applyFont="1" applyBorder="1" applyAlignment="1"/>
    <xf numFmtId="0" fontId="2" fillId="0" borderId="0" xfId="0" applyNumberFormat="1" applyFont="1"/>
    <xf numFmtId="3" fontId="11" fillId="0" borderId="0" xfId="0" applyNumberFormat="1" applyFont="1" applyAlignment="1"/>
    <xf numFmtId="166" fontId="11" fillId="0" borderId="0" xfId="0" applyNumberFormat="1" applyFont="1" applyAlignment="1"/>
    <xf numFmtId="166" fontId="6" fillId="0" borderId="0" xfId="0" applyNumberFormat="1" applyFont="1" applyAlignment="1"/>
    <xf numFmtId="167" fontId="6" fillId="0" borderId="0" xfId="0" applyNumberFormat="1" applyFont="1" applyAlignment="1" applyProtection="1">
      <protection locked="0"/>
    </xf>
    <xf numFmtId="168" fontId="6" fillId="0" borderId="0" xfId="0" applyNumberFormat="1" applyFont="1" applyAlignment="1"/>
    <xf numFmtId="49" fontId="2" fillId="0" borderId="0" xfId="0" applyNumberFormat="1" applyFont="1" applyAlignment="1"/>
    <xf numFmtId="3" fontId="10" fillId="0" borderId="0" xfId="0" applyNumberFormat="1" applyFont="1" applyAlignment="1"/>
    <xf numFmtId="164" fontId="10" fillId="0" borderId="0" xfId="0" applyNumberFormat="1" applyFont="1" applyAlignment="1"/>
    <xf numFmtId="0" fontId="6" fillId="0" borderId="0" xfId="0" applyNumberFormat="1" applyFont="1" applyAlignment="1"/>
    <xf numFmtId="167" fontId="6" fillId="0" borderId="0" xfId="0" applyNumberFormat="1" applyFont="1" applyAlignment="1"/>
    <xf numFmtId="164" fontId="5" fillId="0" borderId="0" xfId="0" applyNumberFormat="1" applyFont="1" applyAlignment="1"/>
    <xf numFmtId="3" fontId="10" fillId="0" borderId="1" xfId="0" applyNumberFormat="1" applyFont="1" applyBorder="1" applyAlignment="1"/>
    <xf numFmtId="168" fontId="6" fillId="0" borderId="1" xfId="0" applyNumberFormat="1" applyFont="1" applyBorder="1" applyAlignment="1"/>
    <xf numFmtId="169" fontId="6" fillId="0" borderId="0" xfId="0" applyNumberFormat="1" applyFont="1" applyAlignment="1"/>
    <xf numFmtId="170" fontId="10" fillId="0" borderId="0" xfId="0" applyNumberFormat="1" applyFont="1" applyAlignment="1"/>
    <xf numFmtId="0" fontId="1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left"/>
    </xf>
    <xf numFmtId="0" fontId="0" fillId="0" borderId="0" xfId="0" applyFont="1"/>
    <xf numFmtId="164" fontId="30" fillId="0" borderId="0" xfId="0" applyNumberFormat="1" applyFont="1" applyAlignment="1"/>
    <xf numFmtId="171" fontId="6" fillId="0" borderId="0" xfId="0" applyNumberFormat="1" applyFont="1" applyAlignment="1"/>
    <xf numFmtId="164" fontId="6" fillId="0" borderId="2" xfId="0" applyNumberFormat="1" applyFont="1" applyBorder="1" applyAlignment="1"/>
    <xf numFmtId="0" fontId="13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 vertical="center" wrapText="1"/>
    </xf>
    <xf numFmtId="3" fontId="6" fillId="0" borderId="0" xfId="0" applyNumberFormat="1" applyFont="1" applyAlignment="1" applyProtection="1">
      <alignment horizontal="center" vertical="center"/>
      <protection locked="0"/>
    </xf>
    <xf numFmtId="164" fontId="8" fillId="2" borderId="0" xfId="0" applyNumberFormat="1" applyFont="1" applyFill="1" applyAlignment="1">
      <alignment horizontal="center" vertical="center"/>
    </xf>
    <xf numFmtId="166" fontId="7" fillId="35" borderId="0" xfId="0" applyNumberFormat="1" applyFont="1" applyFill="1" applyAlignment="1"/>
    <xf numFmtId="0" fontId="0" fillId="0" borderId="0" xfId="0"/>
    <xf numFmtId="164" fontId="6" fillId="0" borderId="0" xfId="0" applyNumberFormat="1" applyFont="1" applyBorder="1" applyAlignment="1"/>
    <xf numFmtId="166" fontId="6" fillId="0" borderId="0" xfId="0" applyNumberFormat="1" applyFont="1" applyAlignment="1" applyProtection="1">
      <protection locked="0"/>
    </xf>
    <xf numFmtId="6" fontId="0" fillId="0" borderId="0" xfId="0" applyNumberFormat="1" applyFont="1" applyAlignment="1">
      <alignment wrapText="1"/>
    </xf>
    <xf numFmtId="8" fontId="0" fillId="0" borderId="0" xfId="0" applyNumberFormat="1"/>
    <xf numFmtId="6" fontId="0" fillId="0" borderId="0" xfId="0" applyNumberFormat="1"/>
    <xf numFmtId="0" fontId="0" fillId="0" borderId="0" xfId="0" applyNumberFormat="1"/>
    <xf numFmtId="0" fontId="6" fillId="35" borderId="0" xfId="0" applyNumberFormat="1" applyFont="1" applyFill="1" applyAlignment="1"/>
    <xf numFmtId="0" fontId="48" fillId="0" borderId="0" xfId="0" applyNumberFormat="1" applyFont="1" applyAlignment="1"/>
    <xf numFmtId="8" fontId="6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3" fontId="11" fillId="35" borderId="0" xfId="0" applyNumberFormat="1" applyFont="1" applyFill="1" applyAlignment="1"/>
    <xf numFmtId="166" fontId="11" fillId="35" borderId="0" xfId="0" applyNumberFormat="1" applyFont="1" applyFill="1" applyAlignment="1"/>
  </cellXfs>
  <cellStyles count="313">
    <cellStyle name="20% - Accent1 2" xfId="5"/>
    <cellStyle name="20% - Accent2 2" xfId="6"/>
    <cellStyle name="20% - Accent3 2" xfId="7"/>
    <cellStyle name="20% - Accent4 2" xfId="8"/>
    <cellStyle name="20% - Accent5 2" xfId="9"/>
    <cellStyle name="20% - Accent6 2" xfId="10"/>
    <cellStyle name="40% - Accent1 2" xfId="11"/>
    <cellStyle name="40% - Accent2 2" xfId="12"/>
    <cellStyle name="40% - Accent3 2" xfId="13"/>
    <cellStyle name="40% - Accent4 2" xfId="14"/>
    <cellStyle name="40% - Accent5 2" xfId="15"/>
    <cellStyle name="40% - Accent6 2" xfId="16"/>
    <cellStyle name="60% - Accent1 2" xfId="17"/>
    <cellStyle name="60% - Accent2 2" xfId="18"/>
    <cellStyle name="60% - Accent3 2" xfId="19"/>
    <cellStyle name="60% - Accent4 2" xfId="20"/>
    <cellStyle name="60% - Accent5 2" xfId="21"/>
    <cellStyle name="60% - Accent6 2" xfId="22"/>
    <cellStyle name="Accent1 2" xfId="23"/>
    <cellStyle name="Accent2 2" xfId="24"/>
    <cellStyle name="Accent3 2" xfId="25"/>
    <cellStyle name="Accent4 2" xfId="26"/>
    <cellStyle name="Accent5 2" xfId="27"/>
    <cellStyle name="Accent6 2" xfId="28"/>
    <cellStyle name="Bad 2" xfId="29"/>
    <cellStyle name="Calculation 2" xfId="30"/>
    <cellStyle name="Check Cell 2" xfId="31"/>
    <cellStyle name="Comma 10" xfId="32"/>
    <cellStyle name="Comma 10 2" xfId="33"/>
    <cellStyle name="Comma 11" xfId="34"/>
    <cellStyle name="Comma 11 2" xfId="35"/>
    <cellStyle name="Comma 12" xfId="36"/>
    <cellStyle name="Comma 12 2" xfId="37"/>
    <cellStyle name="Comma 13" xfId="38"/>
    <cellStyle name="Comma 14" xfId="39"/>
    <cellStyle name="Comma 14 2" xfId="40"/>
    <cellStyle name="Comma 14 3" xfId="41"/>
    <cellStyle name="Comma 15" xfId="42"/>
    <cellStyle name="Comma 15 2" xfId="43"/>
    <cellStyle name="Comma 16" xfId="44"/>
    <cellStyle name="Comma 16 2" xfId="45"/>
    <cellStyle name="Comma 17" xfId="46"/>
    <cellStyle name="Comma 18" xfId="47"/>
    <cellStyle name="Comma 19" xfId="3"/>
    <cellStyle name="Comma 2" xfId="48"/>
    <cellStyle name="Comma 2 2" xfId="49"/>
    <cellStyle name="Comma 2 2 2" xfId="50"/>
    <cellStyle name="Comma 2 3" xfId="51"/>
    <cellStyle name="Comma 3" xfId="52"/>
    <cellStyle name="Comma 3 2" xfId="53"/>
    <cellStyle name="Comma 3 3" xfId="54"/>
    <cellStyle name="Comma 4" xfId="55"/>
    <cellStyle name="Comma 4 2" xfId="56"/>
    <cellStyle name="Comma 4 2 2" xfId="57"/>
    <cellStyle name="Comma 4 3" xfId="58"/>
    <cellStyle name="Comma 5" xfId="59"/>
    <cellStyle name="Comma 5 2" xfId="60"/>
    <cellStyle name="Comma 5 2 2" xfId="61"/>
    <cellStyle name="Comma 5 3" xfId="62"/>
    <cellStyle name="Comma 6" xfId="63"/>
    <cellStyle name="Comma 6 2" xfId="64"/>
    <cellStyle name="Comma 7" xfId="65"/>
    <cellStyle name="Comma 7 2" xfId="66"/>
    <cellStyle name="Comma 8" xfId="67"/>
    <cellStyle name="Comma 8 2" xfId="68"/>
    <cellStyle name="Comma 8 2 2" xfId="69"/>
    <cellStyle name="Comma 8 3" xfId="70"/>
    <cellStyle name="Comma 8 3 2" xfId="71"/>
    <cellStyle name="Comma 8 4" xfId="72"/>
    <cellStyle name="Comma 9" xfId="73"/>
    <cellStyle name="Comma 9 2" xfId="74"/>
    <cellStyle name="Comma0" xfId="75"/>
    <cellStyle name="Comma0 2" xfId="76"/>
    <cellStyle name="comma1" xfId="77"/>
    <cellStyle name="comma1 2" xfId="78"/>
    <cellStyle name="comma2" xfId="79"/>
    <cellStyle name="comma2 2" xfId="80"/>
    <cellStyle name="Currency [0] 2" xfId="81"/>
    <cellStyle name="Currency [0] 2 2" xfId="82"/>
    <cellStyle name="Currency 10" xfId="83"/>
    <cellStyle name="Currency 10 2" xfId="84"/>
    <cellStyle name="Currency 11" xfId="85"/>
    <cellStyle name="Currency 11 2" xfId="86"/>
    <cellStyle name="Currency 12" xfId="87"/>
    <cellStyle name="Currency 12 2" xfId="88"/>
    <cellStyle name="Currency 13" xfId="89"/>
    <cellStyle name="Currency 13 2" xfId="90"/>
    <cellStyle name="Currency 14" xfId="91"/>
    <cellStyle name="Currency 14 2" xfId="92"/>
    <cellStyle name="Currency 15" xfId="93"/>
    <cellStyle name="Currency 15 2" xfId="94"/>
    <cellStyle name="Currency 16" xfId="95"/>
    <cellStyle name="Currency 16 2" xfId="96"/>
    <cellStyle name="Currency 17" xfId="97"/>
    <cellStyle name="Currency 17 2" xfId="98"/>
    <cellStyle name="Currency 18" xfId="99"/>
    <cellStyle name="Currency 18 2" xfId="100"/>
    <cellStyle name="Currency 19" xfId="101"/>
    <cellStyle name="Currency 19 2" xfId="102"/>
    <cellStyle name="Currency 2" xfId="103"/>
    <cellStyle name="Currency 2 2" xfId="104"/>
    <cellStyle name="Currency 2 2 2" xfId="105"/>
    <cellStyle name="Currency 2 3" xfId="106"/>
    <cellStyle name="Currency 2 3 2" xfId="107"/>
    <cellStyle name="Currency 2 4" xfId="108"/>
    <cellStyle name="Currency 20" xfId="109"/>
    <cellStyle name="Currency 20 2" xfId="110"/>
    <cellStyle name="Currency 21" xfId="111"/>
    <cellStyle name="Currency 21 2" xfId="112"/>
    <cellStyle name="Currency 22" xfId="113"/>
    <cellStyle name="Currency 22 2" xfId="114"/>
    <cellStyle name="Currency 23" xfId="115"/>
    <cellStyle name="Currency 23 2" xfId="116"/>
    <cellStyle name="Currency 24" xfId="117"/>
    <cellStyle name="Currency 24 2" xfId="118"/>
    <cellStyle name="Currency 25" xfId="119"/>
    <cellStyle name="Currency 25 2" xfId="120"/>
    <cellStyle name="Currency 26" xfId="121"/>
    <cellStyle name="Currency 26 2" xfId="122"/>
    <cellStyle name="Currency 27" xfId="123"/>
    <cellStyle name="Currency 27 2" xfId="124"/>
    <cellStyle name="Currency 28" xfId="125"/>
    <cellStyle name="Currency 28 2" xfId="126"/>
    <cellStyle name="Currency 29" xfId="127"/>
    <cellStyle name="Currency 29 2" xfId="128"/>
    <cellStyle name="Currency 3" xfId="129"/>
    <cellStyle name="Currency 3 2" xfId="130"/>
    <cellStyle name="Currency 3 2 2" xfId="131"/>
    <cellStyle name="Currency 3 3" xfId="132"/>
    <cellStyle name="Currency 30" xfId="133"/>
    <cellStyle name="Currency 30 2" xfId="134"/>
    <cellStyle name="Currency 31" xfId="135"/>
    <cellStyle name="Currency 31 2" xfId="136"/>
    <cellStyle name="Currency 32" xfId="137"/>
    <cellStyle name="Currency 33" xfId="138"/>
    <cellStyle name="Currency 34" xfId="139"/>
    <cellStyle name="Currency 35" xfId="140"/>
    <cellStyle name="Currency 36" xfId="141"/>
    <cellStyle name="Currency 37" xfId="142"/>
    <cellStyle name="Currency 38" xfId="143"/>
    <cellStyle name="Currency 39" xfId="144"/>
    <cellStyle name="Currency 4" xfId="145"/>
    <cellStyle name="Currency 4 2" xfId="146"/>
    <cellStyle name="Currency 40" xfId="147"/>
    <cellStyle name="Currency 5" xfId="148"/>
    <cellStyle name="Currency 5 2" xfId="149"/>
    <cellStyle name="Currency 6" xfId="150"/>
    <cellStyle name="Currency 6 2" xfId="151"/>
    <cellStyle name="Currency 7" xfId="152"/>
    <cellStyle name="Currency 7 2" xfId="153"/>
    <cellStyle name="Currency 8" xfId="154"/>
    <cellStyle name="Currency 8 2" xfId="155"/>
    <cellStyle name="Currency 9" xfId="156"/>
    <cellStyle name="Currency 9 2" xfId="157"/>
    <cellStyle name="Currency0" xfId="158"/>
    <cellStyle name="Date" xfId="159"/>
    <cellStyle name="Date 2" xfId="160"/>
    <cellStyle name="dec4" xfId="161"/>
    <cellStyle name="dec4 2" xfId="162"/>
    <cellStyle name="Detail Text" xfId="163"/>
    <cellStyle name="Detail Text - no indent" xfId="164"/>
    <cellStyle name="Dezimal [0]_Compiling Utility Macros" xfId="165"/>
    <cellStyle name="Dezimal_Compiling Utility Macros" xfId="166"/>
    <cellStyle name="Explanatory Text 2" xfId="167"/>
    <cellStyle name="F2" xfId="168"/>
    <cellStyle name="F3" xfId="169"/>
    <cellStyle name="F4" xfId="170"/>
    <cellStyle name="F5" xfId="171"/>
    <cellStyle name="F6" xfId="172"/>
    <cellStyle name="F7" xfId="173"/>
    <cellStyle name="F8" xfId="174"/>
    <cellStyle name="Fixed" xfId="175"/>
    <cellStyle name="fixed0" xfId="176"/>
    <cellStyle name="fixed0 2" xfId="177"/>
    <cellStyle name="Gen $ CY" xfId="178"/>
    <cellStyle name="Gen $ PY" xfId="179"/>
    <cellStyle name="Gen % CY" xfId="180"/>
    <cellStyle name="Gen % PY" xfId="181"/>
    <cellStyle name="Gen CH Period" xfId="182"/>
    <cellStyle name="Gen CH Text" xfId="183"/>
    <cellStyle name="Gen CH Years" xfId="184"/>
    <cellStyle name="Good 2" xfId="185"/>
    <cellStyle name="Group Heading" xfId="186"/>
    <cellStyle name="Group Total Text" xfId="187"/>
    <cellStyle name="Header Center Title" xfId="188"/>
    <cellStyle name="Header Company Name" xfId="189"/>
    <cellStyle name="Header Page Title" xfId="190"/>
    <cellStyle name="Header See Report Ref" xfId="191"/>
    <cellStyle name="Header1" xfId="192"/>
    <cellStyle name="Header2" xfId="193"/>
    <cellStyle name="Heading 1 2" xfId="194"/>
    <cellStyle name="Heading 2 2" xfId="195"/>
    <cellStyle name="Heading 3 2" xfId="196"/>
    <cellStyle name="Heading 4 2" xfId="197"/>
    <cellStyle name="Hyperlink 2" xfId="198"/>
    <cellStyle name="Hyperlink 3" xfId="199"/>
    <cellStyle name="Input 2" xfId="200"/>
    <cellStyle name="Linked Cell 2" xfId="201"/>
    <cellStyle name="Neutral 2" xfId="202"/>
    <cellStyle name="Normal" xfId="0" builtinId="0"/>
    <cellStyle name="Normal - Style1" xfId="203"/>
    <cellStyle name="Normal - Style1 2" xfId="204"/>
    <cellStyle name="Normal - Style2" xfId="205"/>
    <cellStyle name="Normal - Style3" xfId="206"/>
    <cellStyle name="Normal - Style4" xfId="207"/>
    <cellStyle name="Normal - Style5" xfId="208"/>
    <cellStyle name="Normal 10" xfId="209"/>
    <cellStyle name="Normal 11" xfId="210"/>
    <cellStyle name="Normal 12" xfId="211"/>
    <cellStyle name="Normal 13" xfId="212"/>
    <cellStyle name="Normal 14" xfId="213"/>
    <cellStyle name="Normal 15" xfId="214"/>
    <cellStyle name="Normal 16" xfId="215"/>
    <cellStyle name="Normal 17" xfId="216"/>
    <cellStyle name="Normal 18" xfId="217"/>
    <cellStyle name="Normal 19" xfId="218"/>
    <cellStyle name="Normal 2" xfId="1"/>
    <cellStyle name="Normal 2 2" xfId="220"/>
    <cellStyle name="Normal 2 2 2" xfId="221"/>
    <cellStyle name="Normal 2 3" xfId="222"/>
    <cellStyle name="Normal 2 4" xfId="219"/>
    <cellStyle name="Normal 20" xfId="223"/>
    <cellStyle name="Normal 21" xfId="224"/>
    <cellStyle name="Normal 22" xfId="225"/>
    <cellStyle name="Normal 23" xfId="226"/>
    <cellStyle name="Normal 24" xfId="227"/>
    <cellStyle name="Normal 25" xfId="228"/>
    <cellStyle name="Normal 26" xfId="229"/>
    <cellStyle name="Normal 27" xfId="230"/>
    <cellStyle name="Normal 27 2" xfId="231"/>
    <cellStyle name="Normal 27 2 2" xfId="232"/>
    <cellStyle name="Normal 27 3" xfId="233"/>
    <cellStyle name="Normal 28" xfId="234"/>
    <cellStyle name="Normal 28 2" xfId="235"/>
    <cellStyle name="Normal 28 2 2" xfId="236"/>
    <cellStyle name="Normal 29" xfId="237"/>
    <cellStyle name="Normal 3" xfId="238"/>
    <cellStyle name="Normal 3 2" xfId="239"/>
    <cellStyle name="Normal 30" xfId="240"/>
    <cellStyle name="Normal 31" xfId="241"/>
    <cellStyle name="Normal 31 2" xfId="242"/>
    <cellStyle name="Normal 32" xfId="243"/>
    <cellStyle name="Normal 33" xfId="244"/>
    <cellStyle name="Normal 34" xfId="245"/>
    <cellStyle name="Normal 35" xfId="246"/>
    <cellStyle name="Normal 36" xfId="247"/>
    <cellStyle name="Normal 37" xfId="248"/>
    <cellStyle name="Normal 38" xfId="249"/>
    <cellStyle name="Normal 39" xfId="250"/>
    <cellStyle name="Normal 4" xfId="251"/>
    <cellStyle name="Normal 40" xfId="252"/>
    <cellStyle name="Normal 41" xfId="253"/>
    <cellStyle name="Normal 42" xfId="254"/>
    <cellStyle name="Normal 42 2" xfId="255"/>
    <cellStyle name="Normal 43" xfId="256"/>
    <cellStyle name="Normal 44" xfId="257"/>
    <cellStyle name="Normal 45" xfId="258"/>
    <cellStyle name="Normal 46" xfId="259"/>
    <cellStyle name="Normal 47" xfId="260"/>
    <cellStyle name="Normal 474" xfId="261"/>
    <cellStyle name="Normal 48" xfId="262"/>
    <cellStyle name="Normal 49" xfId="263"/>
    <cellStyle name="Normal 5" xfId="264"/>
    <cellStyle name="Normal 50" xfId="265"/>
    <cellStyle name="Normal 51" xfId="266"/>
    <cellStyle name="Normal 52" xfId="2"/>
    <cellStyle name="Normal 53" xfId="310"/>
    <cellStyle name="Normal 54" xfId="311"/>
    <cellStyle name="Normal 55" xfId="312"/>
    <cellStyle name="Normal 6" xfId="267"/>
    <cellStyle name="Normal 7" xfId="268"/>
    <cellStyle name="Normal 8" xfId="269"/>
    <cellStyle name="Normal 9" xfId="270"/>
    <cellStyle name="Note 2" xfId="271"/>
    <cellStyle name="Note 2 2" xfId="272"/>
    <cellStyle name="Note 2 2 2" xfId="273"/>
    <cellStyle name="Note 2 3" xfId="274"/>
    <cellStyle name="Note 2 3 2" xfId="275"/>
    <cellStyle name="Note 2 4" xfId="276"/>
    <cellStyle name="NPLODE" xfId="277"/>
    <cellStyle name="NPLODE 2" xfId="278"/>
    <cellStyle name="NPLODE 2 2" xfId="279"/>
    <cellStyle name="NPLODE 3" xfId="280"/>
    <cellStyle name="NPLODE 3 2" xfId="281"/>
    <cellStyle name="NPLODE1" xfId="282"/>
    <cellStyle name="Output 2" xfId="283"/>
    <cellStyle name="perc" xfId="284"/>
    <cellStyle name="perc 2" xfId="285"/>
    <cellStyle name="Percent 2" xfId="286"/>
    <cellStyle name="Percent 2 2" xfId="287"/>
    <cellStyle name="Percent 3" xfId="288"/>
    <cellStyle name="Percent 3 2" xfId="289"/>
    <cellStyle name="Percent 3 2 2" xfId="290"/>
    <cellStyle name="Percent 3 3" xfId="291"/>
    <cellStyle name="Percent 4" xfId="292"/>
    <cellStyle name="Percent 4 2" xfId="293"/>
    <cellStyle name="Percent 5" xfId="294"/>
    <cellStyle name="Percent 6" xfId="4"/>
    <cellStyle name="Percent Sign" xfId="295"/>
    <cellStyle name="PSChar" xfId="296"/>
    <cellStyle name="PSDate" xfId="297"/>
    <cellStyle name="PSDec" xfId="298"/>
    <cellStyle name="PSHeading" xfId="299"/>
    <cellStyle name="PSInt" xfId="300"/>
    <cellStyle name="PSSpacer" xfId="301"/>
    <cellStyle name="Standard_Anpassen der Amortisation" xfId="302"/>
    <cellStyle name="Text" xfId="303"/>
    <cellStyle name="Text 2" xfId="304"/>
    <cellStyle name="Title 2" xfId="305"/>
    <cellStyle name="Total 2" xfId="306"/>
    <cellStyle name="Währung [0]_Compiling Utility Macros" xfId="307"/>
    <cellStyle name="Währung_Compiling Utility Macros" xfId="308"/>
    <cellStyle name="Warning Text 2" xfId="30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Y%202016\HSCRC%20User%20Fees%20FY%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bt_Fines"/>
      <sheetName val="1998"/>
      <sheetName val="1999"/>
      <sheetName val="2000"/>
      <sheetName val="2001"/>
      <sheetName val="2002"/>
      <sheetName val="2003"/>
      <sheetName val="2003 Revised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2016"/>
      <sheetName val="Hosp. I.D."/>
      <sheetName val="W"/>
      <sheetName val="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5">
          <cell r="A5" t="str">
            <v>0000</v>
          </cell>
          <cell r="B5" t="str">
            <v>Test Hospital</v>
          </cell>
          <cell r="C5" t="str">
            <v>Sometown, Maryland</v>
          </cell>
        </row>
        <row r="6">
          <cell r="A6" t="str">
            <v>0001</v>
          </cell>
          <cell r="B6" t="str">
            <v>Meritus Medical Center</v>
          </cell>
          <cell r="C6" t="str">
            <v>Hagerstown, Maryland</v>
          </cell>
        </row>
        <row r="7">
          <cell r="A7" t="str">
            <v>0002</v>
          </cell>
          <cell r="B7" t="str">
            <v>University of Maryland Hospital Center</v>
          </cell>
          <cell r="C7" t="str">
            <v>Baltimore, Maryland</v>
          </cell>
        </row>
        <row r="8">
          <cell r="A8" t="str">
            <v>0003</v>
          </cell>
          <cell r="B8" t="str">
            <v>Prince Georges Hospital Center</v>
          </cell>
          <cell r="C8" t="str">
            <v>Cheverly, Maryland</v>
          </cell>
        </row>
        <row r="9">
          <cell r="A9" t="str">
            <v>0004</v>
          </cell>
          <cell r="B9" t="str">
            <v>Holy Cross Hospital</v>
          </cell>
          <cell r="C9" t="str">
            <v>Silver Spring, Maryland</v>
          </cell>
        </row>
        <row r="10">
          <cell r="A10" t="str">
            <v>0005</v>
          </cell>
          <cell r="B10" t="str">
            <v>Frederick Memorial Hospital</v>
          </cell>
          <cell r="C10" t="str">
            <v>Frederick, Maryland</v>
          </cell>
        </row>
        <row r="11">
          <cell r="A11" t="str">
            <v>0006</v>
          </cell>
          <cell r="B11" t="str">
            <v>Harford Memorial Hospital</v>
          </cell>
          <cell r="C11" t="str">
            <v>Havre de Grace, Maryland</v>
          </cell>
        </row>
        <row r="12">
          <cell r="A12" t="str">
            <v>0008</v>
          </cell>
          <cell r="B12" t="str">
            <v>Mercy Medical Center</v>
          </cell>
          <cell r="C12" t="str">
            <v>Baltimore, Maryland</v>
          </cell>
        </row>
        <row r="13">
          <cell r="A13" t="str">
            <v>0009</v>
          </cell>
          <cell r="B13" t="str">
            <v>Johns Hopkins Hospital</v>
          </cell>
          <cell r="C13" t="str">
            <v>Baltimore, Maryland</v>
          </cell>
        </row>
        <row r="14">
          <cell r="A14" t="str">
            <v>0010</v>
          </cell>
          <cell r="B14" t="str">
            <v>University of Maryland Shore Medical Center at Dorchester</v>
          </cell>
          <cell r="C14" t="str">
            <v>Cambridge, Maryland</v>
          </cell>
        </row>
        <row r="15">
          <cell r="A15" t="str">
            <v>0011</v>
          </cell>
          <cell r="B15" t="str">
            <v>St. Agnes Hospital</v>
          </cell>
          <cell r="C15" t="str">
            <v>Baltimore, Maryland</v>
          </cell>
        </row>
        <row r="16">
          <cell r="A16" t="str">
            <v>0012</v>
          </cell>
          <cell r="B16" t="str">
            <v>Sinai Hospital</v>
          </cell>
          <cell r="C16" t="str">
            <v>Baltimore, Maryland</v>
          </cell>
        </row>
        <row r="17">
          <cell r="A17" t="str">
            <v>0013</v>
          </cell>
          <cell r="B17" t="str">
            <v>Bon Secours Hospital</v>
          </cell>
          <cell r="C17" t="str">
            <v>Baltimore, Maryland</v>
          </cell>
        </row>
        <row r="18">
          <cell r="A18" t="str">
            <v>0015</v>
          </cell>
          <cell r="B18" t="str">
            <v>MedStar Franklin Square Hospital Center</v>
          </cell>
          <cell r="C18" t="str">
            <v>Baltimore, Maryland</v>
          </cell>
        </row>
        <row r="19">
          <cell r="A19" t="str">
            <v>0016</v>
          </cell>
          <cell r="B19" t="str">
            <v>Washington Adventist Hospital</v>
          </cell>
          <cell r="C19" t="str">
            <v>Takoma Park, Maryland</v>
          </cell>
        </row>
        <row r="20">
          <cell r="A20" t="str">
            <v>0017</v>
          </cell>
          <cell r="B20" t="str">
            <v>Garrett County Memorial Hospital</v>
          </cell>
          <cell r="C20" t="str">
            <v>Oakland, Maryland</v>
          </cell>
        </row>
        <row r="21">
          <cell r="A21" t="str">
            <v>0018</v>
          </cell>
          <cell r="B21" t="str">
            <v>MedStar Montgomery Medical Center</v>
          </cell>
          <cell r="C21" t="str">
            <v>Olney, Maryland</v>
          </cell>
        </row>
        <row r="22">
          <cell r="A22" t="str">
            <v>0019</v>
          </cell>
          <cell r="B22" t="str">
            <v>Peninsula Regional Medical Center</v>
          </cell>
          <cell r="C22" t="str">
            <v>Salisbury, Maryland</v>
          </cell>
        </row>
        <row r="23">
          <cell r="A23" t="str">
            <v>0022</v>
          </cell>
          <cell r="B23" t="str">
            <v>Suburban Hospital</v>
          </cell>
          <cell r="C23" t="str">
            <v>Bethesda, Maryland</v>
          </cell>
        </row>
        <row r="24">
          <cell r="A24" t="str">
            <v>0023</v>
          </cell>
          <cell r="B24" t="str">
            <v>Anne Arundel Medical Center</v>
          </cell>
          <cell r="C24" t="str">
            <v>Annapolis, Maryland</v>
          </cell>
        </row>
        <row r="25">
          <cell r="A25" t="str">
            <v>0024</v>
          </cell>
          <cell r="B25" t="str">
            <v>MedStar Union Memorial Hospital</v>
          </cell>
          <cell r="C25" t="str">
            <v>Baltimore, Maryland</v>
          </cell>
        </row>
        <row r="26">
          <cell r="A26" t="str">
            <v>0027</v>
          </cell>
          <cell r="B26" t="str">
            <v>Western Maryland Regional Medical Center</v>
          </cell>
          <cell r="C26" t="str">
            <v>Cumberland, Maryland</v>
          </cell>
        </row>
        <row r="27">
          <cell r="A27" t="str">
            <v>0028</v>
          </cell>
          <cell r="B27" t="str">
            <v>MedStar St. Mary's Hospital</v>
          </cell>
          <cell r="C27" t="str">
            <v>Leonardtown, Maryland</v>
          </cell>
        </row>
        <row r="28">
          <cell r="A28" t="str">
            <v>0029</v>
          </cell>
          <cell r="B28" t="str">
            <v>Johns Hopkins Bayview Medical Center</v>
          </cell>
          <cell r="C28" t="str">
            <v>Baltimore, Maryland</v>
          </cell>
        </row>
        <row r="29">
          <cell r="A29" t="str">
            <v>0030</v>
          </cell>
          <cell r="B29" t="str">
            <v>University of Maryland Shore Medical Center at Chestertown</v>
          </cell>
          <cell r="C29" t="str">
            <v>Chestertown, Maryland</v>
          </cell>
        </row>
        <row r="30">
          <cell r="A30" t="str">
            <v>0032</v>
          </cell>
          <cell r="B30" t="str">
            <v>Union Hospital of Cecil County</v>
          </cell>
          <cell r="C30" t="str">
            <v>Elkton, Maryland</v>
          </cell>
        </row>
        <row r="31">
          <cell r="A31" t="str">
            <v>0033</v>
          </cell>
          <cell r="B31" t="str">
            <v>Carroll Hospital Center</v>
          </cell>
          <cell r="C31" t="str">
            <v>Westminster, Maryland</v>
          </cell>
        </row>
        <row r="32">
          <cell r="A32" t="str">
            <v>0034</v>
          </cell>
          <cell r="B32" t="str">
            <v>MedStar Harbor Hospital Center</v>
          </cell>
          <cell r="C32" t="str">
            <v>Baltimore, Maryland</v>
          </cell>
        </row>
        <row r="33">
          <cell r="A33" t="str">
            <v>0035</v>
          </cell>
          <cell r="B33" t="str">
            <v>University of Maryland Charles Regional Medical Center</v>
          </cell>
          <cell r="C33" t="str">
            <v>La Plata, Maryland</v>
          </cell>
        </row>
        <row r="34">
          <cell r="A34" t="str">
            <v>0037</v>
          </cell>
          <cell r="B34" t="str">
            <v>University of Maryland Shore Medical Center at Easton</v>
          </cell>
          <cell r="C34" t="str">
            <v>Easton, Maryland</v>
          </cell>
        </row>
        <row r="35">
          <cell r="A35" t="str">
            <v>0038</v>
          </cell>
          <cell r="B35" t="str">
            <v>University of Maryland Medical Center Midtown Campus</v>
          </cell>
          <cell r="C35" t="str">
            <v>Baltimore, Maryland</v>
          </cell>
        </row>
        <row r="36">
          <cell r="A36" t="str">
            <v>0039</v>
          </cell>
          <cell r="B36" t="str">
            <v>Calvert Memorial Hospital</v>
          </cell>
          <cell r="C36" t="str">
            <v>Prince Frederick, Maryland</v>
          </cell>
        </row>
        <row r="37">
          <cell r="A37" t="str">
            <v>0040</v>
          </cell>
          <cell r="B37" t="str">
            <v>Northwest Hospital Center</v>
          </cell>
          <cell r="C37" t="str">
            <v>Randallstown, Maryland</v>
          </cell>
        </row>
        <row r="38">
          <cell r="A38" t="str">
            <v>0043</v>
          </cell>
          <cell r="B38" t="str">
            <v>University of Maryland Baltimore Washington Medical Center</v>
          </cell>
          <cell r="C38" t="str">
            <v>Glen Burnie, Maryland</v>
          </cell>
        </row>
        <row r="39">
          <cell r="A39" t="str">
            <v>0044</v>
          </cell>
          <cell r="B39" t="str">
            <v>Greater Baltimore Medical Center</v>
          </cell>
          <cell r="C39" t="str">
            <v>Baltimore, Maryland</v>
          </cell>
        </row>
        <row r="40">
          <cell r="A40" t="str">
            <v>0045</v>
          </cell>
          <cell r="B40" t="str">
            <v>McCready Memorial Hospital</v>
          </cell>
          <cell r="C40" t="str">
            <v>Crisfield, Maryland</v>
          </cell>
        </row>
        <row r="41">
          <cell r="A41" t="str">
            <v>0048</v>
          </cell>
          <cell r="B41" t="str">
            <v>Howard County General Hospital</v>
          </cell>
          <cell r="C41" t="str">
            <v>Columbia, Maryland</v>
          </cell>
        </row>
        <row r="42">
          <cell r="A42" t="str">
            <v>0049</v>
          </cell>
          <cell r="B42" t="str">
            <v>Upper Chesapeake Medical Center</v>
          </cell>
          <cell r="C42" t="str">
            <v>Fallston, Maryland</v>
          </cell>
        </row>
        <row r="43">
          <cell r="A43" t="str">
            <v>0051</v>
          </cell>
          <cell r="B43" t="str">
            <v>Doctors Community Hospital</v>
          </cell>
          <cell r="C43" t="str">
            <v>Lanham, Maryland</v>
          </cell>
        </row>
        <row r="44">
          <cell r="A44" t="str">
            <v>0055</v>
          </cell>
          <cell r="B44" t="str">
            <v>Laurel Regional Hospital</v>
          </cell>
          <cell r="C44" t="str">
            <v>Laurel, Maryland</v>
          </cell>
        </row>
        <row r="45">
          <cell r="A45" t="str">
            <v>0060</v>
          </cell>
          <cell r="B45" t="str">
            <v>Fort Washington Medical Center</v>
          </cell>
          <cell r="C45" t="str">
            <v>Fort Washington, Maryland</v>
          </cell>
        </row>
        <row r="46">
          <cell r="A46" t="str">
            <v>0061</v>
          </cell>
          <cell r="B46" t="str">
            <v>Atlantic General Hospital</v>
          </cell>
          <cell r="C46" t="str">
            <v>Berlin, Maryland</v>
          </cell>
        </row>
        <row r="47">
          <cell r="A47" t="str">
            <v>0062</v>
          </cell>
          <cell r="B47" t="str">
            <v>MedStar Southern Maryland Hospital Center</v>
          </cell>
          <cell r="C47" t="str">
            <v>Clinton, Maryland</v>
          </cell>
        </row>
        <row r="48">
          <cell r="A48" t="str">
            <v>0063</v>
          </cell>
          <cell r="B48" t="str">
            <v>University of Maryland St. Joseph Medical Center</v>
          </cell>
          <cell r="C48" t="str">
            <v>Towson, Maryland</v>
          </cell>
        </row>
        <row r="49">
          <cell r="A49" t="str">
            <v>0087</v>
          </cell>
          <cell r="B49" t="str">
            <v>Germantown Emergency Center</v>
          </cell>
          <cell r="C49" t="str">
            <v>Germantown, Maryland</v>
          </cell>
        </row>
        <row r="50">
          <cell r="A50" t="str">
            <v>0088</v>
          </cell>
          <cell r="B50" t="str">
            <v>Queen Anne's Freestanding Emergency Center</v>
          </cell>
          <cell r="C50" t="str">
            <v>Queenstown, Maryland</v>
          </cell>
        </row>
        <row r="51">
          <cell r="A51" t="str">
            <v>0333</v>
          </cell>
          <cell r="B51" t="str">
            <v>Bowie Emergency Center</v>
          </cell>
          <cell r="C51" t="str">
            <v>Bowie, Maryland</v>
          </cell>
        </row>
        <row r="52">
          <cell r="A52" t="str">
            <v>0904</v>
          </cell>
          <cell r="B52" t="str">
            <v>Johns Hopkins (Oncology)</v>
          </cell>
          <cell r="C52" t="str">
            <v>Baltimore, Maryland</v>
          </cell>
        </row>
        <row r="53">
          <cell r="A53" t="str">
            <v>2001</v>
          </cell>
          <cell r="B53" t="str">
            <v>University of Maryland Rehabilitation &amp; Orthopaedic Institute</v>
          </cell>
          <cell r="C53" t="str">
            <v>Baltimore, Maryland</v>
          </cell>
        </row>
        <row r="54">
          <cell r="A54" t="str">
            <v>2004</v>
          </cell>
          <cell r="B54" t="str">
            <v>MedStar Good Samaritan Hospital</v>
          </cell>
          <cell r="C54" t="str">
            <v>Baltimore, Maryland</v>
          </cell>
        </row>
        <row r="55">
          <cell r="A55" t="str">
            <v>2781</v>
          </cell>
          <cell r="B55" t="str">
            <v>St. Luke's Institute</v>
          </cell>
          <cell r="C55" t="str">
            <v>Silver Spring, Maryland</v>
          </cell>
        </row>
        <row r="56">
          <cell r="A56" t="str">
            <v>3029</v>
          </cell>
          <cell r="B56" t="str">
            <v>Adventist Rehab. Hospital of MD</v>
          </cell>
          <cell r="C56" t="str">
            <v>Rockville, Maryland</v>
          </cell>
        </row>
        <row r="57">
          <cell r="A57" t="str">
            <v>3478</v>
          </cell>
          <cell r="B57" t="str">
            <v>Adventist Behavioral Health - Eastern Shore</v>
          </cell>
          <cell r="C57" t="str">
            <v>Cambridge, Maryland</v>
          </cell>
        </row>
        <row r="58">
          <cell r="A58" t="str">
            <v>4000</v>
          </cell>
          <cell r="B58" t="str">
            <v>Sheppard &amp; Enoch Pratt Hospital</v>
          </cell>
          <cell r="C58" t="str">
            <v>Baltimore, Maryland</v>
          </cell>
        </row>
        <row r="59">
          <cell r="A59" t="str">
            <v>4003</v>
          </cell>
          <cell r="B59" t="str">
            <v>Brook Lane Health Services</v>
          </cell>
          <cell r="C59" t="str">
            <v>Hagerstown, Maryland</v>
          </cell>
        </row>
        <row r="60">
          <cell r="A60" t="str">
            <v>4013</v>
          </cell>
          <cell r="B60" t="str">
            <v>Adventist Behavioral Health - Rockville</v>
          </cell>
          <cell r="C60" t="str">
            <v>Rockville, Maryland</v>
          </cell>
        </row>
        <row r="61">
          <cell r="A61" t="str">
            <v>5033</v>
          </cell>
          <cell r="B61" t="str">
            <v>Levindale</v>
          </cell>
          <cell r="C61" t="str">
            <v>Baltimore, Maryland</v>
          </cell>
        </row>
        <row r="62">
          <cell r="A62" t="str">
            <v>5034</v>
          </cell>
          <cell r="B62" t="str">
            <v>Mt. Washington Pediatric Hospital</v>
          </cell>
          <cell r="C62" t="str">
            <v>Baltimore, Maryland</v>
          </cell>
        </row>
        <row r="63">
          <cell r="A63" t="str">
            <v>5050</v>
          </cell>
          <cell r="B63" t="str">
            <v>Shady Grove Adventist Hospital</v>
          </cell>
          <cell r="C63" t="str">
            <v>Rockville, Maryland</v>
          </cell>
        </row>
        <row r="64">
          <cell r="A64" t="str">
            <v>5089</v>
          </cell>
          <cell r="B64" t="str">
            <v>University Specialty Hospital</v>
          </cell>
          <cell r="C64" t="str">
            <v>Baltimore, Maryland</v>
          </cell>
        </row>
        <row r="65">
          <cell r="A65" t="str">
            <v>8992</v>
          </cell>
          <cell r="B65" t="str">
            <v>University of Maryland - MIEMSS</v>
          </cell>
          <cell r="C65" t="str">
            <v>Baltimore, Maryland</v>
          </cell>
        </row>
        <row r="66">
          <cell r="A66" t="str">
            <v>8994</v>
          </cell>
          <cell r="B66" t="str">
            <v>University of Maryland - Cancer Center</v>
          </cell>
          <cell r="C66" t="str">
            <v>Baltimore, Maryland</v>
          </cell>
        </row>
      </sheetData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6"/>
  <sheetViews>
    <sheetView zoomScaleNormal="10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C14" sqref="C14"/>
    </sheetView>
  </sheetViews>
  <sheetFormatPr defaultRowHeight="15" x14ac:dyDescent="0.25"/>
  <cols>
    <col min="2" max="2" width="42.28515625" customWidth="1"/>
    <col min="3" max="3" width="18.7109375" customWidth="1"/>
    <col min="4" max="4" width="24.140625" customWidth="1"/>
    <col min="5" max="5" width="17.7109375" customWidth="1"/>
    <col min="6" max="6" width="15.5703125" customWidth="1"/>
    <col min="7" max="7" width="21" customWidth="1"/>
    <col min="8" max="8" width="17.85546875" customWidth="1"/>
    <col min="9" max="9" width="14.140625" style="54" bestFit="1" customWidth="1"/>
    <col min="13" max="13" width="13.5703125" bestFit="1" customWidth="1"/>
    <col min="14" max="14" width="15.5703125" style="48" customWidth="1"/>
  </cols>
  <sheetData>
    <row r="1" spans="1:14" ht="30" x14ac:dyDescent="0.4">
      <c r="A1" s="1"/>
      <c r="B1" s="2" t="s">
        <v>0</v>
      </c>
      <c r="C1" s="3"/>
      <c r="D1" s="4"/>
      <c r="E1" s="3"/>
      <c r="F1" s="3"/>
      <c r="G1" s="3"/>
      <c r="H1" s="5"/>
    </row>
    <row r="2" spans="1:14" ht="19.5" x14ac:dyDescent="0.35">
      <c r="A2" s="1"/>
      <c r="B2" s="6" t="s">
        <v>1</v>
      </c>
      <c r="C2" s="3"/>
      <c r="D2" s="4"/>
      <c r="E2" s="3"/>
      <c r="F2" s="3"/>
      <c r="G2" s="3"/>
      <c r="H2" s="3"/>
    </row>
    <row r="3" spans="1:14" ht="19.5" x14ac:dyDescent="0.35">
      <c r="A3" s="56">
        <v>2020</v>
      </c>
      <c r="B3" s="6" t="str">
        <f>"FYE "&amp;A3&amp;" - Estimate"</f>
        <v>FYE 2020 - Estimate</v>
      </c>
      <c r="C3" s="3"/>
      <c r="D3" s="4"/>
      <c r="E3" s="3"/>
      <c r="F3" s="3"/>
      <c r="G3" s="3"/>
      <c r="H3" s="3"/>
    </row>
    <row r="4" spans="1:14" ht="19.5" x14ac:dyDescent="0.35">
      <c r="A4" s="1"/>
      <c r="B4" s="7"/>
      <c r="C4" s="8"/>
      <c r="D4" s="9"/>
      <c r="E4" s="8"/>
      <c r="F4" s="8"/>
      <c r="G4" s="1"/>
      <c r="H4" s="1"/>
    </row>
    <row r="5" spans="1:14" ht="18" x14ac:dyDescent="0.25">
      <c r="A5" s="1"/>
      <c r="B5" s="1"/>
      <c r="C5" s="1"/>
      <c r="D5" s="10" t="s">
        <v>2</v>
      </c>
      <c r="E5" s="47">
        <f>'FY2020 Adjusted'!E5</f>
        <v>15000000</v>
      </c>
      <c r="F5" s="8"/>
      <c r="G5" s="1"/>
      <c r="H5" s="1"/>
    </row>
    <row r="6" spans="1:14" ht="18" x14ac:dyDescent="0.25">
      <c r="A6" s="1"/>
      <c r="B6" s="1"/>
      <c r="C6" s="1"/>
      <c r="D6" s="10" t="s">
        <v>3</v>
      </c>
      <c r="E6" s="11">
        <f>E5/2</f>
        <v>7500000</v>
      </c>
      <c r="F6" s="8"/>
      <c r="G6" s="1"/>
      <c r="H6" s="43" t="s">
        <v>20</v>
      </c>
    </row>
    <row r="7" spans="1:14" ht="18" x14ac:dyDescent="0.25">
      <c r="A7" s="1"/>
      <c r="B7" s="1"/>
      <c r="C7" s="1"/>
      <c r="D7" s="10"/>
      <c r="E7" s="11"/>
      <c r="F7" s="8"/>
      <c r="G7" s="1"/>
      <c r="H7" s="37" t="s">
        <v>16</v>
      </c>
    </row>
    <row r="8" spans="1:14" ht="18" x14ac:dyDescent="0.25">
      <c r="A8" s="1"/>
      <c r="B8" s="1"/>
      <c r="C8" s="8"/>
      <c r="D8" s="9"/>
      <c r="E8" s="12" t="s">
        <v>4</v>
      </c>
      <c r="F8" s="12" t="s">
        <v>4</v>
      </c>
      <c r="G8" s="13"/>
      <c r="H8" s="13"/>
    </row>
    <row r="9" spans="1:14" ht="18" x14ac:dyDescent="0.25">
      <c r="A9" s="1" t="s">
        <v>5</v>
      </c>
      <c r="B9" s="1"/>
      <c r="C9" s="8"/>
      <c r="D9" s="9"/>
      <c r="E9" s="12" t="s">
        <v>6</v>
      </c>
      <c r="F9" s="12" t="s">
        <v>6</v>
      </c>
      <c r="G9" s="14" t="s">
        <v>7</v>
      </c>
      <c r="H9" s="14" t="s">
        <v>7</v>
      </c>
    </row>
    <row r="10" spans="1:14" ht="54.75" thickBot="1" x14ac:dyDescent="0.3">
      <c r="A10" s="1" t="s">
        <v>8</v>
      </c>
      <c r="B10" s="8" t="s">
        <v>9</v>
      </c>
      <c r="C10" s="44" t="str">
        <f>"FY "&amp;A3-2&amp;" ADMISSIONS"</f>
        <v>FY 2018 ADMISSIONS</v>
      </c>
      <c r="D10" s="44" t="str">
        <f>"FY "&amp;A3-2&amp;" REVENUE"</f>
        <v>FY 2018 REVENUE</v>
      </c>
      <c r="E10" s="45" t="s">
        <v>10</v>
      </c>
      <c r="F10" s="45" t="s">
        <v>11</v>
      </c>
      <c r="G10" s="46" t="s">
        <v>12</v>
      </c>
      <c r="H10" s="46" t="s">
        <v>13</v>
      </c>
      <c r="I10" s="54" t="s">
        <v>81</v>
      </c>
      <c r="J10" t="s">
        <v>83</v>
      </c>
    </row>
    <row r="11" spans="1:14" ht="18.75" x14ac:dyDescent="0.3">
      <c r="A11" s="15"/>
      <c r="B11" s="16"/>
      <c r="C11" s="17"/>
      <c r="D11" s="18"/>
      <c r="E11" s="19"/>
      <c r="F11" s="19"/>
      <c r="G11" s="20"/>
      <c r="H11" s="17"/>
    </row>
    <row r="12" spans="1:14" ht="18" x14ac:dyDescent="0.25">
      <c r="A12" s="21">
        <v>210001</v>
      </c>
      <c r="B12" s="8" t="s">
        <v>21</v>
      </c>
      <c r="C12" s="22">
        <v>15315</v>
      </c>
      <c r="D12" s="23">
        <v>334316871</v>
      </c>
      <c r="E12" s="24">
        <f t="shared" ref="E12:E43" si="0">(C12/C$82)*$E$6</f>
        <v>208065.39262747939</v>
      </c>
      <c r="F12" s="24">
        <f t="shared" ref="F12:F43" si="1">(D12/D$82)*$E$6</f>
        <v>143139.7494058696</v>
      </c>
      <c r="G12" s="50">
        <f t="shared" ref="G12:G61" si="2">E12+F12</f>
        <v>351205.14203334902</v>
      </c>
      <c r="H12" s="26">
        <f t="shared" ref="H12:H61" si="3">ROUND(G12,0)</f>
        <v>351205</v>
      </c>
      <c r="I12" s="30">
        <f>A12</f>
        <v>210001</v>
      </c>
      <c r="J12">
        <v>1</v>
      </c>
      <c r="M12" s="52"/>
      <c r="N12" s="53"/>
    </row>
    <row r="13" spans="1:14" ht="18" x14ac:dyDescent="0.25">
      <c r="A13" s="21">
        <v>210002</v>
      </c>
      <c r="B13" s="8" t="s">
        <v>22</v>
      </c>
      <c r="C13" s="22">
        <v>24132</v>
      </c>
      <c r="D13" s="23">
        <v>1478505420.6499999</v>
      </c>
      <c r="E13" s="24">
        <f t="shared" si="0"/>
        <v>327850.7381577756</v>
      </c>
      <c r="F13" s="24">
        <f t="shared" si="1"/>
        <v>633030.85714469012</v>
      </c>
      <c r="G13" s="50">
        <f t="shared" si="2"/>
        <v>960881.59530246572</v>
      </c>
      <c r="H13" s="26">
        <f t="shared" si="3"/>
        <v>960882</v>
      </c>
      <c r="I13" s="30">
        <f t="shared" ref="I13:I63" si="4">A13</f>
        <v>210002</v>
      </c>
      <c r="J13">
        <v>2</v>
      </c>
      <c r="M13" s="52"/>
      <c r="N13" s="53"/>
    </row>
    <row r="14" spans="1:14" ht="18" x14ac:dyDescent="0.25">
      <c r="A14" s="21">
        <v>210003</v>
      </c>
      <c r="B14" s="8" t="s">
        <v>23</v>
      </c>
      <c r="C14" s="22">
        <v>12456</v>
      </c>
      <c r="D14" s="23">
        <v>293379999.99999994</v>
      </c>
      <c r="E14" s="24">
        <f t="shared" si="0"/>
        <v>169223.80219183044</v>
      </c>
      <c r="F14" s="24">
        <f t="shared" si="1"/>
        <v>125612.38550445159</v>
      </c>
      <c r="G14" s="50">
        <f t="shared" si="2"/>
        <v>294836.18769628205</v>
      </c>
      <c r="H14" s="26">
        <f t="shared" si="3"/>
        <v>294836</v>
      </c>
      <c r="I14" s="30">
        <f t="shared" si="4"/>
        <v>210003</v>
      </c>
      <c r="J14">
        <v>3</v>
      </c>
      <c r="M14" s="52"/>
      <c r="N14" s="53"/>
    </row>
    <row r="15" spans="1:14" ht="18" x14ac:dyDescent="0.25">
      <c r="A15" s="21">
        <v>210004</v>
      </c>
      <c r="B15" s="8" t="s">
        <v>24</v>
      </c>
      <c r="C15" s="22">
        <v>26605</v>
      </c>
      <c r="D15" s="23">
        <v>515354699.99999988</v>
      </c>
      <c r="E15" s="24">
        <f t="shared" si="0"/>
        <v>361448.23838420433</v>
      </c>
      <c r="F15" s="24">
        <f t="shared" si="1"/>
        <v>220652.16868201992</v>
      </c>
      <c r="G15" s="50">
        <f t="shared" si="2"/>
        <v>582100.40706622426</v>
      </c>
      <c r="H15" s="26">
        <f t="shared" si="3"/>
        <v>582100</v>
      </c>
      <c r="I15" s="30">
        <f t="shared" si="4"/>
        <v>210004</v>
      </c>
      <c r="J15">
        <v>4</v>
      </c>
      <c r="M15" s="52"/>
      <c r="N15" s="53"/>
    </row>
    <row r="16" spans="1:14" ht="18" x14ac:dyDescent="0.25">
      <c r="A16" s="21">
        <v>210005</v>
      </c>
      <c r="B16" s="8" t="s">
        <v>25</v>
      </c>
      <c r="C16" s="22">
        <v>16268</v>
      </c>
      <c r="D16" s="23">
        <v>355845200</v>
      </c>
      <c r="E16" s="24">
        <f t="shared" si="0"/>
        <v>221012.58943936237</v>
      </c>
      <c r="F16" s="24">
        <f t="shared" si="1"/>
        <v>152357.23103929611</v>
      </c>
      <c r="G16" s="50">
        <f t="shared" si="2"/>
        <v>373369.82047865848</v>
      </c>
      <c r="H16" s="26">
        <f t="shared" si="3"/>
        <v>373370</v>
      </c>
      <c r="I16" s="30">
        <f t="shared" si="4"/>
        <v>210005</v>
      </c>
      <c r="J16">
        <v>5</v>
      </c>
      <c r="M16" s="52"/>
      <c r="N16" s="53"/>
    </row>
    <row r="17" spans="1:14" ht="18" x14ac:dyDescent="0.25">
      <c r="A17" s="21">
        <v>210006</v>
      </c>
      <c r="B17" s="8" t="s">
        <v>26</v>
      </c>
      <c r="C17" s="22">
        <v>4391</v>
      </c>
      <c r="D17" s="23">
        <v>105943545.91000001</v>
      </c>
      <c r="E17" s="24">
        <f t="shared" si="0"/>
        <v>59654.922561362204</v>
      </c>
      <c r="F17" s="24">
        <f t="shared" si="1"/>
        <v>45360.356979192482</v>
      </c>
      <c r="G17" s="50">
        <f t="shared" si="2"/>
        <v>105015.27954055468</v>
      </c>
      <c r="H17" s="26">
        <f t="shared" si="3"/>
        <v>105015</v>
      </c>
      <c r="I17" s="30">
        <f t="shared" si="4"/>
        <v>210006</v>
      </c>
      <c r="J17">
        <v>6</v>
      </c>
      <c r="M17" s="52"/>
      <c r="N17" s="53"/>
    </row>
    <row r="18" spans="1:14" ht="18" x14ac:dyDescent="0.25">
      <c r="A18" s="21">
        <v>210008</v>
      </c>
      <c r="B18" s="8" t="s">
        <v>27</v>
      </c>
      <c r="C18" s="22">
        <v>13496</v>
      </c>
      <c r="D18" s="23">
        <v>539029400</v>
      </c>
      <c r="E18" s="24">
        <f t="shared" si="0"/>
        <v>183352.95715967755</v>
      </c>
      <c r="F18" s="24">
        <f t="shared" si="1"/>
        <v>230788.63177801232</v>
      </c>
      <c r="G18" s="50">
        <f t="shared" si="2"/>
        <v>414141.5889376899</v>
      </c>
      <c r="H18" s="26">
        <f t="shared" si="3"/>
        <v>414142</v>
      </c>
      <c r="I18" s="30">
        <f t="shared" si="4"/>
        <v>210008</v>
      </c>
      <c r="J18">
        <v>8</v>
      </c>
      <c r="M18" s="52"/>
      <c r="N18" s="53"/>
    </row>
    <row r="19" spans="1:14" ht="18" x14ac:dyDescent="0.25">
      <c r="A19" s="21">
        <v>210009</v>
      </c>
      <c r="B19" s="8" t="s">
        <v>28</v>
      </c>
      <c r="C19" s="22">
        <v>43978</v>
      </c>
      <c r="D19" s="23">
        <v>2409765549.6699996</v>
      </c>
      <c r="E19" s="24">
        <f t="shared" si="0"/>
        <v>597473.0549769043</v>
      </c>
      <c r="F19" s="24">
        <f t="shared" si="1"/>
        <v>1031755.399824442</v>
      </c>
      <c r="G19" s="50">
        <f t="shared" si="2"/>
        <v>1629228.4548013462</v>
      </c>
      <c r="H19" s="26">
        <f t="shared" si="3"/>
        <v>1629228</v>
      </c>
      <c r="I19" s="30">
        <f t="shared" si="4"/>
        <v>210009</v>
      </c>
      <c r="J19">
        <v>9</v>
      </c>
      <c r="M19" s="52"/>
      <c r="N19" s="53"/>
    </row>
    <row r="20" spans="1:14" ht="18" x14ac:dyDescent="0.25">
      <c r="A20" s="21">
        <v>210010</v>
      </c>
      <c r="B20" s="8" t="s">
        <v>29</v>
      </c>
      <c r="C20" s="22">
        <v>1996</v>
      </c>
      <c r="D20" s="23">
        <v>51060002.460000001</v>
      </c>
      <c r="E20" s="24">
        <f t="shared" si="0"/>
        <v>27117.108957521963</v>
      </c>
      <c r="F20" s="24">
        <f t="shared" si="1"/>
        <v>21861.64262343639</v>
      </c>
      <c r="G20" s="50">
        <f t="shared" si="2"/>
        <v>48978.751580958356</v>
      </c>
      <c r="H20" s="26">
        <f t="shared" si="3"/>
        <v>48979</v>
      </c>
      <c r="I20" s="30">
        <f t="shared" si="4"/>
        <v>210010</v>
      </c>
      <c r="J20">
        <v>10</v>
      </c>
      <c r="M20" s="52"/>
      <c r="N20" s="53"/>
    </row>
    <row r="21" spans="1:14" ht="18" x14ac:dyDescent="0.25">
      <c r="A21" s="21">
        <v>210011</v>
      </c>
      <c r="B21" s="8" t="s">
        <v>30</v>
      </c>
      <c r="C21" s="22">
        <v>15292</v>
      </c>
      <c r="D21" s="23">
        <v>438695900</v>
      </c>
      <c r="E21" s="24">
        <f t="shared" si="0"/>
        <v>207752.92093107509</v>
      </c>
      <c r="F21" s="24">
        <f t="shared" si="1"/>
        <v>187830.2491990673</v>
      </c>
      <c r="G21" s="50">
        <f t="shared" si="2"/>
        <v>395583.17013014236</v>
      </c>
      <c r="H21" s="26">
        <f t="shared" si="3"/>
        <v>395583</v>
      </c>
      <c r="I21" s="30">
        <f t="shared" si="4"/>
        <v>210011</v>
      </c>
      <c r="J21">
        <v>11</v>
      </c>
      <c r="M21" s="52"/>
      <c r="N21" s="53"/>
    </row>
    <row r="22" spans="1:14" ht="18" x14ac:dyDescent="0.25">
      <c r="A22" s="21">
        <v>210012</v>
      </c>
      <c r="B22" s="8" t="s">
        <v>31</v>
      </c>
      <c r="C22" s="22">
        <v>17252</v>
      </c>
      <c r="D22" s="23">
        <v>783533500</v>
      </c>
      <c r="E22" s="24">
        <f t="shared" si="0"/>
        <v>234380.94375509466</v>
      </c>
      <c r="F22" s="24">
        <f t="shared" si="1"/>
        <v>335474.51106978068</v>
      </c>
      <c r="G22" s="50">
        <f t="shared" si="2"/>
        <v>569855.45482487534</v>
      </c>
      <c r="H22" s="26">
        <f t="shared" si="3"/>
        <v>569855</v>
      </c>
      <c r="I22" s="30">
        <f t="shared" si="4"/>
        <v>210012</v>
      </c>
      <c r="J22">
        <v>12</v>
      </c>
      <c r="M22" s="52"/>
      <c r="N22" s="53"/>
    </row>
    <row r="23" spans="1:14" ht="18" x14ac:dyDescent="0.25">
      <c r="A23" s="21">
        <v>210013</v>
      </c>
      <c r="B23" s="8" t="s">
        <v>32</v>
      </c>
      <c r="C23" s="22">
        <v>3292</v>
      </c>
      <c r="D23" s="23">
        <v>110087997.34</v>
      </c>
      <c r="E23" s="24">
        <f t="shared" si="0"/>
        <v>44724.209763608371</v>
      </c>
      <c r="F23" s="24">
        <f t="shared" si="1"/>
        <v>47134.828418041878</v>
      </c>
      <c r="G23" s="50">
        <f t="shared" si="2"/>
        <v>91859.038181650249</v>
      </c>
      <c r="H23" s="26">
        <f t="shared" si="3"/>
        <v>91859</v>
      </c>
      <c r="I23" s="30">
        <f t="shared" si="4"/>
        <v>210013</v>
      </c>
      <c r="J23">
        <v>13</v>
      </c>
      <c r="M23" s="52"/>
      <c r="N23" s="53"/>
    </row>
    <row r="24" spans="1:14" ht="18" x14ac:dyDescent="0.25">
      <c r="A24" s="21">
        <v>210015</v>
      </c>
      <c r="B24" s="8" t="s">
        <v>33</v>
      </c>
      <c r="C24" s="22">
        <v>21656</v>
      </c>
      <c r="D24" s="23">
        <v>535571836.18000025</v>
      </c>
      <c r="E24" s="24">
        <f t="shared" si="0"/>
        <v>294212.4807535549</v>
      </c>
      <c r="F24" s="24">
        <f t="shared" si="1"/>
        <v>229308.25533972733</v>
      </c>
      <c r="G24" s="50">
        <f t="shared" si="2"/>
        <v>523520.73609328223</v>
      </c>
      <c r="H24" s="26">
        <f t="shared" si="3"/>
        <v>523521</v>
      </c>
      <c r="I24" s="30">
        <f t="shared" si="4"/>
        <v>210015</v>
      </c>
      <c r="J24">
        <v>15</v>
      </c>
      <c r="M24" s="52"/>
      <c r="N24" s="53"/>
    </row>
    <row r="25" spans="1:14" ht="18" x14ac:dyDescent="0.25">
      <c r="A25" s="13">
        <v>210016</v>
      </c>
      <c r="B25" s="8" t="s">
        <v>34</v>
      </c>
      <c r="C25" s="22">
        <v>9825</v>
      </c>
      <c r="D25" s="23">
        <v>279406300</v>
      </c>
      <c r="E25" s="24">
        <f t="shared" si="0"/>
        <v>133479.75726836338</v>
      </c>
      <c r="F25" s="24">
        <f t="shared" si="1"/>
        <v>119629.46304442179</v>
      </c>
      <c r="G25" s="50">
        <f t="shared" si="2"/>
        <v>253109.22031278518</v>
      </c>
      <c r="H25" s="26">
        <f t="shared" si="3"/>
        <v>253109</v>
      </c>
      <c r="I25" s="30">
        <f t="shared" si="4"/>
        <v>210016</v>
      </c>
      <c r="J25">
        <v>16</v>
      </c>
      <c r="M25" s="52"/>
      <c r="N25" s="53"/>
    </row>
    <row r="26" spans="1:14" ht="18" x14ac:dyDescent="0.25">
      <c r="A26" s="13">
        <v>210017</v>
      </c>
      <c r="B26" s="8" t="s">
        <v>35</v>
      </c>
      <c r="C26" s="22">
        <v>2097</v>
      </c>
      <c r="D26" s="23">
        <v>57720022.909999996</v>
      </c>
      <c r="E26" s="24">
        <f t="shared" si="0"/>
        <v>28489.267276514809</v>
      </c>
      <c r="F26" s="24">
        <f t="shared" si="1"/>
        <v>24713.169844899785</v>
      </c>
      <c r="G26" s="50">
        <f t="shared" si="2"/>
        <v>53202.437121414594</v>
      </c>
      <c r="H26" s="26">
        <f t="shared" si="3"/>
        <v>53202</v>
      </c>
      <c r="I26" s="30">
        <f t="shared" si="4"/>
        <v>210017</v>
      </c>
      <c r="J26">
        <v>17</v>
      </c>
      <c r="M26" s="52"/>
      <c r="N26" s="53"/>
    </row>
    <row r="27" spans="1:14" ht="18" x14ac:dyDescent="0.25">
      <c r="A27" s="27">
        <v>210018</v>
      </c>
      <c r="B27" s="8" t="s">
        <v>36</v>
      </c>
      <c r="C27" s="22">
        <v>6997</v>
      </c>
      <c r="D27" s="23">
        <v>182928947.81</v>
      </c>
      <c r="E27" s="24">
        <f t="shared" si="0"/>
        <v>95059.324336563717</v>
      </c>
      <c r="F27" s="24">
        <f t="shared" si="1"/>
        <v>78322.11300100018</v>
      </c>
      <c r="G27" s="50">
        <f t="shared" si="2"/>
        <v>173381.4373375639</v>
      </c>
      <c r="H27" s="26">
        <f t="shared" si="3"/>
        <v>173381</v>
      </c>
      <c r="I27" s="30">
        <f t="shared" si="4"/>
        <v>210018</v>
      </c>
      <c r="J27">
        <v>18</v>
      </c>
      <c r="M27" s="52"/>
      <c r="N27" s="53"/>
    </row>
    <row r="28" spans="1:14" ht="18" x14ac:dyDescent="0.25">
      <c r="A28" s="21">
        <v>210019</v>
      </c>
      <c r="B28" s="8" t="s">
        <v>37</v>
      </c>
      <c r="C28" s="22">
        <v>17223</v>
      </c>
      <c r="D28" s="23">
        <v>450336518</v>
      </c>
      <c r="E28" s="24">
        <f t="shared" si="0"/>
        <v>233986.9577031066</v>
      </c>
      <c r="F28" s="24">
        <f t="shared" si="1"/>
        <v>192814.2487754735</v>
      </c>
      <c r="G28" s="50">
        <f t="shared" si="2"/>
        <v>426801.20647858013</v>
      </c>
      <c r="H28" s="26">
        <f t="shared" si="3"/>
        <v>426801</v>
      </c>
      <c r="I28" s="30">
        <f t="shared" si="4"/>
        <v>210019</v>
      </c>
      <c r="J28">
        <v>19</v>
      </c>
      <c r="M28" s="52"/>
      <c r="N28" s="53"/>
    </row>
    <row r="29" spans="1:14" ht="18" x14ac:dyDescent="0.25">
      <c r="A29" s="38">
        <v>210022</v>
      </c>
      <c r="B29" s="8" t="s">
        <v>38</v>
      </c>
      <c r="C29" s="22">
        <v>14136</v>
      </c>
      <c r="D29" s="23">
        <v>329368123</v>
      </c>
      <c r="E29" s="24">
        <f t="shared" si="0"/>
        <v>192047.8217552758</v>
      </c>
      <c r="F29" s="24">
        <f t="shared" si="1"/>
        <v>141020.91362449262</v>
      </c>
      <c r="G29" s="50">
        <f t="shared" si="2"/>
        <v>333068.73537976842</v>
      </c>
      <c r="H29" s="26">
        <f t="shared" si="3"/>
        <v>333069</v>
      </c>
      <c r="I29" s="30">
        <f t="shared" si="4"/>
        <v>210022</v>
      </c>
      <c r="J29">
        <v>22</v>
      </c>
      <c r="M29" s="52"/>
      <c r="N29" s="53"/>
    </row>
    <row r="30" spans="1:14" ht="18" x14ac:dyDescent="0.25">
      <c r="A30" s="21">
        <v>210023</v>
      </c>
      <c r="B30" s="8" t="s">
        <v>39</v>
      </c>
      <c r="C30" s="22">
        <v>25444</v>
      </c>
      <c r="D30" s="23">
        <v>632980900</v>
      </c>
      <c r="E30" s="24">
        <f t="shared" si="0"/>
        <v>345675.21057875192</v>
      </c>
      <c r="F30" s="24">
        <f t="shared" si="1"/>
        <v>271014.52323864866</v>
      </c>
      <c r="G30" s="50">
        <f t="shared" si="2"/>
        <v>616689.73381740064</v>
      </c>
      <c r="H30" s="26">
        <f t="shared" si="3"/>
        <v>616690</v>
      </c>
      <c r="I30" s="30">
        <f t="shared" si="4"/>
        <v>210023</v>
      </c>
      <c r="J30">
        <v>23</v>
      </c>
      <c r="M30" s="52"/>
      <c r="N30" s="53"/>
    </row>
    <row r="31" spans="1:14" ht="18" x14ac:dyDescent="0.25">
      <c r="A31" s="21">
        <v>210024</v>
      </c>
      <c r="B31" s="8" t="s">
        <v>40</v>
      </c>
      <c r="C31" s="22">
        <v>10905</v>
      </c>
      <c r="D31" s="23">
        <v>440415067.22000003</v>
      </c>
      <c r="E31" s="24">
        <f t="shared" si="0"/>
        <v>148152.34127343536</v>
      </c>
      <c r="F31" s="24">
        <f t="shared" si="1"/>
        <v>188566.32083171184</v>
      </c>
      <c r="G31" s="50">
        <f t="shared" si="2"/>
        <v>336718.6621051472</v>
      </c>
      <c r="H31" s="26">
        <f t="shared" si="3"/>
        <v>336719</v>
      </c>
      <c r="I31" s="30">
        <f t="shared" si="4"/>
        <v>210024</v>
      </c>
      <c r="J31">
        <v>24</v>
      </c>
      <c r="M31" s="52"/>
      <c r="N31" s="53"/>
    </row>
    <row r="32" spans="1:14" ht="18" x14ac:dyDescent="0.25">
      <c r="A32" s="21">
        <v>210027</v>
      </c>
      <c r="B32" s="8" t="s">
        <v>41</v>
      </c>
      <c r="C32" s="22">
        <v>11192</v>
      </c>
      <c r="D32" s="23">
        <v>332245500</v>
      </c>
      <c r="E32" s="24">
        <f t="shared" si="0"/>
        <v>152051.44461552394</v>
      </c>
      <c r="F32" s="24">
        <f t="shared" si="1"/>
        <v>142252.879637737</v>
      </c>
      <c r="G32" s="50">
        <f t="shared" si="2"/>
        <v>294304.32425326097</v>
      </c>
      <c r="H32" s="26">
        <f t="shared" si="3"/>
        <v>294304</v>
      </c>
      <c r="I32" s="30">
        <f t="shared" si="4"/>
        <v>210027</v>
      </c>
      <c r="J32">
        <v>27</v>
      </c>
      <c r="M32" s="52"/>
      <c r="N32" s="53"/>
    </row>
    <row r="33" spans="1:14" ht="18" x14ac:dyDescent="0.25">
      <c r="A33" s="21">
        <v>210028</v>
      </c>
      <c r="B33" s="8" t="s">
        <v>42</v>
      </c>
      <c r="C33" s="22">
        <v>6777</v>
      </c>
      <c r="D33" s="23">
        <v>196820500</v>
      </c>
      <c r="E33" s="24">
        <f t="shared" si="0"/>
        <v>92070.464631826835</v>
      </c>
      <c r="F33" s="24">
        <f t="shared" si="1"/>
        <v>84269.86338938892</v>
      </c>
      <c r="G33" s="50">
        <f t="shared" si="2"/>
        <v>176340.32802121574</v>
      </c>
      <c r="H33" s="26">
        <f t="shared" si="3"/>
        <v>176340</v>
      </c>
      <c r="I33" s="30">
        <f t="shared" si="4"/>
        <v>210028</v>
      </c>
      <c r="J33">
        <v>28</v>
      </c>
      <c r="M33" s="52"/>
      <c r="N33" s="53"/>
    </row>
    <row r="34" spans="1:14" ht="18" x14ac:dyDescent="0.25">
      <c r="A34" s="21">
        <v>210029</v>
      </c>
      <c r="B34" s="8" t="s">
        <v>43</v>
      </c>
      <c r="C34" s="22">
        <v>19822</v>
      </c>
      <c r="D34" s="23">
        <v>670224184.73000026</v>
      </c>
      <c r="E34" s="24">
        <f t="shared" si="0"/>
        <v>269296.25939679379</v>
      </c>
      <c r="F34" s="24">
        <f t="shared" si="1"/>
        <v>286960.45629119774</v>
      </c>
      <c r="G34" s="50">
        <f t="shared" si="2"/>
        <v>556256.71568799159</v>
      </c>
      <c r="H34" s="26">
        <f t="shared" si="3"/>
        <v>556257</v>
      </c>
      <c r="I34" s="30">
        <f t="shared" si="4"/>
        <v>210029</v>
      </c>
      <c r="J34">
        <v>29</v>
      </c>
      <c r="M34" s="52"/>
      <c r="N34" s="53"/>
    </row>
    <row r="35" spans="1:14" ht="18" x14ac:dyDescent="0.25">
      <c r="A35" s="1">
        <v>210030</v>
      </c>
      <c r="B35" s="8" t="s">
        <v>44</v>
      </c>
      <c r="C35" s="22">
        <v>1254</v>
      </c>
      <c r="D35" s="23">
        <v>59412493.240000002</v>
      </c>
      <c r="E35" s="24">
        <f t="shared" si="0"/>
        <v>17036.500317000271</v>
      </c>
      <c r="F35" s="24">
        <f t="shared" si="1"/>
        <v>25437.811045891016</v>
      </c>
      <c r="G35" s="50">
        <f t="shared" si="2"/>
        <v>42474.311362891283</v>
      </c>
      <c r="H35" s="26">
        <f t="shared" si="3"/>
        <v>42474</v>
      </c>
      <c r="I35" s="30">
        <f t="shared" si="4"/>
        <v>210030</v>
      </c>
      <c r="J35">
        <v>30</v>
      </c>
      <c r="M35" s="52"/>
      <c r="N35" s="53"/>
    </row>
    <row r="36" spans="1:14" ht="18" x14ac:dyDescent="0.25">
      <c r="A36" s="21">
        <v>210032</v>
      </c>
      <c r="B36" s="8" t="s">
        <v>45</v>
      </c>
      <c r="C36" s="22">
        <v>5167</v>
      </c>
      <c r="D36" s="23">
        <v>166233700</v>
      </c>
      <c r="E36" s="24">
        <f t="shared" si="0"/>
        <v>70197.445883525041</v>
      </c>
      <c r="F36" s="24">
        <f t="shared" si="1"/>
        <v>71173.943718833456</v>
      </c>
      <c r="G36" s="50">
        <f t="shared" si="2"/>
        <v>141371.38960235851</v>
      </c>
      <c r="H36" s="26">
        <f t="shared" si="3"/>
        <v>141371</v>
      </c>
      <c r="I36" s="30">
        <f t="shared" si="4"/>
        <v>210032</v>
      </c>
      <c r="J36">
        <v>32</v>
      </c>
      <c r="M36" s="52"/>
      <c r="N36" s="53"/>
    </row>
    <row r="37" spans="1:14" ht="18" x14ac:dyDescent="0.25">
      <c r="A37" s="21">
        <v>210033</v>
      </c>
      <c r="B37" s="8" t="s">
        <v>46</v>
      </c>
      <c r="C37" s="22">
        <v>10106</v>
      </c>
      <c r="D37" s="23">
        <v>234993744</v>
      </c>
      <c r="E37" s="24">
        <f t="shared" si="0"/>
        <v>137297.34625486823</v>
      </c>
      <c r="F37" s="24">
        <f t="shared" si="1"/>
        <v>100613.96401411963</v>
      </c>
      <c r="G37" s="50">
        <f t="shared" si="2"/>
        <v>237911.31026898784</v>
      </c>
      <c r="H37" s="26">
        <f t="shared" si="3"/>
        <v>237911</v>
      </c>
      <c r="I37" s="30">
        <f t="shared" si="4"/>
        <v>210033</v>
      </c>
      <c r="J37">
        <v>33</v>
      </c>
      <c r="M37" s="52"/>
      <c r="N37" s="53"/>
    </row>
    <row r="38" spans="1:14" ht="18" x14ac:dyDescent="0.25">
      <c r="A38" s="21">
        <v>210034</v>
      </c>
      <c r="B38" s="8" t="s">
        <v>47</v>
      </c>
      <c r="C38" s="22">
        <v>7302</v>
      </c>
      <c r="D38" s="23">
        <v>194521777.31999999</v>
      </c>
      <c r="E38" s="24">
        <f t="shared" si="0"/>
        <v>99202.970745403494</v>
      </c>
      <c r="F38" s="24">
        <f t="shared" si="1"/>
        <v>83285.65165222896</v>
      </c>
      <c r="G38" s="50">
        <f t="shared" si="2"/>
        <v>182488.62239763245</v>
      </c>
      <c r="H38" s="26">
        <f t="shared" si="3"/>
        <v>182489</v>
      </c>
      <c r="I38" s="30">
        <f t="shared" si="4"/>
        <v>210034</v>
      </c>
      <c r="J38">
        <v>34</v>
      </c>
      <c r="M38" s="52"/>
      <c r="N38" s="53"/>
    </row>
    <row r="39" spans="1:14" ht="18" x14ac:dyDescent="0.25">
      <c r="A39" s="21">
        <v>210035</v>
      </c>
      <c r="B39" s="8" t="s">
        <v>48</v>
      </c>
      <c r="C39" s="22">
        <v>6530</v>
      </c>
      <c r="D39" s="23">
        <v>156420845.72</v>
      </c>
      <c r="E39" s="24">
        <f t="shared" si="0"/>
        <v>88714.790326963135</v>
      </c>
      <c r="F39" s="24">
        <f t="shared" si="1"/>
        <v>66972.512010065417</v>
      </c>
      <c r="G39" s="50">
        <f t="shared" si="2"/>
        <v>155687.30233702855</v>
      </c>
      <c r="H39" s="26">
        <f t="shared" si="3"/>
        <v>155687</v>
      </c>
      <c r="I39" s="30">
        <f t="shared" si="4"/>
        <v>210035</v>
      </c>
      <c r="J39">
        <v>35</v>
      </c>
      <c r="M39" s="52"/>
      <c r="N39" s="53"/>
    </row>
    <row r="40" spans="1:14" ht="18" x14ac:dyDescent="0.25">
      <c r="A40" s="21">
        <v>210037</v>
      </c>
      <c r="B40" s="8" t="s">
        <v>49</v>
      </c>
      <c r="C40" s="22">
        <v>7263</v>
      </c>
      <c r="D40" s="23">
        <v>210980105.63</v>
      </c>
      <c r="E40" s="24">
        <f t="shared" si="0"/>
        <v>98673.127434109236</v>
      </c>
      <c r="F40" s="24">
        <f t="shared" si="1"/>
        <v>90332.382446538555</v>
      </c>
      <c r="G40" s="50">
        <f t="shared" si="2"/>
        <v>189005.50988064779</v>
      </c>
      <c r="H40" s="26">
        <f t="shared" si="3"/>
        <v>189006</v>
      </c>
      <c r="I40" s="30">
        <f t="shared" si="4"/>
        <v>210037</v>
      </c>
      <c r="J40">
        <v>37</v>
      </c>
      <c r="M40" s="52"/>
      <c r="N40" s="53"/>
    </row>
    <row r="41" spans="1:14" ht="18" x14ac:dyDescent="0.25">
      <c r="A41" s="21">
        <v>210038</v>
      </c>
      <c r="B41" s="8" t="s">
        <v>50</v>
      </c>
      <c r="C41" s="22">
        <v>4665</v>
      </c>
      <c r="D41" s="23">
        <v>236967133.88000003</v>
      </c>
      <c r="E41" s="24">
        <f t="shared" si="0"/>
        <v>63377.411466352693</v>
      </c>
      <c r="F41" s="24">
        <f t="shared" si="1"/>
        <v>101458.88258510997</v>
      </c>
      <c r="G41" s="50">
        <f t="shared" si="2"/>
        <v>164836.29405146267</v>
      </c>
      <c r="H41" s="26">
        <f t="shared" si="3"/>
        <v>164836</v>
      </c>
      <c r="I41" s="30">
        <f t="shared" si="4"/>
        <v>210038</v>
      </c>
      <c r="J41">
        <v>38</v>
      </c>
      <c r="M41" s="52"/>
      <c r="N41" s="53"/>
    </row>
    <row r="42" spans="1:14" ht="18" x14ac:dyDescent="0.25">
      <c r="A42" s="21">
        <v>210039</v>
      </c>
      <c r="B42" s="8" t="s">
        <v>51</v>
      </c>
      <c r="C42" s="22">
        <v>5456</v>
      </c>
      <c r="D42" s="23">
        <v>149987800</v>
      </c>
      <c r="E42" s="24">
        <f t="shared" si="0"/>
        <v>74123.720677474863</v>
      </c>
      <c r="F42" s="24">
        <f t="shared" si="1"/>
        <v>64218.165364253146</v>
      </c>
      <c r="G42" s="50">
        <f t="shared" si="2"/>
        <v>138341.88604172802</v>
      </c>
      <c r="H42" s="26">
        <f t="shared" si="3"/>
        <v>138342</v>
      </c>
      <c r="I42" s="30">
        <f t="shared" si="4"/>
        <v>210039</v>
      </c>
      <c r="J42">
        <v>39</v>
      </c>
      <c r="M42" s="52"/>
      <c r="N42" s="53"/>
    </row>
    <row r="43" spans="1:14" ht="18" x14ac:dyDescent="0.25">
      <c r="A43" s="21">
        <v>210040</v>
      </c>
      <c r="B43" s="8" t="s">
        <v>52</v>
      </c>
      <c r="C43" s="22">
        <v>10259</v>
      </c>
      <c r="D43" s="23">
        <v>266927630.66999999</v>
      </c>
      <c r="E43" s="24">
        <f t="shared" si="0"/>
        <v>139375.96232225341</v>
      </c>
      <c r="F43" s="24">
        <f t="shared" si="1"/>
        <v>114286.64682497077</v>
      </c>
      <c r="G43" s="50">
        <f t="shared" si="2"/>
        <v>253662.60914722417</v>
      </c>
      <c r="H43" s="26">
        <f t="shared" si="3"/>
        <v>253663</v>
      </c>
      <c r="I43" s="30">
        <f t="shared" si="4"/>
        <v>210040</v>
      </c>
      <c r="J43">
        <v>40</v>
      </c>
      <c r="M43" s="52"/>
      <c r="N43" s="53"/>
    </row>
    <row r="44" spans="1:14" ht="18" x14ac:dyDescent="0.25">
      <c r="A44" s="21">
        <v>210043</v>
      </c>
      <c r="B44" s="8" t="s">
        <v>53</v>
      </c>
      <c r="C44" s="22">
        <v>15742</v>
      </c>
      <c r="D44" s="23">
        <v>428075148.26999897</v>
      </c>
      <c r="E44" s="24">
        <f t="shared" ref="E44:E63" si="5">(C44/C$82)*$E$6</f>
        <v>213866.49759985509</v>
      </c>
      <c r="F44" s="24">
        <f t="shared" ref="F44:F63" si="6">(D44/D$82)*$E$6</f>
        <v>183282.91140966117</v>
      </c>
      <c r="G44" s="50">
        <f t="shared" si="2"/>
        <v>397149.40900951624</v>
      </c>
      <c r="H44" s="26">
        <f t="shared" si="3"/>
        <v>397149</v>
      </c>
      <c r="I44" s="30">
        <f t="shared" si="4"/>
        <v>210043</v>
      </c>
      <c r="J44">
        <v>43</v>
      </c>
      <c r="M44" s="52"/>
      <c r="N44" s="53"/>
    </row>
    <row r="45" spans="1:14" ht="18" x14ac:dyDescent="0.25">
      <c r="A45" s="21">
        <v>210044</v>
      </c>
      <c r="B45" s="8" t="s">
        <v>54</v>
      </c>
      <c r="C45" s="22">
        <v>17458</v>
      </c>
      <c r="D45" s="23">
        <v>463552940.82999998</v>
      </c>
      <c r="E45" s="24">
        <f t="shared" si="5"/>
        <v>237179.60329680282</v>
      </c>
      <c r="F45" s="24">
        <f t="shared" si="6"/>
        <v>198472.93852771222</v>
      </c>
      <c r="G45" s="50">
        <f t="shared" si="2"/>
        <v>435652.54182451504</v>
      </c>
      <c r="H45" s="26">
        <f t="shared" si="3"/>
        <v>435653</v>
      </c>
      <c r="I45" s="30">
        <f t="shared" si="4"/>
        <v>210044</v>
      </c>
      <c r="J45">
        <v>44</v>
      </c>
      <c r="M45" s="52"/>
      <c r="N45" s="53"/>
    </row>
    <row r="46" spans="1:14" ht="18" x14ac:dyDescent="0.25">
      <c r="A46" s="21">
        <v>210045</v>
      </c>
      <c r="B46" s="8" t="s">
        <v>55</v>
      </c>
      <c r="C46" s="22">
        <v>226</v>
      </c>
      <c r="D46" s="23">
        <v>17147300</v>
      </c>
      <c r="E46" s="24">
        <f t="shared" si="5"/>
        <v>3070.3740603206229</v>
      </c>
      <c r="F46" s="24">
        <f t="shared" si="6"/>
        <v>7341.718106075682</v>
      </c>
      <c r="G46" s="50">
        <f t="shared" si="2"/>
        <v>10412.092166396305</v>
      </c>
      <c r="H46" s="26">
        <f t="shared" si="3"/>
        <v>10412</v>
      </c>
      <c r="I46" s="30">
        <f t="shared" si="4"/>
        <v>210045</v>
      </c>
      <c r="J46">
        <v>45</v>
      </c>
      <c r="M46" s="52"/>
      <c r="N46" s="53"/>
    </row>
    <row r="47" spans="1:14" ht="18" x14ac:dyDescent="0.25">
      <c r="A47" s="21">
        <v>210048</v>
      </c>
      <c r="B47" s="8" t="s">
        <v>56</v>
      </c>
      <c r="C47" s="22">
        <v>15907</v>
      </c>
      <c r="D47" s="23">
        <v>313005000</v>
      </c>
      <c r="E47" s="24">
        <f t="shared" si="5"/>
        <v>216108.14237840776</v>
      </c>
      <c r="F47" s="24">
        <f t="shared" si="6"/>
        <v>134014.94554782496</v>
      </c>
      <c r="G47" s="50">
        <f t="shared" si="2"/>
        <v>350123.08792623272</v>
      </c>
      <c r="H47" s="26">
        <f t="shared" si="3"/>
        <v>350123</v>
      </c>
      <c r="I47" s="30">
        <f t="shared" si="4"/>
        <v>210048</v>
      </c>
      <c r="J47">
        <v>48</v>
      </c>
      <c r="M47" s="52"/>
      <c r="N47" s="53"/>
    </row>
    <row r="48" spans="1:14" ht="18" x14ac:dyDescent="0.25">
      <c r="A48" s="21">
        <v>210049</v>
      </c>
      <c r="B48" s="8" t="s">
        <v>57</v>
      </c>
      <c r="C48" s="22">
        <v>10307</v>
      </c>
      <c r="D48" s="23">
        <v>343214124.57999992</v>
      </c>
      <c r="E48" s="24">
        <f t="shared" si="5"/>
        <v>140028.07716692329</v>
      </c>
      <c r="F48" s="24">
        <f t="shared" si="6"/>
        <v>146949.16124928705</v>
      </c>
      <c r="G48" s="50">
        <f t="shared" si="2"/>
        <v>286977.23841621034</v>
      </c>
      <c r="H48" s="26">
        <f t="shared" si="3"/>
        <v>286977</v>
      </c>
      <c r="I48" s="30">
        <f t="shared" si="4"/>
        <v>210049</v>
      </c>
      <c r="J48">
        <v>49</v>
      </c>
      <c r="M48" s="52"/>
      <c r="N48" s="53"/>
    </row>
    <row r="49" spans="1:14" ht="18" x14ac:dyDescent="0.25">
      <c r="A49" s="21">
        <v>210051</v>
      </c>
      <c r="B49" s="8" t="s">
        <v>58</v>
      </c>
      <c r="C49" s="22">
        <v>9419</v>
      </c>
      <c r="D49" s="23">
        <v>247708141</v>
      </c>
      <c r="E49" s="24">
        <f t="shared" si="5"/>
        <v>127963.95254053074</v>
      </c>
      <c r="F49" s="24">
        <f t="shared" si="6"/>
        <v>106057.70843235073</v>
      </c>
      <c r="G49" s="50">
        <f t="shared" si="2"/>
        <v>234021.66097288148</v>
      </c>
      <c r="H49" s="26">
        <f t="shared" si="3"/>
        <v>234022</v>
      </c>
      <c r="I49" s="30">
        <f t="shared" si="4"/>
        <v>210051</v>
      </c>
      <c r="J49">
        <v>51</v>
      </c>
      <c r="M49" s="52"/>
      <c r="N49" s="53"/>
    </row>
    <row r="50" spans="1:14" ht="18" x14ac:dyDescent="0.25">
      <c r="A50" s="21">
        <v>210055</v>
      </c>
      <c r="B50" s="8" t="s">
        <v>59</v>
      </c>
      <c r="C50" s="22">
        <v>3571</v>
      </c>
      <c r="D50" s="23">
        <v>102996000</v>
      </c>
      <c r="E50" s="24">
        <f t="shared" si="5"/>
        <v>48514.627298251973</v>
      </c>
      <c r="F50" s="24">
        <f t="shared" si="6"/>
        <v>44098.347731326263</v>
      </c>
      <c r="G50" s="50">
        <f t="shared" si="2"/>
        <v>92612.975029578229</v>
      </c>
      <c r="H50" s="26">
        <f t="shared" si="3"/>
        <v>92613</v>
      </c>
      <c r="I50" s="30">
        <f t="shared" si="4"/>
        <v>210055</v>
      </c>
      <c r="J50">
        <v>55</v>
      </c>
      <c r="M50" s="52"/>
      <c r="N50" s="53"/>
    </row>
    <row r="51" spans="1:14" ht="18" x14ac:dyDescent="0.25">
      <c r="A51" s="21">
        <v>210056</v>
      </c>
      <c r="B51" s="8" t="s">
        <v>60</v>
      </c>
      <c r="C51" s="22">
        <v>8530</v>
      </c>
      <c r="D51" s="23">
        <v>275754352</v>
      </c>
      <c r="E51" s="24">
        <f t="shared" si="5"/>
        <v>115886.24218820759</v>
      </c>
      <c r="F51" s="24">
        <f t="shared" si="6"/>
        <v>118065.85986759239</v>
      </c>
      <c r="G51" s="50">
        <f t="shared" si="2"/>
        <v>233952.10205579997</v>
      </c>
      <c r="H51" s="26">
        <f t="shared" si="3"/>
        <v>233952</v>
      </c>
      <c r="I51" s="30">
        <f t="shared" si="4"/>
        <v>210056</v>
      </c>
      <c r="J51">
        <v>2004</v>
      </c>
      <c r="M51" s="52"/>
      <c r="N51" s="53"/>
    </row>
    <row r="52" spans="1:14" ht="18" x14ac:dyDescent="0.25">
      <c r="A52" s="21">
        <v>210057</v>
      </c>
      <c r="B52" s="8" t="s">
        <v>61</v>
      </c>
      <c r="C52" s="22">
        <v>17307</v>
      </c>
      <c r="D52" s="23">
        <v>430186900</v>
      </c>
      <c r="E52" s="24">
        <f t="shared" si="5"/>
        <v>235128.15868127884</v>
      </c>
      <c r="F52" s="24">
        <f t="shared" si="6"/>
        <v>184187.07042663093</v>
      </c>
      <c r="G52" s="50">
        <f t="shared" si="2"/>
        <v>419315.22910790978</v>
      </c>
      <c r="H52" s="26">
        <f t="shared" si="3"/>
        <v>419315</v>
      </c>
      <c r="I52" s="30">
        <f t="shared" si="4"/>
        <v>210057</v>
      </c>
      <c r="J52">
        <v>5050</v>
      </c>
      <c r="M52" s="52"/>
      <c r="N52" s="53"/>
    </row>
    <row r="53" spans="1:14" ht="18" x14ac:dyDescent="0.25">
      <c r="A53" s="21">
        <v>210058</v>
      </c>
      <c r="B53" s="8" t="s">
        <v>62</v>
      </c>
      <c r="C53" s="22">
        <v>2478</v>
      </c>
      <c r="D53" s="23">
        <v>124902915.88</v>
      </c>
      <c r="E53" s="24">
        <f t="shared" si="5"/>
        <v>33665.428856081875</v>
      </c>
      <c r="F53" s="24">
        <f t="shared" si="6"/>
        <v>53477.923580846182</v>
      </c>
      <c r="G53" s="50">
        <f t="shared" si="2"/>
        <v>87143.352436928049</v>
      </c>
      <c r="H53" s="26">
        <f t="shared" si="3"/>
        <v>87143</v>
      </c>
      <c r="I53" s="30">
        <f t="shared" si="4"/>
        <v>210058</v>
      </c>
      <c r="J53">
        <v>2001</v>
      </c>
      <c r="M53" s="52"/>
      <c r="N53" s="53"/>
    </row>
    <row r="54" spans="1:14" ht="18" x14ac:dyDescent="0.25">
      <c r="A54" s="21">
        <v>210060</v>
      </c>
      <c r="B54" s="8" t="s">
        <v>63</v>
      </c>
      <c r="C54" s="22">
        <v>2064</v>
      </c>
      <c r="D54" s="23">
        <v>53432546</v>
      </c>
      <c r="E54" s="24">
        <f t="shared" si="5"/>
        <v>28040.938320804275</v>
      </c>
      <c r="F54" s="24">
        <f t="shared" si="6"/>
        <v>22877.461199251295</v>
      </c>
      <c r="G54" s="50">
        <f t="shared" si="2"/>
        <v>50918.399520055566</v>
      </c>
      <c r="H54" s="26">
        <f t="shared" si="3"/>
        <v>50918</v>
      </c>
      <c r="I54" s="30">
        <f t="shared" si="4"/>
        <v>210060</v>
      </c>
      <c r="J54">
        <v>60</v>
      </c>
      <c r="M54" s="52"/>
      <c r="N54" s="53"/>
    </row>
    <row r="55" spans="1:14" ht="18" x14ac:dyDescent="0.25">
      <c r="A55" s="21">
        <v>210061</v>
      </c>
      <c r="B55" s="8" t="s">
        <v>64</v>
      </c>
      <c r="C55" s="22">
        <v>3200</v>
      </c>
      <c r="D55" s="23">
        <v>110418500</v>
      </c>
      <c r="E55" s="24">
        <f t="shared" si="5"/>
        <v>43474.322977991127</v>
      </c>
      <c r="F55" s="24">
        <f t="shared" si="6"/>
        <v>47276.335090405933</v>
      </c>
      <c r="G55" s="50">
        <f t="shared" si="2"/>
        <v>90750.658068397053</v>
      </c>
      <c r="H55" s="26">
        <f t="shared" si="3"/>
        <v>90751</v>
      </c>
      <c r="I55" s="30">
        <f t="shared" si="4"/>
        <v>210061</v>
      </c>
      <c r="J55">
        <v>61</v>
      </c>
      <c r="M55" s="52"/>
      <c r="N55" s="53"/>
    </row>
    <row r="56" spans="1:14" ht="18" x14ac:dyDescent="0.25">
      <c r="A56" s="21">
        <v>210062</v>
      </c>
      <c r="B56" s="8" t="s">
        <v>65</v>
      </c>
      <c r="C56" s="22">
        <v>10033</v>
      </c>
      <c r="D56" s="23">
        <v>264243580.00000003</v>
      </c>
      <c r="E56" s="24">
        <f t="shared" si="5"/>
        <v>136305.5882619328</v>
      </c>
      <c r="F56" s="24">
        <f t="shared" si="6"/>
        <v>113137.4546255246</v>
      </c>
      <c r="G56" s="50">
        <f t="shared" si="2"/>
        <v>249443.04288745741</v>
      </c>
      <c r="H56" s="26">
        <f t="shared" si="3"/>
        <v>249443</v>
      </c>
      <c r="I56" s="30">
        <f t="shared" si="4"/>
        <v>210062</v>
      </c>
      <c r="J56">
        <v>62</v>
      </c>
      <c r="M56" s="52"/>
      <c r="N56" s="53"/>
    </row>
    <row r="57" spans="1:14" ht="18" x14ac:dyDescent="0.25">
      <c r="A57" s="21">
        <v>210063</v>
      </c>
      <c r="B57" s="8" t="s">
        <v>66</v>
      </c>
      <c r="C57" s="22">
        <v>15011</v>
      </c>
      <c r="D57" s="23">
        <v>414387182.10999995</v>
      </c>
      <c r="E57" s="24">
        <f t="shared" si="5"/>
        <v>203935.33194457024</v>
      </c>
      <c r="F57" s="24">
        <f t="shared" si="6"/>
        <v>177422.32758642276</v>
      </c>
      <c r="G57" s="50">
        <f t="shared" si="2"/>
        <v>381357.65953099297</v>
      </c>
      <c r="H57" s="26">
        <f t="shared" si="3"/>
        <v>381358</v>
      </c>
      <c r="I57" s="30">
        <f t="shared" si="4"/>
        <v>210063</v>
      </c>
      <c r="J57">
        <v>63</v>
      </c>
      <c r="M57" s="52"/>
      <c r="N57" s="53"/>
    </row>
    <row r="58" spans="1:14" ht="18" x14ac:dyDescent="0.25">
      <c r="A58" s="1">
        <v>210064</v>
      </c>
      <c r="B58" s="8" t="s">
        <v>17</v>
      </c>
      <c r="C58" s="22">
        <v>1309</v>
      </c>
      <c r="D58" s="23">
        <v>59877227.32</v>
      </c>
      <c r="E58" s="24">
        <f t="shared" si="5"/>
        <v>17783.715243184492</v>
      </c>
      <c r="F58" s="24">
        <f t="shared" si="6"/>
        <v>25636.789696153533</v>
      </c>
      <c r="G58" s="50">
        <f t="shared" si="2"/>
        <v>43420.504939338025</v>
      </c>
      <c r="H58" s="26">
        <f t="shared" si="3"/>
        <v>43421</v>
      </c>
      <c r="I58" s="30">
        <f t="shared" si="4"/>
        <v>210064</v>
      </c>
      <c r="J58">
        <v>5033</v>
      </c>
      <c r="M58" s="52"/>
      <c r="N58" s="53"/>
    </row>
    <row r="59" spans="1:14" ht="18" x14ac:dyDescent="0.25">
      <c r="A59" s="21">
        <v>210065</v>
      </c>
      <c r="B59" s="8" t="s">
        <v>67</v>
      </c>
      <c r="C59" s="22">
        <v>4235</v>
      </c>
      <c r="D59" s="23">
        <v>96025200</v>
      </c>
      <c r="E59" s="24">
        <f t="shared" si="5"/>
        <v>57535.549316185126</v>
      </c>
      <c r="F59" s="24">
        <f t="shared" si="6"/>
        <v>41113.758403920066</v>
      </c>
      <c r="G59" s="50">
        <f t="shared" si="2"/>
        <v>98649.307720105193</v>
      </c>
      <c r="H59" s="26">
        <f t="shared" si="3"/>
        <v>98649</v>
      </c>
      <c r="I59" s="30">
        <f t="shared" si="4"/>
        <v>210065</v>
      </c>
      <c r="J59">
        <v>65</v>
      </c>
      <c r="M59" s="52"/>
      <c r="N59" s="53"/>
    </row>
    <row r="60" spans="1:14" ht="18" x14ac:dyDescent="0.25">
      <c r="A60" s="21">
        <v>210087</v>
      </c>
      <c r="B60" s="8" t="s">
        <v>68</v>
      </c>
      <c r="C60" s="22">
        <v>0</v>
      </c>
      <c r="D60" s="23">
        <v>14007500</v>
      </c>
      <c r="E60" s="24">
        <f t="shared" si="5"/>
        <v>0</v>
      </c>
      <c r="F60" s="24">
        <f t="shared" si="6"/>
        <v>5997.3941303211059</v>
      </c>
      <c r="G60" s="50">
        <f t="shared" si="2"/>
        <v>5997.3941303211059</v>
      </c>
      <c r="H60" s="26">
        <f t="shared" si="3"/>
        <v>5997</v>
      </c>
      <c r="I60" s="55">
        <v>210057</v>
      </c>
      <c r="J60">
        <v>87</v>
      </c>
      <c r="M60" s="52"/>
      <c r="N60" s="53"/>
    </row>
    <row r="61" spans="1:14" ht="18" x14ac:dyDescent="0.25">
      <c r="A61" s="21">
        <v>210088</v>
      </c>
      <c r="B61" s="8" t="s">
        <v>69</v>
      </c>
      <c r="C61" s="22">
        <v>0</v>
      </c>
      <c r="D61" s="23">
        <v>7034873</v>
      </c>
      <c r="E61" s="24">
        <f t="shared" si="5"/>
        <v>0</v>
      </c>
      <c r="F61" s="24">
        <f t="shared" si="6"/>
        <v>3012.0225620385104</v>
      </c>
      <c r="G61" s="50">
        <f t="shared" si="2"/>
        <v>3012.0225620385104</v>
      </c>
      <c r="H61" s="26">
        <f t="shared" si="3"/>
        <v>3012</v>
      </c>
      <c r="I61" s="55">
        <v>210037</v>
      </c>
      <c r="J61">
        <v>88</v>
      </c>
      <c r="M61" s="52"/>
      <c r="N61" s="53"/>
    </row>
    <row r="62" spans="1:14" ht="18" x14ac:dyDescent="0.25">
      <c r="A62" s="21">
        <v>210333</v>
      </c>
      <c r="B62" s="8" t="s">
        <v>70</v>
      </c>
      <c r="C62" s="22">
        <v>0</v>
      </c>
      <c r="D62" s="23">
        <v>20771308.740000002</v>
      </c>
      <c r="E62" s="24">
        <f t="shared" si="5"/>
        <v>0</v>
      </c>
      <c r="F62" s="24">
        <f t="shared" si="6"/>
        <v>8893.3589231742644</v>
      </c>
      <c r="G62" s="50">
        <f t="shared" ref="G62:G63" si="7">E62+F62</f>
        <v>8893.3589231742644</v>
      </c>
      <c r="H62" s="26">
        <f t="shared" ref="H62:H63" si="8">ROUND(G62,0)</f>
        <v>8893</v>
      </c>
      <c r="I62" s="55">
        <v>210003</v>
      </c>
      <c r="J62">
        <v>333</v>
      </c>
      <c r="M62" s="52"/>
      <c r="N62" s="53"/>
    </row>
    <row r="63" spans="1:14" ht="18" x14ac:dyDescent="0.25">
      <c r="A63" s="21">
        <v>218992</v>
      </c>
      <c r="B63" s="8" t="s">
        <v>75</v>
      </c>
      <c r="C63" s="22">
        <v>3879</v>
      </c>
      <c r="D63" s="23">
        <v>215034042.61999997</v>
      </c>
      <c r="E63" s="24">
        <f t="shared" si="5"/>
        <v>52699.030884883621</v>
      </c>
      <c r="F63" s="24">
        <f t="shared" si="6"/>
        <v>92068.099591533566</v>
      </c>
      <c r="G63" s="50">
        <f t="shared" si="7"/>
        <v>144767.13047641719</v>
      </c>
      <c r="H63" s="26">
        <f t="shared" si="8"/>
        <v>144767</v>
      </c>
      <c r="I63" s="30">
        <f t="shared" si="4"/>
        <v>218992</v>
      </c>
      <c r="J63">
        <v>8992</v>
      </c>
      <c r="M63" s="52"/>
      <c r="N63" s="53"/>
    </row>
    <row r="64" spans="1:14" ht="18.75" x14ac:dyDescent="0.3">
      <c r="A64" s="1"/>
      <c r="B64" s="8"/>
      <c r="C64" s="29"/>
      <c r="D64" s="28"/>
      <c r="E64" s="29"/>
      <c r="F64" s="29"/>
      <c r="G64" s="30"/>
      <c r="H64" s="26"/>
      <c r="M64" s="52"/>
      <c r="N64" s="53"/>
    </row>
    <row r="65" spans="1:14" x14ac:dyDescent="0.25">
      <c r="M65" s="52"/>
      <c r="N65" s="53"/>
    </row>
    <row r="66" spans="1:14" ht="18" x14ac:dyDescent="0.25">
      <c r="B66" s="8" t="s">
        <v>14</v>
      </c>
      <c r="C66" s="9">
        <f t="shared" ref="C66:H66" si="9">SUM(C12:C63)</f>
        <v>539225</v>
      </c>
      <c r="D66" s="9">
        <f t="shared" si="9"/>
        <v>17201755999.689995</v>
      </c>
      <c r="E66" s="9">
        <f t="shared" si="9"/>
        <v>7325763.0649397699</v>
      </c>
      <c r="F66" s="9">
        <f t="shared" si="9"/>
        <v>7365033.7650370635</v>
      </c>
      <c r="G66" s="9">
        <f t="shared" si="9"/>
        <v>14690796.829976834</v>
      </c>
      <c r="H66" s="9">
        <f t="shared" si="9"/>
        <v>14690794</v>
      </c>
      <c r="I66" s="30"/>
      <c r="M66" s="52"/>
      <c r="N66" s="53"/>
    </row>
    <row r="67" spans="1:14" ht="18.75" x14ac:dyDescent="0.3">
      <c r="C67" s="14"/>
      <c r="D67" s="32"/>
      <c r="E67" s="29"/>
      <c r="F67" s="29"/>
      <c r="G67" s="30"/>
      <c r="H67" s="26"/>
      <c r="M67" s="52"/>
      <c r="N67" s="53"/>
    </row>
    <row r="68" spans="1:14" s="48" customFormat="1" ht="18.75" x14ac:dyDescent="0.3">
      <c r="A68" s="1"/>
      <c r="C68" s="14"/>
      <c r="D68" s="32"/>
      <c r="E68" s="29"/>
      <c r="F68" s="29"/>
      <c r="G68" s="30"/>
      <c r="H68" s="26"/>
      <c r="I68" s="54"/>
    </row>
    <row r="69" spans="1:14" s="48" customFormat="1" ht="18.75" x14ac:dyDescent="0.3">
      <c r="A69" s="1"/>
      <c r="B69" s="49"/>
      <c r="C69" s="14"/>
      <c r="D69" s="32"/>
      <c r="E69" s="29"/>
      <c r="F69" s="29"/>
      <c r="G69" s="30"/>
      <c r="H69" s="26"/>
      <c r="I69" s="54"/>
    </row>
    <row r="70" spans="1:14" s="48" customFormat="1" ht="19.5" thickBot="1" x14ac:dyDescent="0.35">
      <c r="A70" s="1"/>
      <c r="B70" s="42" t="s">
        <v>19</v>
      </c>
      <c r="C70" s="14"/>
      <c r="D70" s="32"/>
      <c r="E70" s="29"/>
      <c r="F70" s="29"/>
      <c r="G70" s="30"/>
      <c r="H70" s="26"/>
      <c r="I70" s="54"/>
    </row>
    <row r="71" spans="1:14" ht="18.75" x14ac:dyDescent="0.3">
      <c r="A71" s="1"/>
      <c r="C71" s="16"/>
      <c r="D71" s="33"/>
      <c r="E71" s="16"/>
      <c r="F71" s="16"/>
      <c r="G71" s="20"/>
      <c r="H71" s="34"/>
    </row>
    <row r="72" spans="1:14" s="48" customFormat="1" ht="18" x14ac:dyDescent="0.25">
      <c r="A72" s="1">
        <v>213029</v>
      </c>
      <c r="B72" s="8" t="s">
        <v>76</v>
      </c>
      <c r="C72" s="22">
        <v>1910</v>
      </c>
      <c r="D72" s="23">
        <v>72755613.900000006</v>
      </c>
      <c r="E72" s="24">
        <f t="shared" ref="E72:F76" si="10">(C72/C$82)*$E$6</f>
        <v>25948.736527488454</v>
      </c>
      <c r="F72" s="24">
        <f t="shared" si="10"/>
        <v>31150.747224827322</v>
      </c>
      <c r="G72" s="25">
        <f t="shared" ref="G72" si="11">E72+F72</f>
        <v>57099.483752315777</v>
      </c>
      <c r="H72" s="26">
        <f t="shared" ref="H72" si="12">ROUND(G72,0)</f>
        <v>57099</v>
      </c>
      <c r="I72" s="54">
        <v>210057</v>
      </c>
      <c r="J72" s="48">
        <v>3029</v>
      </c>
    </row>
    <row r="73" spans="1:14" ht="18" x14ac:dyDescent="0.25">
      <c r="A73" s="1">
        <v>213300</v>
      </c>
      <c r="B73" s="8" t="s">
        <v>71</v>
      </c>
      <c r="C73" s="22">
        <v>597</v>
      </c>
      <c r="D73" s="23">
        <v>63487691.999999993</v>
      </c>
      <c r="E73" s="24">
        <f t="shared" si="10"/>
        <v>8110.6783805814694</v>
      </c>
      <c r="F73" s="24">
        <f t="shared" si="10"/>
        <v>27182.631543704028</v>
      </c>
      <c r="G73" s="25">
        <f t="shared" ref="G73:G76" si="13">E73+F73</f>
        <v>35293.309924285495</v>
      </c>
      <c r="H73" s="26">
        <f t="shared" ref="H73:H76" si="14">ROUND(G73,0)</f>
        <v>35293</v>
      </c>
      <c r="I73" s="54">
        <f t="shared" ref="I73:I76" si="15">A73</f>
        <v>213300</v>
      </c>
      <c r="J73">
        <v>5034</v>
      </c>
    </row>
    <row r="74" spans="1:14" ht="18" x14ac:dyDescent="0.25">
      <c r="A74" s="13">
        <v>214000</v>
      </c>
      <c r="B74" s="8" t="s">
        <v>72</v>
      </c>
      <c r="C74" s="22">
        <v>8345</v>
      </c>
      <c r="D74" s="23">
        <v>156131023.47999996</v>
      </c>
      <c r="E74" s="24">
        <f t="shared" si="10"/>
        <v>113372.88289104248</v>
      </c>
      <c r="F74" s="24">
        <f t="shared" si="10"/>
        <v>66848.422900587437</v>
      </c>
      <c r="G74" s="25">
        <f t="shared" si="13"/>
        <v>180221.30579162991</v>
      </c>
      <c r="H74" s="26">
        <f t="shared" si="14"/>
        <v>180221</v>
      </c>
      <c r="I74" s="54">
        <f t="shared" si="15"/>
        <v>214000</v>
      </c>
      <c r="J74">
        <v>4000</v>
      </c>
    </row>
    <row r="75" spans="1:14" ht="18" x14ac:dyDescent="0.25">
      <c r="A75" s="1">
        <v>214003</v>
      </c>
      <c r="B75" s="8" t="s">
        <v>73</v>
      </c>
      <c r="C75" s="22">
        <v>1973</v>
      </c>
      <c r="D75" s="23">
        <v>22852500</v>
      </c>
      <c r="E75" s="24">
        <f t="shared" si="10"/>
        <v>26804.637261117652</v>
      </c>
      <c r="F75" s="24">
        <f t="shared" si="10"/>
        <v>9784.4332938185325</v>
      </c>
      <c r="G75" s="25">
        <f t="shared" si="13"/>
        <v>36589.070554936188</v>
      </c>
      <c r="H75" s="26">
        <f t="shared" si="14"/>
        <v>36589</v>
      </c>
      <c r="I75" s="54">
        <f t="shared" si="15"/>
        <v>214003</v>
      </c>
      <c r="J75">
        <v>4003</v>
      </c>
    </row>
    <row r="76" spans="1:14" ht="18" x14ac:dyDescent="0.25">
      <c r="A76" s="21">
        <v>214013</v>
      </c>
      <c r="B76" s="8" t="s">
        <v>74</v>
      </c>
      <c r="C76" s="22">
        <v>0</v>
      </c>
      <c r="D76" s="23">
        <v>0</v>
      </c>
      <c r="E76" s="24">
        <f t="shared" si="10"/>
        <v>0</v>
      </c>
      <c r="F76" s="24">
        <f t="shared" si="10"/>
        <v>0</v>
      </c>
      <c r="G76" s="25">
        <f t="shared" si="13"/>
        <v>0</v>
      </c>
      <c r="H76" s="26">
        <f t="shared" si="14"/>
        <v>0</v>
      </c>
      <c r="I76" s="54">
        <f t="shared" si="15"/>
        <v>214013</v>
      </c>
      <c r="J76">
        <v>4013</v>
      </c>
    </row>
    <row r="77" spans="1:14" ht="18.75" x14ac:dyDescent="0.3">
      <c r="A77" s="1"/>
      <c r="B77" s="8"/>
      <c r="C77" s="29"/>
      <c r="D77" s="9"/>
      <c r="E77" s="29"/>
      <c r="F77" s="29"/>
      <c r="G77" s="25"/>
      <c r="H77" s="35"/>
    </row>
    <row r="78" spans="1:14" ht="18.75" x14ac:dyDescent="0.3">
      <c r="A78" s="1"/>
      <c r="B78" s="8"/>
      <c r="C78" s="29"/>
      <c r="D78" s="9"/>
      <c r="E78" s="29"/>
      <c r="F78" s="29"/>
      <c r="G78" s="31"/>
      <c r="H78" s="35"/>
    </row>
    <row r="79" spans="1:14" ht="18" x14ac:dyDescent="0.25">
      <c r="A79" s="1"/>
      <c r="B79" s="8" t="s">
        <v>14</v>
      </c>
      <c r="C79" s="9">
        <f t="shared" ref="C79:H79" si="16">SUM(C72:C76)</f>
        <v>12825</v>
      </c>
      <c r="D79" s="9">
        <f t="shared" si="16"/>
        <v>315226829.38</v>
      </c>
      <c r="E79" s="9">
        <f t="shared" si="16"/>
        <v>174236.93506023005</v>
      </c>
      <c r="F79" s="9">
        <f t="shared" si="16"/>
        <v>134966.23496293731</v>
      </c>
      <c r="G79" s="9">
        <f t="shared" si="16"/>
        <v>309203.17002316739</v>
      </c>
      <c r="H79" s="9">
        <f t="shared" si="16"/>
        <v>309202</v>
      </c>
      <c r="I79" s="30"/>
    </row>
    <row r="80" spans="1:14" ht="18.75" x14ac:dyDescent="0.3">
      <c r="A80" s="1"/>
      <c r="B80" s="8"/>
      <c r="C80" s="36"/>
      <c r="D80" s="9"/>
      <c r="E80" s="36"/>
      <c r="F80" s="36"/>
      <c r="G80" s="30"/>
      <c r="H80" s="35"/>
    </row>
    <row r="81" spans="1:9" ht="18.75" x14ac:dyDescent="0.3">
      <c r="A81" s="1"/>
      <c r="B81" s="8"/>
      <c r="C81" s="36"/>
      <c r="D81" s="9"/>
      <c r="E81" s="36"/>
      <c r="F81" s="36"/>
      <c r="G81" s="30"/>
      <c r="H81" s="35"/>
    </row>
    <row r="82" spans="1:9" ht="18" x14ac:dyDescent="0.25">
      <c r="A82" s="1"/>
      <c r="B82" s="8" t="s">
        <v>15</v>
      </c>
      <c r="C82" s="9">
        <f t="shared" ref="C82:H82" si="17">C79+C66</f>
        <v>552050</v>
      </c>
      <c r="D82" s="41">
        <f t="shared" si="17"/>
        <v>17516982829.069996</v>
      </c>
      <c r="E82" s="24">
        <f t="shared" si="17"/>
        <v>7500000</v>
      </c>
      <c r="F82" s="24">
        <f t="shared" si="17"/>
        <v>7500000.0000000009</v>
      </c>
      <c r="G82" s="24">
        <f t="shared" si="17"/>
        <v>15000000.000000002</v>
      </c>
      <c r="H82" s="26">
        <f t="shared" si="17"/>
        <v>14999996</v>
      </c>
      <c r="I82" s="30"/>
    </row>
    <row r="83" spans="1:9" ht="18.75" x14ac:dyDescent="0.3">
      <c r="A83" s="1"/>
      <c r="B83" s="8"/>
      <c r="C83" s="29"/>
      <c r="D83" s="28"/>
      <c r="E83" s="29"/>
      <c r="F83" s="29"/>
      <c r="G83" s="29"/>
      <c r="H83" s="36"/>
    </row>
    <row r="84" spans="1:9" x14ac:dyDescent="0.25">
      <c r="B84" t="s">
        <v>85</v>
      </c>
    </row>
    <row r="86" spans="1:9" x14ac:dyDescent="0.25">
      <c r="B86" s="40"/>
      <c r="C86" s="3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showGridLines="0" tabSelected="1" zoomScale="85" zoomScaleNormal="85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B3" sqref="B3"/>
    </sheetView>
  </sheetViews>
  <sheetFormatPr defaultColWidth="9.140625" defaultRowHeight="15" x14ac:dyDescent="0.25"/>
  <cols>
    <col min="1" max="1" width="9.140625" style="61"/>
    <col min="2" max="2" width="47.5703125" style="48" customWidth="1"/>
    <col min="3" max="3" width="18.7109375" style="48" customWidth="1"/>
    <col min="4" max="4" width="24.140625" style="48" customWidth="1"/>
    <col min="5" max="5" width="17.7109375" style="48" customWidth="1"/>
    <col min="6" max="6" width="15.5703125" style="48" customWidth="1"/>
    <col min="7" max="7" width="21" style="48" customWidth="1"/>
    <col min="8" max="8" width="17.85546875" style="48" customWidth="1"/>
    <col min="9" max="16384" width="9.140625" style="48"/>
  </cols>
  <sheetData>
    <row r="1" spans="1:8" ht="30" x14ac:dyDescent="0.4">
      <c r="A1" s="58"/>
      <c r="B1" s="2" t="s">
        <v>0</v>
      </c>
      <c r="C1" s="3"/>
      <c r="D1" s="4"/>
      <c r="E1" s="3"/>
      <c r="F1" s="3"/>
      <c r="G1" s="3"/>
      <c r="H1" s="5"/>
    </row>
    <row r="2" spans="1:8" ht="19.5" x14ac:dyDescent="0.35">
      <c r="A2" s="58"/>
      <c r="B2" s="6" t="s">
        <v>1</v>
      </c>
      <c r="C2" s="3"/>
      <c r="D2" s="4"/>
      <c r="E2" s="3"/>
      <c r="F2" s="3"/>
      <c r="G2" s="3"/>
      <c r="H2" s="3"/>
    </row>
    <row r="3" spans="1:8" ht="19.5" x14ac:dyDescent="0.35">
      <c r="A3" s="58"/>
      <c r="B3" s="6" t="str">
        <f>'FY2020 Original'!B3</f>
        <v>FYE 2020 - Estimate</v>
      </c>
      <c r="C3" s="3"/>
      <c r="D3" s="4"/>
      <c r="E3" s="3"/>
      <c r="F3" s="3"/>
      <c r="G3" s="3"/>
      <c r="H3" s="3"/>
    </row>
    <row r="4" spans="1:8" ht="19.5" x14ac:dyDescent="0.35">
      <c r="A4" s="58"/>
      <c r="B4" s="7"/>
      <c r="C4" s="8"/>
      <c r="D4" s="9"/>
      <c r="E4" s="8"/>
      <c r="F4" s="8"/>
      <c r="G4" s="1"/>
      <c r="H4" s="1"/>
    </row>
    <row r="5" spans="1:8" ht="18" x14ac:dyDescent="0.25">
      <c r="A5" s="58"/>
      <c r="B5" s="51"/>
      <c r="C5" s="1"/>
      <c r="D5" s="10" t="s">
        <v>2</v>
      </c>
      <c r="E5" s="47">
        <v>15000000</v>
      </c>
      <c r="F5" s="8"/>
      <c r="G5" s="1"/>
      <c r="H5" s="1"/>
    </row>
    <row r="6" spans="1:8" ht="18" x14ac:dyDescent="0.25">
      <c r="A6" s="58"/>
      <c r="B6" s="1"/>
      <c r="C6" s="1"/>
      <c r="D6" s="10" t="s">
        <v>3</v>
      </c>
      <c r="E6" s="11">
        <f>E5/2</f>
        <v>7500000</v>
      </c>
      <c r="F6" s="8"/>
      <c r="G6" s="1"/>
      <c r="H6" s="43" t="s">
        <v>20</v>
      </c>
    </row>
    <row r="7" spans="1:8" ht="18" x14ac:dyDescent="0.25">
      <c r="A7" s="58"/>
      <c r="B7" s="1"/>
      <c r="C7" s="1"/>
      <c r="D7" s="10"/>
      <c r="E7" s="11"/>
      <c r="F7" s="8"/>
      <c r="G7" s="1"/>
      <c r="H7" s="37" t="s">
        <v>16</v>
      </c>
    </row>
    <row r="8" spans="1:8" ht="18" x14ac:dyDescent="0.25">
      <c r="A8" s="58"/>
      <c r="B8" s="1"/>
      <c r="C8" s="8"/>
      <c r="D8" s="9"/>
      <c r="E8" s="12" t="s">
        <v>4</v>
      </c>
      <c r="F8" s="12" t="s">
        <v>4</v>
      </c>
      <c r="G8" s="13"/>
      <c r="H8" s="13"/>
    </row>
    <row r="9" spans="1:8" ht="18" x14ac:dyDescent="0.25">
      <c r="A9" s="58"/>
      <c r="B9" s="1"/>
      <c r="C9" s="8"/>
      <c r="D9" s="9"/>
      <c r="E9" s="12" t="s">
        <v>6</v>
      </c>
      <c r="F9" s="12" t="s">
        <v>6</v>
      </c>
      <c r="G9" s="14" t="s">
        <v>7</v>
      </c>
      <c r="H9" s="14" t="s">
        <v>7</v>
      </c>
    </row>
    <row r="10" spans="1:8" ht="54.75" thickBot="1" x14ac:dyDescent="0.3">
      <c r="A10" s="58" t="s">
        <v>82</v>
      </c>
      <c r="B10" s="8" t="s">
        <v>9</v>
      </c>
      <c r="C10" s="44" t="str">
        <f>'FY2020 Original'!C10</f>
        <v>FY 2018 ADMISSIONS</v>
      </c>
      <c r="D10" s="44" t="str">
        <f>'FY2020 Original'!D10</f>
        <v>FY 2018 REVENUE</v>
      </c>
      <c r="E10" s="45" t="s">
        <v>10</v>
      </c>
      <c r="F10" s="45" t="s">
        <v>11</v>
      </c>
      <c r="G10" s="46" t="s">
        <v>12</v>
      </c>
      <c r="H10" s="46" t="s">
        <v>13</v>
      </c>
    </row>
    <row r="11" spans="1:8" ht="18.75" x14ac:dyDescent="0.3">
      <c r="A11" s="15"/>
      <c r="B11" s="16"/>
      <c r="C11" s="17"/>
      <c r="D11" s="18"/>
      <c r="E11" s="19"/>
      <c r="F11" s="19"/>
      <c r="G11" s="20"/>
      <c r="H11" s="17"/>
    </row>
    <row r="12" spans="1:8" ht="18" x14ac:dyDescent="0.25">
      <c r="A12" s="58">
        <v>210001</v>
      </c>
      <c r="B12" s="8" t="s">
        <v>21</v>
      </c>
      <c r="C12" s="22">
        <f>SUMIFS('FY2020 Original'!C:C,'FY2020 Original'!I:I,A12)</f>
        <v>15315</v>
      </c>
      <c r="D12" s="23">
        <f>SUMIFS('FY2020 Original'!D:D,'FY2020 Original'!I:I,A12)</f>
        <v>334316871</v>
      </c>
      <c r="E12" s="24">
        <f t="shared" ref="E12:E43" si="0">(C12/C$79)*$E$6</f>
        <v>208065.39262747939</v>
      </c>
      <c r="F12" s="24">
        <f t="shared" ref="F12:F43" si="1">(D12/D$79)*$E$6</f>
        <v>143139.74940586963</v>
      </c>
      <c r="G12" s="50">
        <f t="shared" ref="G12:G60" si="2">E12+F12</f>
        <v>351205.14203334902</v>
      </c>
      <c r="H12" s="26">
        <f t="shared" ref="H12:H60" si="3">ROUND(G12,0)</f>
        <v>351205</v>
      </c>
    </row>
    <row r="13" spans="1:8" ht="18" x14ac:dyDescent="0.25">
      <c r="A13" s="58">
        <v>210002</v>
      </c>
      <c r="B13" s="8" t="s">
        <v>22</v>
      </c>
      <c r="C13" s="22">
        <f>SUMIFS('FY2020 Original'!C:C,'FY2020 Original'!I:I,A13)</f>
        <v>24132</v>
      </c>
      <c r="D13" s="23">
        <f>SUMIFS('FY2020 Original'!D:D,'FY2020 Original'!I:I,A13)</f>
        <v>1478505420.6499999</v>
      </c>
      <c r="E13" s="24">
        <f t="shared" si="0"/>
        <v>327850.7381577756</v>
      </c>
      <c r="F13" s="24">
        <f t="shared" si="1"/>
        <v>633030.85714469024</v>
      </c>
      <c r="G13" s="50">
        <f t="shared" si="2"/>
        <v>960881.59530246584</v>
      </c>
      <c r="H13" s="26">
        <f t="shared" si="3"/>
        <v>960882</v>
      </c>
    </row>
    <row r="14" spans="1:8" ht="18" x14ac:dyDescent="0.25">
      <c r="A14" s="58">
        <v>210003</v>
      </c>
      <c r="B14" s="8" t="s">
        <v>87</v>
      </c>
      <c r="C14" s="62">
        <f>SUMIFS('FY2020 Original'!C:C,'FY2020 Original'!I:I,A14) + SUMIFS('FY2020 Original'!C:C,'FY2020 Original'!I:I,210055)</f>
        <v>16027</v>
      </c>
      <c r="D14" s="63">
        <f>SUMIFS('FY2020 Original'!D:D,'FY2020 Original'!I:I,A14)+SUMIFS('FY2020 Original'!D:D,'FY2020 Original'!I:I,A50)*(1-0.438823)</f>
        <v>371950295.03199995</v>
      </c>
      <c r="E14" s="24">
        <f t="shared" si="0"/>
        <v>217738.4294900824</v>
      </c>
      <c r="F14" s="24">
        <f t="shared" si="1"/>
        <v>159252.72291244837</v>
      </c>
      <c r="G14" s="50">
        <f t="shared" si="2"/>
        <v>376991.15240253077</v>
      </c>
      <c r="H14" s="26">
        <f t="shared" si="3"/>
        <v>376991</v>
      </c>
    </row>
    <row r="15" spans="1:8" ht="18" x14ac:dyDescent="0.25">
      <c r="A15" s="58">
        <v>210004</v>
      </c>
      <c r="B15" s="8" t="s">
        <v>24</v>
      </c>
      <c r="C15" s="22">
        <f>SUMIFS('FY2020 Original'!C:C,'FY2020 Original'!I:I,A15)</f>
        <v>26605</v>
      </c>
      <c r="D15" s="23">
        <f>SUMIFS('FY2020 Original'!D:D,'FY2020 Original'!I:I,A15)</f>
        <v>515354699.99999988</v>
      </c>
      <c r="E15" s="24">
        <f t="shared" si="0"/>
        <v>361448.23838420433</v>
      </c>
      <c r="F15" s="24">
        <f t="shared" si="1"/>
        <v>220652.16868201995</v>
      </c>
      <c r="G15" s="50">
        <f t="shared" si="2"/>
        <v>582100.40706622426</v>
      </c>
      <c r="H15" s="26">
        <f t="shared" si="3"/>
        <v>582100</v>
      </c>
    </row>
    <row r="16" spans="1:8" ht="18" x14ac:dyDescent="0.25">
      <c r="A16" s="58">
        <v>210005</v>
      </c>
      <c r="B16" s="8" t="s">
        <v>25</v>
      </c>
      <c r="C16" s="22">
        <f>SUMIFS('FY2020 Original'!C:C,'FY2020 Original'!I:I,A16)</f>
        <v>16268</v>
      </c>
      <c r="D16" s="23">
        <f>SUMIFS('FY2020 Original'!D:D,'FY2020 Original'!I:I,A16)</f>
        <v>355845200</v>
      </c>
      <c r="E16" s="24">
        <f t="shared" si="0"/>
        <v>221012.58943936237</v>
      </c>
      <c r="F16" s="24">
        <f t="shared" si="1"/>
        <v>152357.23103929614</v>
      </c>
      <c r="G16" s="50">
        <f t="shared" si="2"/>
        <v>373369.82047865854</v>
      </c>
      <c r="H16" s="26">
        <f t="shared" si="3"/>
        <v>373370</v>
      </c>
    </row>
    <row r="17" spans="1:8" ht="18" x14ac:dyDescent="0.25">
      <c r="A17" s="58">
        <v>210006</v>
      </c>
      <c r="B17" s="8" t="s">
        <v>26</v>
      </c>
      <c r="C17" s="22">
        <f>SUMIFS('FY2020 Original'!C:C,'FY2020 Original'!I:I,A17)</f>
        <v>4391</v>
      </c>
      <c r="D17" s="23">
        <f>SUMIFS('FY2020 Original'!D:D,'FY2020 Original'!I:I,A17)</f>
        <v>105943545.91000001</v>
      </c>
      <c r="E17" s="24">
        <f t="shared" si="0"/>
        <v>59654.922561362204</v>
      </c>
      <c r="F17" s="24">
        <f t="shared" si="1"/>
        <v>45360.356979192489</v>
      </c>
      <c r="G17" s="50">
        <f t="shared" si="2"/>
        <v>105015.27954055469</v>
      </c>
      <c r="H17" s="26">
        <f t="shared" si="3"/>
        <v>105015</v>
      </c>
    </row>
    <row r="18" spans="1:8" ht="18" x14ac:dyDescent="0.25">
      <c r="A18" s="58">
        <v>210008</v>
      </c>
      <c r="B18" s="8" t="s">
        <v>27</v>
      </c>
      <c r="C18" s="22">
        <f>SUMIFS('FY2020 Original'!C:C,'FY2020 Original'!I:I,A18)</f>
        <v>13496</v>
      </c>
      <c r="D18" s="23">
        <f>SUMIFS('FY2020 Original'!D:D,'FY2020 Original'!I:I,A18)</f>
        <v>539029400</v>
      </c>
      <c r="E18" s="24">
        <f t="shared" si="0"/>
        <v>183352.95715967755</v>
      </c>
      <c r="F18" s="24">
        <f t="shared" si="1"/>
        <v>230788.63177801238</v>
      </c>
      <c r="G18" s="50">
        <f t="shared" si="2"/>
        <v>414141.5889376899</v>
      </c>
      <c r="H18" s="26">
        <f t="shared" si="3"/>
        <v>414142</v>
      </c>
    </row>
    <row r="19" spans="1:8" ht="18" x14ac:dyDescent="0.25">
      <c r="A19" s="58">
        <v>210009</v>
      </c>
      <c r="B19" s="8" t="s">
        <v>28</v>
      </c>
      <c r="C19" s="22">
        <f>SUMIFS('FY2020 Original'!C:C,'FY2020 Original'!I:I,A19)</f>
        <v>43978</v>
      </c>
      <c r="D19" s="23">
        <f>SUMIFS('FY2020 Original'!D:D,'FY2020 Original'!I:I,A19)</f>
        <v>2409765549.6699996</v>
      </c>
      <c r="E19" s="24">
        <f t="shared" si="0"/>
        <v>597473.0549769043</v>
      </c>
      <c r="F19" s="24">
        <f t="shared" si="1"/>
        <v>1031755.3998244422</v>
      </c>
      <c r="G19" s="50">
        <f t="shared" si="2"/>
        <v>1629228.4548013466</v>
      </c>
      <c r="H19" s="26">
        <f t="shared" si="3"/>
        <v>1629228</v>
      </c>
    </row>
    <row r="20" spans="1:8" ht="18" x14ac:dyDescent="0.25">
      <c r="A20" s="58">
        <v>210010</v>
      </c>
      <c r="B20" s="8" t="s">
        <v>29</v>
      </c>
      <c r="C20" s="22">
        <f>SUMIFS('FY2020 Original'!C:C,'FY2020 Original'!I:I,A20)</f>
        <v>1996</v>
      </c>
      <c r="D20" s="23">
        <f>SUMIFS('FY2020 Original'!D:D,'FY2020 Original'!I:I,A20)</f>
        <v>51060002.460000001</v>
      </c>
      <c r="E20" s="24">
        <f t="shared" si="0"/>
        <v>27117.108957521963</v>
      </c>
      <c r="F20" s="24">
        <f t="shared" si="1"/>
        <v>21861.642623436397</v>
      </c>
      <c r="G20" s="50">
        <f t="shared" si="2"/>
        <v>48978.751580958356</v>
      </c>
      <c r="H20" s="26">
        <f t="shared" si="3"/>
        <v>48979</v>
      </c>
    </row>
    <row r="21" spans="1:8" ht="18" x14ac:dyDescent="0.25">
      <c r="A21" s="58">
        <v>210011</v>
      </c>
      <c r="B21" s="8" t="s">
        <v>30</v>
      </c>
      <c r="C21" s="22">
        <f>SUMIFS('FY2020 Original'!C:C,'FY2020 Original'!I:I,A21)</f>
        <v>15292</v>
      </c>
      <c r="D21" s="23">
        <f>SUMIFS('FY2020 Original'!D:D,'FY2020 Original'!I:I,A21)</f>
        <v>438695900</v>
      </c>
      <c r="E21" s="24">
        <f t="shared" si="0"/>
        <v>207752.92093107509</v>
      </c>
      <c r="F21" s="24">
        <f t="shared" si="1"/>
        <v>187830.24919906733</v>
      </c>
      <c r="G21" s="50">
        <f t="shared" si="2"/>
        <v>395583.17013014242</v>
      </c>
      <c r="H21" s="26">
        <f t="shared" si="3"/>
        <v>395583</v>
      </c>
    </row>
    <row r="22" spans="1:8" ht="18" x14ac:dyDescent="0.25">
      <c r="A22" s="58">
        <v>210012</v>
      </c>
      <c r="B22" s="8" t="s">
        <v>31</v>
      </c>
      <c r="C22" s="22">
        <f>SUMIFS('FY2020 Original'!C:C,'FY2020 Original'!I:I,A22)</f>
        <v>17252</v>
      </c>
      <c r="D22" s="23">
        <f>SUMIFS('FY2020 Original'!D:D,'FY2020 Original'!I:I,A22)</f>
        <v>783533500</v>
      </c>
      <c r="E22" s="24">
        <f t="shared" si="0"/>
        <v>234380.94375509466</v>
      </c>
      <c r="F22" s="24">
        <f t="shared" si="1"/>
        <v>335474.51106978074</v>
      </c>
      <c r="G22" s="50">
        <f t="shared" si="2"/>
        <v>569855.45482487534</v>
      </c>
      <c r="H22" s="26">
        <f t="shared" si="3"/>
        <v>569855</v>
      </c>
    </row>
    <row r="23" spans="1:8" ht="18" x14ac:dyDescent="0.25">
      <c r="A23" s="58">
        <v>210013</v>
      </c>
      <c r="B23" s="8" t="s">
        <v>32</v>
      </c>
      <c r="C23" s="22">
        <f>SUMIFS('FY2020 Original'!C:C,'FY2020 Original'!I:I,A23)</f>
        <v>3292</v>
      </c>
      <c r="D23" s="23">
        <f>SUMIFS('FY2020 Original'!D:D,'FY2020 Original'!I:I,A23)</f>
        <v>110087997.34</v>
      </c>
      <c r="E23" s="24">
        <f t="shared" si="0"/>
        <v>44724.209763608371</v>
      </c>
      <c r="F23" s="24">
        <f t="shared" si="1"/>
        <v>47134.828418041885</v>
      </c>
      <c r="G23" s="50">
        <f t="shared" si="2"/>
        <v>91859.038181650249</v>
      </c>
      <c r="H23" s="26">
        <f t="shared" si="3"/>
        <v>91859</v>
      </c>
    </row>
    <row r="24" spans="1:8" ht="18" x14ac:dyDescent="0.25">
      <c r="A24" s="58">
        <v>210015</v>
      </c>
      <c r="B24" s="8" t="s">
        <v>33</v>
      </c>
      <c r="C24" s="22">
        <f>SUMIFS('FY2020 Original'!C:C,'FY2020 Original'!I:I,A24)</f>
        <v>21656</v>
      </c>
      <c r="D24" s="23">
        <f>SUMIFS('FY2020 Original'!D:D,'FY2020 Original'!I:I,A24)</f>
        <v>535571836.18000025</v>
      </c>
      <c r="E24" s="24">
        <f t="shared" si="0"/>
        <v>294212.4807535549</v>
      </c>
      <c r="F24" s="24">
        <f t="shared" si="1"/>
        <v>229308.25533972736</v>
      </c>
      <c r="G24" s="50">
        <f t="shared" si="2"/>
        <v>523520.73609328223</v>
      </c>
      <c r="H24" s="26">
        <f t="shared" si="3"/>
        <v>523521</v>
      </c>
    </row>
    <row r="25" spans="1:8" ht="18" x14ac:dyDescent="0.25">
      <c r="A25" s="59">
        <v>210016</v>
      </c>
      <c r="B25" s="8" t="s">
        <v>34</v>
      </c>
      <c r="C25" s="22">
        <f>SUMIFS('FY2020 Original'!C:C,'FY2020 Original'!I:I,A25)</f>
        <v>9825</v>
      </c>
      <c r="D25" s="23">
        <f>SUMIFS('FY2020 Original'!D:D,'FY2020 Original'!I:I,A25)</f>
        <v>279406300</v>
      </c>
      <c r="E25" s="24">
        <f t="shared" si="0"/>
        <v>133479.75726836338</v>
      </c>
      <c r="F25" s="24">
        <f t="shared" si="1"/>
        <v>119629.46304442181</v>
      </c>
      <c r="G25" s="50">
        <f t="shared" si="2"/>
        <v>253109.22031278518</v>
      </c>
      <c r="H25" s="26">
        <f t="shared" si="3"/>
        <v>253109</v>
      </c>
    </row>
    <row r="26" spans="1:8" ht="18" x14ac:dyDescent="0.25">
      <c r="A26" s="59">
        <v>210017</v>
      </c>
      <c r="B26" s="8" t="s">
        <v>35</v>
      </c>
      <c r="C26" s="22">
        <f>SUMIFS('FY2020 Original'!C:C,'FY2020 Original'!I:I,A26)</f>
        <v>2097</v>
      </c>
      <c r="D26" s="23">
        <f>SUMIFS('FY2020 Original'!D:D,'FY2020 Original'!I:I,A26)</f>
        <v>57720022.909999996</v>
      </c>
      <c r="E26" s="24">
        <f t="shared" si="0"/>
        <v>28489.267276514809</v>
      </c>
      <c r="F26" s="24">
        <f t="shared" si="1"/>
        <v>24713.169844899792</v>
      </c>
      <c r="G26" s="50">
        <f t="shared" si="2"/>
        <v>53202.437121414601</v>
      </c>
      <c r="H26" s="26">
        <f t="shared" si="3"/>
        <v>53202</v>
      </c>
    </row>
    <row r="27" spans="1:8" ht="18" x14ac:dyDescent="0.25">
      <c r="A27" s="60">
        <v>210018</v>
      </c>
      <c r="B27" s="8" t="s">
        <v>36</v>
      </c>
      <c r="C27" s="22">
        <f>SUMIFS('FY2020 Original'!C:C,'FY2020 Original'!I:I,A27)</f>
        <v>6997</v>
      </c>
      <c r="D27" s="23">
        <f>SUMIFS('FY2020 Original'!D:D,'FY2020 Original'!I:I,A27)</f>
        <v>182928947.81</v>
      </c>
      <c r="E27" s="24">
        <f t="shared" si="0"/>
        <v>95059.324336563717</v>
      </c>
      <c r="F27" s="24">
        <f t="shared" si="1"/>
        <v>78322.113001000194</v>
      </c>
      <c r="G27" s="50">
        <f t="shared" si="2"/>
        <v>173381.4373375639</v>
      </c>
      <c r="H27" s="26">
        <f t="shared" si="3"/>
        <v>173381</v>
      </c>
    </row>
    <row r="28" spans="1:8" ht="18" x14ac:dyDescent="0.25">
      <c r="A28" s="58">
        <v>210019</v>
      </c>
      <c r="B28" s="8" t="s">
        <v>37</v>
      </c>
      <c r="C28" s="22">
        <f>SUMIFS('FY2020 Original'!C:C,'FY2020 Original'!I:I,A28)</f>
        <v>17223</v>
      </c>
      <c r="D28" s="23">
        <f>SUMIFS('FY2020 Original'!D:D,'FY2020 Original'!I:I,A28)</f>
        <v>450336518</v>
      </c>
      <c r="E28" s="24">
        <f t="shared" si="0"/>
        <v>233986.9577031066</v>
      </c>
      <c r="F28" s="24">
        <f t="shared" si="1"/>
        <v>192814.24877547353</v>
      </c>
      <c r="G28" s="50">
        <f t="shared" si="2"/>
        <v>426801.20647858013</v>
      </c>
      <c r="H28" s="26">
        <f t="shared" si="3"/>
        <v>426801</v>
      </c>
    </row>
    <row r="29" spans="1:8" ht="18" x14ac:dyDescent="0.25">
      <c r="A29" s="58">
        <v>210022</v>
      </c>
      <c r="B29" s="8" t="s">
        <v>38</v>
      </c>
      <c r="C29" s="22">
        <f>SUMIFS('FY2020 Original'!C:C,'FY2020 Original'!I:I,A29)</f>
        <v>14136</v>
      </c>
      <c r="D29" s="23">
        <f>SUMIFS('FY2020 Original'!D:D,'FY2020 Original'!I:I,A29)</f>
        <v>329368123</v>
      </c>
      <c r="E29" s="24">
        <f t="shared" si="0"/>
        <v>192047.8217552758</v>
      </c>
      <c r="F29" s="24">
        <f t="shared" si="1"/>
        <v>141020.91362449265</v>
      </c>
      <c r="G29" s="50">
        <f t="shared" si="2"/>
        <v>333068.73537976842</v>
      </c>
      <c r="H29" s="26">
        <f t="shared" si="3"/>
        <v>333069</v>
      </c>
    </row>
    <row r="30" spans="1:8" ht="18" x14ac:dyDescent="0.25">
      <c r="A30" s="58">
        <v>210023</v>
      </c>
      <c r="B30" s="8" t="s">
        <v>39</v>
      </c>
      <c r="C30" s="22">
        <f>SUMIFS('FY2020 Original'!C:C,'FY2020 Original'!I:I,A30)</f>
        <v>25444</v>
      </c>
      <c r="D30" s="23">
        <f>SUMIFS('FY2020 Original'!D:D,'FY2020 Original'!I:I,A30)</f>
        <v>632980900</v>
      </c>
      <c r="E30" s="24">
        <f t="shared" si="0"/>
        <v>345675.21057875192</v>
      </c>
      <c r="F30" s="24">
        <f t="shared" si="1"/>
        <v>271014.52323864872</v>
      </c>
      <c r="G30" s="50">
        <f t="shared" si="2"/>
        <v>616689.73381740064</v>
      </c>
      <c r="H30" s="26">
        <f t="shared" si="3"/>
        <v>616690</v>
      </c>
    </row>
    <row r="31" spans="1:8" ht="18" x14ac:dyDescent="0.25">
      <c r="A31" s="58">
        <v>210024</v>
      </c>
      <c r="B31" s="8" t="s">
        <v>40</v>
      </c>
      <c r="C31" s="22">
        <f>SUMIFS('FY2020 Original'!C:C,'FY2020 Original'!I:I,A31)</f>
        <v>10905</v>
      </c>
      <c r="D31" s="23">
        <f>SUMIFS('FY2020 Original'!D:D,'FY2020 Original'!I:I,A31)</f>
        <v>440415067.22000003</v>
      </c>
      <c r="E31" s="24">
        <f t="shared" si="0"/>
        <v>148152.34127343536</v>
      </c>
      <c r="F31" s="24">
        <f t="shared" si="1"/>
        <v>188566.32083171187</v>
      </c>
      <c r="G31" s="50">
        <f t="shared" si="2"/>
        <v>336718.66210514726</v>
      </c>
      <c r="H31" s="26">
        <f t="shared" si="3"/>
        <v>336719</v>
      </c>
    </row>
    <row r="32" spans="1:8" ht="18" x14ac:dyDescent="0.25">
      <c r="A32" s="58">
        <v>210027</v>
      </c>
      <c r="B32" s="8" t="s">
        <v>41</v>
      </c>
      <c r="C32" s="22">
        <f>SUMIFS('FY2020 Original'!C:C,'FY2020 Original'!I:I,A32)</f>
        <v>11192</v>
      </c>
      <c r="D32" s="23">
        <f>SUMIFS('FY2020 Original'!D:D,'FY2020 Original'!I:I,A32)</f>
        <v>332245500</v>
      </c>
      <c r="E32" s="24">
        <f t="shared" si="0"/>
        <v>152051.44461552394</v>
      </c>
      <c r="F32" s="24">
        <f t="shared" si="1"/>
        <v>142252.87963773703</v>
      </c>
      <c r="G32" s="50">
        <f t="shared" si="2"/>
        <v>294304.32425326097</v>
      </c>
      <c r="H32" s="26">
        <f t="shared" si="3"/>
        <v>294304</v>
      </c>
    </row>
    <row r="33" spans="1:8" ht="18" x14ac:dyDescent="0.25">
      <c r="A33" s="58">
        <v>210028</v>
      </c>
      <c r="B33" s="8" t="s">
        <v>42</v>
      </c>
      <c r="C33" s="22">
        <f>SUMIFS('FY2020 Original'!C:C,'FY2020 Original'!I:I,A33)</f>
        <v>6777</v>
      </c>
      <c r="D33" s="23">
        <f>SUMIFS('FY2020 Original'!D:D,'FY2020 Original'!I:I,A33)</f>
        <v>196820500</v>
      </c>
      <c r="E33" s="24">
        <f t="shared" si="0"/>
        <v>92070.464631826835</v>
      </c>
      <c r="F33" s="24">
        <f t="shared" si="1"/>
        <v>84269.863389388949</v>
      </c>
      <c r="G33" s="50">
        <f t="shared" si="2"/>
        <v>176340.3280212158</v>
      </c>
      <c r="H33" s="26">
        <f t="shared" si="3"/>
        <v>176340</v>
      </c>
    </row>
    <row r="34" spans="1:8" ht="18" x14ac:dyDescent="0.25">
      <c r="A34" s="58">
        <v>210029</v>
      </c>
      <c r="B34" s="8" t="s">
        <v>43</v>
      </c>
      <c r="C34" s="22">
        <f>SUMIFS('FY2020 Original'!C:C,'FY2020 Original'!I:I,A34)</f>
        <v>19822</v>
      </c>
      <c r="D34" s="23">
        <f>SUMIFS('FY2020 Original'!D:D,'FY2020 Original'!I:I,A34)</f>
        <v>670224184.73000026</v>
      </c>
      <c r="E34" s="24">
        <f t="shared" si="0"/>
        <v>269296.25939679379</v>
      </c>
      <c r="F34" s="24">
        <f t="shared" si="1"/>
        <v>286960.4562911978</v>
      </c>
      <c r="G34" s="50">
        <f t="shared" si="2"/>
        <v>556256.71568799159</v>
      </c>
      <c r="H34" s="26">
        <f t="shared" si="3"/>
        <v>556257</v>
      </c>
    </row>
    <row r="35" spans="1:8" ht="18" x14ac:dyDescent="0.25">
      <c r="A35" s="58">
        <v>210030</v>
      </c>
      <c r="B35" s="8" t="s">
        <v>44</v>
      </c>
      <c r="C35" s="22">
        <f>SUMIFS('FY2020 Original'!C:C,'FY2020 Original'!I:I,A35)</f>
        <v>1254</v>
      </c>
      <c r="D35" s="23">
        <f>SUMIFS('FY2020 Original'!D:D,'FY2020 Original'!I:I,A35)</f>
        <v>59412493.240000002</v>
      </c>
      <c r="E35" s="24">
        <f t="shared" si="0"/>
        <v>17036.500317000271</v>
      </c>
      <c r="F35" s="24">
        <f t="shared" si="1"/>
        <v>25437.811045891023</v>
      </c>
      <c r="G35" s="50">
        <f t="shared" si="2"/>
        <v>42474.311362891298</v>
      </c>
      <c r="H35" s="26">
        <f t="shared" si="3"/>
        <v>42474</v>
      </c>
    </row>
    <row r="36" spans="1:8" ht="18" x14ac:dyDescent="0.25">
      <c r="A36" s="58">
        <v>210032</v>
      </c>
      <c r="B36" s="8" t="s">
        <v>45</v>
      </c>
      <c r="C36" s="22">
        <f>SUMIFS('FY2020 Original'!C:C,'FY2020 Original'!I:I,A36)</f>
        <v>5167</v>
      </c>
      <c r="D36" s="23">
        <f>SUMIFS('FY2020 Original'!D:D,'FY2020 Original'!I:I,A36)</f>
        <v>166233700</v>
      </c>
      <c r="E36" s="24">
        <f t="shared" si="0"/>
        <v>70197.445883525041</v>
      </c>
      <c r="F36" s="24">
        <f t="shared" si="1"/>
        <v>71173.94371883347</v>
      </c>
      <c r="G36" s="50">
        <f t="shared" si="2"/>
        <v>141371.38960235851</v>
      </c>
      <c r="H36" s="26">
        <f t="shared" si="3"/>
        <v>141371</v>
      </c>
    </row>
    <row r="37" spans="1:8" ht="18" x14ac:dyDescent="0.25">
      <c r="A37" s="58">
        <v>210033</v>
      </c>
      <c r="B37" s="8" t="s">
        <v>46</v>
      </c>
      <c r="C37" s="22">
        <f>SUMIFS('FY2020 Original'!C:C,'FY2020 Original'!I:I,A37)</f>
        <v>10106</v>
      </c>
      <c r="D37" s="23">
        <f>SUMIFS('FY2020 Original'!D:D,'FY2020 Original'!I:I,A37)</f>
        <v>234993744</v>
      </c>
      <c r="E37" s="24">
        <f t="shared" si="0"/>
        <v>137297.34625486823</v>
      </c>
      <c r="F37" s="24">
        <f t="shared" si="1"/>
        <v>100613.96401411964</v>
      </c>
      <c r="G37" s="50">
        <f t="shared" si="2"/>
        <v>237911.31026898787</v>
      </c>
      <c r="H37" s="26">
        <f t="shared" si="3"/>
        <v>237911</v>
      </c>
    </row>
    <row r="38" spans="1:8" ht="18" x14ac:dyDescent="0.25">
      <c r="A38" s="58">
        <v>210034</v>
      </c>
      <c r="B38" s="8" t="s">
        <v>47</v>
      </c>
      <c r="C38" s="22">
        <f>SUMIFS('FY2020 Original'!C:C,'FY2020 Original'!I:I,A38)</f>
        <v>7302</v>
      </c>
      <c r="D38" s="23">
        <f>SUMIFS('FY2020 Original'!D:D,'FY2020 Original'!I:I,A38)</f>
        <v>194521777.31999999</v>
      </c>
      <c r="E38" s="24">
        <f t="shared" si="0"/>
        <v>99202.970745403494</v>
      </c>
      <c r="F38" s="24">
        <f t="shared" si="1"/>
        <v>83285.651652228975</v>
      </c>
      <c r="G38" s="50">
        <f t="shared" si="2"/>
        <v>182488.62239763245</v>
      </c>
      <c r="H38" s="26">
        <f t="shared" si="3"/>
        <v>182489</v>
      </c>
    </row>
    <row r="39" spans="1:8" ht="18" x14ac:dyDescent="0.25">
      <c r="A39" s="58">
        <v>210035</v>
      </c>
      <c r="B39" s="8" t="s">
        <v>48</v>
      </c>
      <c r="C39" s="22">
        <f>SUMIFS('FY2020 Original'!C:C,'FY2020 Original'!I:I,A39)</f>
        <v>6530</v>
      </c>
      <c r="D39" s="23">
        <f>SUMIFS('FY2020 Original'!D:D,'FY2020 Original'!I:I,A39)</f>
        <v>156420845.72</v>
      </c>
      <c r="E39" s="24">
        <f t="shared" si="0"/>
        <v>88714.790326963135</v>
      </c>
      <c r="F39" s="24">
        <f t="shared" si="1"/>
        <v>66972.512010065431</v>
      </c>
      <c r="G39" s="50">
        <f t="shared" si="2"/>
        <v>155687.30233702855</v>
      </c>
      <c r="H39" s="26">
        <f t="shared" si="3"/>
        <v>155687</v>
      </c>
    </row>
    <row r="40" spans="1:8" ht="18" x14ac:dyDescent="0.25">
      <c r="A40" s="58">
        <v>210037</v>
      </c>
      <c r="B40" s="8" t="s">
        <v>78</v>
      </c>
      <c r="C40" s="22">
        <f>SUMIFS('FY2020 Original'!C:C,'FY2020 Original'!I:I,A40)</f>
        <v>7263</v>
      </c>
      <c r="D40" s="23">
        <f>SUMIFS('FY2020 Original'!D:D,'FY2020 Original'!I:I,A40)</f>
        <v>218014978.63</v>
      </c>
      <c r="E40" s="24">
        <f t="shared" si="0"/>
        <v>98673.127434109236</v>
      </c>
      <c r="F40" s="24">
        <f t="shared" si="1"/>
        <v>93344.405008577101</v>
      </c>
      <c r="G40" s="50">
        <f t="shared" si="2"/>
        <v>192017.53244268632</v>
      </c>
      <c r="H40" s="26">
        <f t="shared" si="3"/>
        <v>192018</v>
      </c>
    </row>
    <row r="41" spans="1:8" ht="18" x14ac:dyDescent="0.25">
      <c r="A41" s="58">
        <v>210038</v>
      </c>
      <c r="B41" s="8" t="s">
        <v>50</v>
      </c>
      <c r="C41" s="22">
        <f>SUMIFS('FY2020 Original'!C:C,'FY2020 Original'!I:I,A41)</f>
        <v>4665</v>
      </c>
      <c r="D41" s="23">
        <f>SUMIFS('FY2020 Original'!D:D,'FY2020 Original'!I:I,A41)</f>
        <v>236967133.88000003</v>
      </c>
      <c r="E41" s="24">
        <f t="shared" si="0"/>
        <v>63377.411466352693</v>
      </c>
      <c r="F41" s="24">
        <f t="shared" si="1"/>
        <v>101458.88258511</v>
      </c>
      <c r="G41" s="50">
        <f t="shared" si="2"/>
        <v>164836.2940514627</v>
      </c>
      <c r="H41" s="26">
        <f t="shared" si="3"/>
        <v>164836</v>
      </c>
    </row>
    <row r="42" spans="1:8" ht="18" x14ac:dyDescent="0.25">
      <c r="A42" s="58">
        <v>210039</v>
      </c>
      <c r="B42" s="8" t="s">
        <v>51</v>
      </c>
      <c r="C42" s="22">
        <f>SUMIFS('FY2020 Original'!C:C,'FY2020 Original'!I:I,A42)</f>
        <v>5456</v>
      </c>
      <c r="D42" s="23">
        <f>SUMIFS('FY2020 Original'!D:D,'FY2020 Original'!I:I,A42)</f>
        <v>149987800</v>
      </c>
      <c r="E42" s="24">
        <f t="shared" si="0"/>
        <v>74123.720677474863</v>
      </c>
      <c r="F42" s="24">
        <f t="shared" si="1"/>
        <v>64218.16536425316</v>
      </c>
      <c r="G42" s="50">
        <f t="shared" si="2"/>
        <v>138341.88604172802</v>
      </c>
      <c r="H42" s="26">
        <f t="shared" si="3"/>
        <v>138342</v>
      </c>
    </row>
    <row r="43" spans="1:8" ht="18" x14ac:dyDescent="0.25">
      <c r="A43" s="58">
        <v>210040</v>
      </c>
      <c r="B43" s="8" t="s">
        <v>52</v>
      </c>
      <c r="C43" s="22">
        <f>SUMIFS('FY2020 Original'!C:C,'FY2020 Original'!I:I,A43)</f>
        <v>10259</v>
      </c>
      <c r="D43" s="23">
        <f>SUMIFS('FY2020 Original'!D:D,'FY2020 Original'!I:I,A43)</f>
        <v>266927630.66999999</v>
      </c>
      <c r="E43" s="24">
        <f t="shared" si="0"/>
        <v>139375.96232225341</v>
      </c>
      <c r="F43" s="24">
        <f t="shared" si="1"/>
        <v>114286.6468249708</v>
      </c>
      <c r="G43" s="50">
        <f t="shared" si="2"/>
        <v>253662.60914722423</v>
      </c>
      <c r="H43" s="26">
        <f t="shared" si="3"/>
        <v>253663</v>
      </c>
    </row>
    <row r="44" spans="1:8" ht="18" x14ac:dyDescent="0.25">
      <c r="A44" s="58">
        <v>210043</v>
      </c>
      <c r="B44" s="8" t="s">
        <v>53</v>
      </c>
      <c r="C44" s="22">
        <f>SUMIFS('FY2020 Original'!C:C,'FY2020 Original'!I:I,A44)</f>
        <v>15742</v>
      </c>
      <c r="D44" s="23">
        <f>SUMIFS('FY2020 Original'!D:D,'FY2020 Original'!I:I,A44)</f>
        <v>428075148.26999897</v>
      </c>
      <c r="E44" s="24">
        <f t="shared" ref="E44:E60" si="4">(C44/C$79)*$E$6</f>
        <v>213866.49759985509</v>
      </c>
      <c r="F44" s="24">
        <f t="shared" ref="F44:F60" si="5">(D44/D$79)*$E$6</f>
        <v>183282.91140966123</v>
      </c>
      <c r="G44" s="50">
        <f t="shared" si="2"/>
        <v>397149.40900951636</v>
      </c>
      <c r="H44" s="26">
        <f t="shared" si="3"/>
        <v>397149</v>
      </c>
    </row>
    <row r="45" spans="1:8" ht="18" x14ac:dyDescent="0.25">
      <c r="A45" s="58">
        <v>210044</v>
      </c>
      <c r="B45" s="8" t="s">
        <v>54</v>
      </c>
      <c r="C45" s="22">
        <f>SUMIFS('FY2020 Original'!C:C,'FY2020 Original'!I:I,A45)</f>
        <v>17458</v>
      </c>
      <c r="D45" s="23">
        <f>SUMIFS('FY2020 Original'!D:D,'FY2020 Original'!I:I,A45)</f>
        <v>463552940.82999998</v>
      </c>
      <c r="E45" s="24">
        <f t="shared" si="4"/>
        <v>237179.60329680282</v>
      </c>
      <c r="F45" s="24">
        <f t="shared" si="5"/>
        <v>198472.93852771228</v>
      </c>
      <c r="G45" s="50">
        <f t="shared" si="2"/>
        <v>435652.54182451509</v>
      </c>
      <c r="H45" s="26">
        <f t="shared" si="3"/>
        <v>435653</v>
      </c>
    </row>
    <row r="46" spans="1:8" ht="18" x14ac:dyDescent="0.25">
      <c r="A46" s="58">
        <v>210045</v>
      </c>
      <c r="B46" s="8" t="s">
        <v>55</v>
      </c>
      <c r="C46" s="22">
        <f>SUMIFS('FY2020 Original'!C:C,'FY2020 Original'!I:I,A46)</f>
        <v>226</v>
      </c>
      <c r="D46" s="23">
        <f>SUMIFS('FY2020 Original'!D:D,'FY2020 Original'!I:I,A46)</f>
        <v>17147300</v>
      </c>
      <c r="E46" s="24">
        <f t="shared" si="4"/>
        <v>3070.3740603206229</v>
      </c>
      <c r="F46" s="24">
        <f t="shared" si="5"/>
        <v>7341.7181060756839</v>
      </c>
      <c r="G46" s="50">
        <f t="shared" si="2"/>
        <v>10412.092166396307</v>
      </c>
      <c r="H46" s="26">
        <f t="shared" si="3"/>
        <v>10412</v>
      </c>
    </row>
    <row r="47" spans="1:8" ht="18" x14ac:dyDescent="0.25">
      <c r="A47" s="58">
        <v>210048</v>
      </c>
      <c r="B47" s="8" t="s">
        <v>56</v>
      </c>
      <c r="C47" s="22">
        <f>SUMIFS('FY2020 Original'!C:C,'FY2020 Original'!I:I,A47)</f>
        <v>15907</v>
      </c>
      <c r="D47" s="23">
        <f>SUMIFS('FY2020 Original'!D:D,'FY2020 Original'!I:I,A47)</f>
        <v>313005000</v>
      </c>
      <c r="E47" s="24">
        <f t="shared" si="4"/>
        <v>216108.14237840776</v>
      </c>
      <c r="F47" s="24">
        <f t="shared" si="5"/>
        <v>134014.94554782499</v>
      </c>
      <c r="G47" s="50">
        <f t="shared" si="2"/>
        <v>350123.08792623272</v>
      </c>
      <c r="H47" s="26">
        <f t="shared" si="3"/>
        <v>350123</v>
      </c>
    </row>
    <row r="48" spans="1:8" ht="18" x14ac:dyDescent="0.25">
      <c r="A48" s="58">
        <v>210049</v>
      </c>
      <c r="B48" s="8" t="s">
        <v>57</v>
      </c>
      <c r="C48" s="22">
        <f>SUMIFS('FY2020 Original'!C:C,'FY2020 Original'!I:I,A48)</f>
        <v>10307</v>
      </c>
      <c r="D48" s="23">
        <f>SUMIFS('FY2020 Original'!D:D,'FY2020 Original'!I:I,A48)</f>
        <v>343214124.57999992</v>
      </c>
      <c r="E48" s="24">
        <f t="shared" si="4"/>
        <v>140028.07716692329</v>
      </c>
      <c r="F48" s="24">
        <f t="shared" si="5"/>
        <v>146949.16124928708</v>
      </c>
      <c r="G48" s="50">
        <f t="shared" si="2"/>
        <v>286977.2384162104</v>
      </c>
      <c r="H48" s="26">
        <f t="shared" si="3"/>
        <v>286977</v>
      </c>
    </row>
    <row r="49" spans="1:8" ht="18" x14ac:dyDescent="0.25">
      <c r="A49" s="58">
        <v>210051</v>
      </c>
      <c r="B49" s="8" t="s">
        <v>58</v>
      </c>
      <c r="C49" s="22">
        <f>SUMIFS('FY2020 Original'!C:C,'FY2020 Original'!I:I,A49)</f>
        <v>9419</v>
      </c>
      <c r="D49" s="23">
        <f>SUMIFS('FY2020 Original'!D:D,'FY2020 Original'!I:I,A49)</f>
        <v>247708141</v>
      </c>
      <c r="E49" s="24">
        <f t="shared" si="4"/>
        <v>127963.95254053074</v>
      </c>
      <c r="F49" s="24">
        <f t="shared" si="5"/>
        <v>106057.70843235076</v>
      </c>
      <c r="G49" s="50">
        <f t="shared" si="2"/>
        <v>234021.66097288148</v>
      </c>
      <c r="H49" s="26">
        <f t="shared" si="3"/>
        <v>234022</v>
      </c>
    </row>
    <row r="50" spans="1:8" ht="18" x14ac:dyDescent="0.25">
      <c r="A50" s="58">
        <v>210055</v>
      </c>
      <c r="B50" s="8" t="s">
        <v>88</v>
      </c>
      <c r="C50" s="62">
        <v>0</v>
      </c>
      <c r="D50" s="63">
        <f>SUMIFS('FY2020 Original'!D:D,'FY2020 Original'!I:I,A50)*0.438823</f>
        <v>45197013.708000004</v>
      </c>
      <c r="E50" s="24">
        <f t="shared" si="4"/>
        <v>0</v>
      </c>
      <c r="F50" s="24">
        <f t="shared" si="5"/>
        <v>19351.369246503793</v>
      </c>
      <c r="G50" s="50">
        <f t="shared" si="2"/>
        <v>19351.369246503793</v>
      </c>
      <c r="H50" s="26">
        <f t="shared" si="3"/>
        <v>19351</v>
      </c>
    </row>
    <row r="51" spans="1:8" ht="18" x14ac:dyDescent="0.25">
      <c r="A51" s="58">
        <v>210056</v>
      </c>
      <c r="B51" s="8" t="s">
        <v>60</v>
      </c>
      <c r="C51" s="22">
        <f>SUMIFS('FY2020 Original'!C:C,'FY2020 Original'!I:I,A51)</f>
        <v>8530</v>
      </c>
      <c r="D51" s="23">
        <f>SUMIFS('FY2020 Original'!D:D,'FY2020 Original'!I:I,A51)</f>
        <v>275754352</v>
      </c>
      <c r="E51" s="24">
        <f t="shared" si="4"/>
        <v>115886.24218820759</v>
      </c>
      <c r="F51" s="24">
        <f t="shared" si="5"/>
        <v>118065.85986759241</v>
      </c>
      <c r="G51" s="50">
        <f t="shared" si="2"/>
        <v>233952.1020558</v>
      </c>
      <c r="H51" s="26">
        <f t="shared" si="3"/>
        <v>233952</v>
      </c>
    </row>
    <row r="52" spans="1:8" ht="18" x14ac:dyDescent="0.25">
      <c r="A52" s="58">
        <v>210057</v>
      </c>
      <c r="B52" s="8" t="s">
        <v>79</v>
      </c>
      <c r="C52" s="22">
        <f>SUMIFS('FY2020 Original'!C:C,'FY2020 Original'!I:I,A52)</f>
        <v>19217</v>
      </c>
      <c r="D52" s="23">
        <f>SUMIFS('FY2020 Original'!D:D,'FY2020 Original'!I:I,A52)</f>
        <v>516950013.89999998</v>
      </c>
      <c r="E52" s="24">
        <f t="shared" si="4"/>
        <v>261076.89520876732</v>
      </c>
      <c r="F52" s="24">
        <f t="shared" si="5"/>
        <v>221335.21178177939</v>
      </c>
      <c r="G52" s="50">
        <f>E52+F52 + E69+F69</f>
        <v>482412.10699054669</v>
      </c>
      <c r="H52" s="26">
        <f t="shared" si="3"/>
        <v>482412</v>
      </c>
    </row>
    <row r="53" spans="1:8" ht="18" x14ac:dyDescent="0.25">
      <c r="A53" s="58">
        <v>210058</v>
      </c>
      <c r="B53" s="8" t="s">
        <v>62</v>
      </c>
      <c r="C53" s="22">
        <f>SUMIFS('FY2020 Original'!C:C,'FY2020 Original'!I:I,A53)</f>
        <v>2478</v>
      </c>
      <c r="D53" s="23">
        <f>SUMIFS('FY2020 Original'!D:D,'FY2020 Original'!I:I,A53)</f>
        <v>124902915.88</v>
      </c>
      <c r="E53" s="24">
        <f t="shared" si="4"/>
        <v>33665.428856081875</v>
      </c>
      <c r="F53" s="24">
        <f t="shared" si="5"/>
        <v>53477.923580846189</v>
      </c>
      <c r="G53" s="50">
        <f t="shared" si="2"/>
        <v>87143.352436928064</v>
      </c>
      <c r="H53" s="26">
        <f t="shared" si="3"/>
        <v>87143</v>
      </c>
    </row>
    <row r="54" spans="1:8" ht="18" x14ac:dyDescent="0.25">
      <c r="A54" s="58">
        <v>210060</v>
      </c>
      <c r="B54" s="8" t="s">
        <v>63</v>
      </c>
      <c r="C54" s="22">
        <f>SUMIFS('FY2020 Original'!C:C,'FY2020 Original'!I:I,A54)</f>
        <v>2064</v>
      </c>
      <c r="D54" s="23">
        <f>SUMIFS('FY2020 Original'!D:D,'FY2020 Original'!I:I,A54)</f>
        <v>53432546</v>
      </c>
      <c r="E54" s="24">
        <f t="shared" si="4"/>
        <v>28040.938320804275</v>
      </c>
      <c r="F54" s="24">
        <f t="shared" si="5"/>
        <v>22877.461199251298</v>
      </c>
      <c r="G54" s="50">
        <f t="shared" si="2"/>
        <v>50918.399520055573</v>
      </c>
      <c r="H54" s="26">
        <f t="shared" si="3"/>
        <v>50918</v>
      </c>
    </row>
    <row r="55" spans="1:8" ht="18" x14ac:dyDescent="0.25">
      <c r="A55" s="58">
        <v>210061</v>
      </c>
      <c r="B55" s="8" t="s">
        <v>64</v>
      </c>
      <c r="C55" s="22">
        <f>SUMIFS('FY2020 Original'!C:C,'FY2020 Original'!I:I,A55)</f>
        <v>3200</v>
      </c>
      <c r="D55" s="23">
        <f>SUMIFS('FY2020 Original'!D:D,'FY2020 Original'!I:I,A55)</f>
        <v>110418500</v>
      </c>
      <c r="E55" s="24">
        <f t="shared" si="4"/>
        <v>43474.322977991127</v>
      </c>
      <c r="F55" s="24">
        <f t="shared" si="5"/>
        <v>47276.335090405941</v>
      </c>
      <c r="G55" s="50">
        <f t="shared" si="2"/>
        <v>90750.658068397068</v>
      </c>
      <c r="H55" s="26">
        <f t="shared" si="3"/>
        <v>90751</v>
      </c>
    </row>
    <row r="56" spans="1:8" ht="18" x14ac:dyDescent="0.25">
      <c r="A56" s="58">
        <v>210062</v>
      </c>
      <c r="B56" s="8" t="s">
        <v>65</v>
      </c>
      <c r="C56" s="22">
        <f>SUMIFS('FY2020 Original'!C:C,'FY2020 Original'!I:I,A56)</f>
        <v>10033</v>
      </c>
      <c r="D56" s="23">
        <f>SUMIFS('FY2020 Original'!D:D,'FY2020 Original'!I:I,A56)</f>
        <v>264243580.00000003</v>
      </c>
      <c r="E56" s="24">
        <f t="shared" si="4"/>
        <v>136305.5882619328</v>
      </c>
      <c r="F56" s="24">
        <f t="shared" si="5"/>
        <v>113137.45462552462</v>
      </c>
      <c r="G56" s="50">
        <f t="shared" si="2"/>
        <v>249443.04288745741</v>
      </c>
      <c r="H56" s="26">
        <f t="shared" si="3"/>
        <v>249443</v>
      </c>
    </row>
    <row r="57" spans="1:8" ht="18" x14ac:dyDescent="0.25">
      <c r="A57" s="58">
        <v>210063</v>
      </c>
      <c r="B57" s="8" t="s">
        <v>66</v>
      </c>
      <c r="C57" s="22">
        <f>SUMIFS('FY2020 Original'!C:C,'FY2020 Original'!I:I,A57)</f>
        <v>15011</v>
      </c>
      <c r="D57" s="23">
        <f>SUMIFS('FY2020 Original'!D:D,'FY2020 Original'!I:I,A57)</f>
        <v>414387182.10999995</v>
      </c>
      <c r="E57" s="24">
        <f t="shared" si="4"/>
        <v>203935.33194457024</v>
      </c>
      <c r="F57" s="24">
        <f t="shared" si="5"/>
        <v>177422.32758642282</v>
      </c>
      <c r="G57" s="50">
        <f t="shared" si="2"/>
        <v>381357.65953099309</v>
      </c>
      <c r="H57" s="26">
        <f t="shared" si="3"/>
        <v>381358</v>
      </c>
    </row>
    <row r="58" spans="1:8" ht="18" x14ac:dyDescent="0.25">
      <c r="A58" s="58">
        <v>210064</v>
      </c>
      <c r="B58" s="8" t="s">
        <v>17</v>
      </c>
      <c r="C58" s="22">
        <f>SUMIFS('FY2020 Original'!C:C,'FY2020 Original'!I:I,A58)</f>
        <v>1309</v>
      </c>
      <c r="D58" s="23">
        <f>SUMIFS('FY2020 Original'!D:D,'FY2020 Original'!I:I,A58)</f>
        <v>59877227.32</v>
      </c>
      <c r="E58" s="24">
        <f t="shared" si="4"/>
        <v>17783.715243184492</v>
      </c>
      <c r="F58" s="24">
        <f t="shared" si="5"/>
        <v>25636.789696153537</v>
      </c>
      <c r="G58" s="50">
        <f t="shared" si="2"/>
        <v>43420.504939338032</v>
      </c>
      <c r="H58" s="26">
        <f t="shared" si="3"/>
        <v>43421</v>
      </c>
    </row>
    <row r="59" spans="1:8" ht="18" x14ac:dyDescent="0.25">
      <c r="A59" s="58">
        <v>210065</v>
      </c>
      <c r="B59" s="8" t="s">
        <v>67</v>
      </c>
      <c r="C59" s="22">
        <f>SUMIFS('FY2020 Original'!C:C,'FY2020 Original'!I:I,A59)</f>
        <v>4235</v>
      </c>
      <c r="D59" s="23">
        <f>SUMIFS('FY2020 Original'!D:D,'FY2020 Original'!I:I,A59)</f>
        <v>96025200</v>
      </c>
      <c r="E59" s="24">
        <f t="shared" si="4"/>
        <v>57535.549316185126</v>
      </c>
      <c r="F59" s="24">
        <f t="shared" si="5"/>
        <v>41113.758403920074</v>
      </c>
      <c r="G59" s="50">
        <f t="shared" si="2"/>
        <v>98649.307720105193</v>
      </c>
      <c r="H59" s="26">
        <f t="shared" si="3"/>
        <v>98649</v>
      </c>
    </row>
    <row r="60" spans="1:8" ht="18" x14ac:dyDescent="0.25">
      <c r="A60" s="58">
        <v>218992</v>
      </c>
      <c r="B60" s="8" t="s">
        <v>75</v>
      </c>
      <c r="C60" s="22">
        <f>SUMIFS('FY2020 Original'!C:C,'FY2020 Original'!I:I,A60)</f>
        <v>3879</v>
      </c>
      <c r="D60" s="23">
        <f>SUMIFS('FY2020 Original'!D:D,'FY2020 Original'!I:I,A60)</f>
        <v>215034042.61999997</v>
      </c>
      <c r="E60" s="24">
        <f t="shared" si="4"/>
        <v>52699.030884883621</v>
      </c>
      <c r="F60" s="24">
        <f t="shared" si="5"/>
        <v>92068.099591533595</v>
      </c>
      <c r="G60" s="50">
        <f t="shared" si="2"/>
        <v>144767.13047641722</v>
      </c>
      <c r="H60" s="26">
        <f t="shared" si="3"/>
        <v>144767</v>
      </c>
    </row>
    <row r="61" spans="1:8" ht="18.75" x14ac:dyDescent="0.3">
      <c r="A61" s="58"/>
      <c r="B61" s="8"/>
      <c r="C61" s="29"/>
      <c r="D61" s="28"/>
      <c r="E61" s="29"/>
      <c r="F61" s="29"/>
      <c r="G61" s="30"/>
      <c r="H61" s="26"/>
    </row>
    <row r="63" spans="1:8" ht="18" x14ac:dyDescent="0.25">
      <c r="B63" s="8" t="s">
        <v>14</v>
      </c>
      <c r="C63" s="9">
        <f t="shared" ref="C63:H63" si="6">SUM(C12:C60)</f>
        <v>541135</v>
      </c>
      <c r="D63" s="9">
        <f t="shared" si="6"/>
        <v>17274511613.589993</v>
      </c>
      <c r="E63" s="9">
        <f t="shared" si="6"/>
        <v>7351711.8014672576</v>
      </c>
      <c r="F63" s="9">
        <f t="shared" si="6"/>
        <v>7396184.5122618908</v>
      </c>
      <c r="G63" s="9">
        <f t="shared" si="6"/>
        <v>14747896.313729152</v>
      </c>
      <c r="H63" s="9">
        <f t="shared" si="6"/>
        <v>14747894</v>
      </c>
    </row>
    <row r="64" spans="1:8" ht="18.75" x14ac:dyDescent="0.3">
      <c r="C64" s="14"/>
      <c r="D64" s="32"/>
      <c r="E64" s="29"/>
      <c r="F64" s="29"/>
      <c r="G64" s="9"/>
      <c r="H64" s="26"/>
    </row>
    <row r="65" spans="1:8" ht="18.75" x14ac:dyDescent="0.3">
      <c r="A65" s="58"/>
      <c r="C65" s="14"/>
      <c r="D65" s="32"/>
      <c r="E65" s="29"/>
      <c r="F65" s="29"/>
      <c r="G65" s="30"/>
      <c r="H65" s="26"/>
    </row>
    <row r="66" spans="1:8" ht="18.75" x14ac:dyDescent="0.3">
      <c r="A66" s="58"/>
      <c r="B66" s="49"/>
      <c r="C66" s="14"/>
      <c r="D66" s="32"/>
      <c r="E66" s="29"/>
      <c r="F66" s="29"/>
      <c r="G66" s="30"/>
      <c r="H66" s="26"/>
    </row>
    <row r="67" spans="1:8" ht="19.5" thickBot="1" x14ac:dyDescent="0.35">
      <c r="A67" s="58"/>
      <c r="B67" s="42" t="s">
        <v>19</v>
      </c>
      <c r="C67" s="14"/>
      <c r="D67" s="32"/>
      <c r="E67" s="29"/>
      <c r="F67" s="29"/>
      <c r="G67" s="30"/>
      <c r="H67" s="26"/>
    </row>
    <row r="68" spans="1:8" ht="18.75" x14ac:dyDescent="0.3">
      <c r="A68" s="58"/>
      <c r="C68" s="16"/>
      <c r="D68" s="33"/>
      <c r="E68" s="16"/>
      <c r="F68" s="16"/>
      <c r="G68" s="20"/>
      <c r="H68" s="34"/>
    </row>
    <row r="69" spans="1:8" ht="18" x14ac:dyDescent="0.25">
      <c r="A69" s="58">
        <v>213029</v>
      </c>
      <c r="B69" s="8" t="s">
        <v>77</v>
      </c>
      <c r="C69" s="22">
        <f>SUMIFS('FY2020 Original'!C:C,'FY2020 Original'!I:I,A69)</f>
        <v>0</v>
      </c>
      <c r="D69" s="23">
        <f>SUMIFS('FY2020 Original'!D:D,'FY2020 Original'!I:I,A69)</f>
        <v>0</v>
      </c>
      <c r="E69" s="24">
        <f t="shared" ref="E69:F73" si="7">(C69/C$79)*$E$6</f>
        <v>0</v>
      </c>
      <c r="F69" s="24">
        <f t="shared" si="7"/>
        <v>0</v>
      </c>
      <c r="G69" s="50"/>
      <c r="H69" s="26"/>
    </row>
    <row r="70" spans="1:8" ht="18" x14ac:dyDescent="0.25">
      <c r="A70" s="58">
        <v>213300</v>
      </c>
      <c r="B70" s="8" t="s">
        <v>71</v>
      </c>
      <c r="C70" s="22">
        <f>SUMIFS('FY2020 Original'!C:C,'FY2020 Original'!I:I,A70)</f>
        <v>597</v>
      </c>
      <c r="D70" s="23">
        <f>SUMIFS('FY2020 Original'!D:D,'FY2020 Original'!I:I,A70)</f>
        <v>63487691.999999993</v>
      </c>
      <c r="E70" s="24">
        <f t="shared" si="7"/>
        <v>8110.6783805814694</v>
      </c>
      <c r="F70" s="24">
        <f t="shared" si="7"/>
        <v>27182.631543704036</v>
      </c>
      <c r="G70" s="50">
        <f t="shared" ref="G70:G73" si="8">E70+F70</f>
        <v>35293.309924285502</v>
      </c>
      <c r="H70" s="26">
        <f t="shared" ref="H70:H73" si="9">ROUND(G70,0)</f>
        <v>35293</v>
      </c>
    </row>
    <row r="71" spans="1:8" ht="18" x14ac:dyDescent="0.25">
      <c r="A71" s="59">
        <v>214000</v>
      </c>
      <c r="B71" s="8" t="s">
        <v>72</v>
      </c>
      <c r="C71" s="22">
        <f>SUMIFS('FY2020 Original'!C:C,'FY2020 Original'!I:I,A71)</f>
        <v>8345</v>
      </c>
      <c r="D71" s="23">
        <f>SUMIFS('FY2020 Original'!D:D,'FY2020 Original'!I:I,A71)</f>
        <v>156131023.47999996</v>
      </c>
      <c r="E71" s="24">
        <f t="shared" si="7"/>
        <v>113372.88289104248</v>
      </c>
      <c r="F71" s="24">
        <f t="shared" si="7"/>
        <v>66848.422900587451</v>
      </c>
      <c r="G71" s="50">
        <f t="shared" si="8"/>
        <v>180221.30579162994</v>
      </c>
      <c r="H71" s="26">
        <f t="shared" si="9"/>
        <v>180221</v>
      </c>
    </row>
    <row r="72" spans="1:8" ht="18" x14ac:dyDescent="0.25">
      <c r="A72" s="58">
        <v>214003</v>
      </c>
      <c r="B72" s="8" t="s">
        <v>73</v>
      </c>
      <c r="C72" s="22">
        <f>SUMIFS('FY2020 Original'!C:C,'FY2020 Original'!I:I,A72)</f>
        <v>1973</v>
      </c>
      <c r="D72" s="23">
        <f>SUMIFS('FY2020 Original'!D:D,'FY2020 Original'!I:I,A72)</f>
        <v>22852500</v>
      </c>
      <c r="E72" s="24">
        <f t="shared" si="7"/>
        <v>26804.637261117652</v>
      </c>
      <c r="F72" s="24">
        <f t="shared" si="7"/>
        <v>9784.4332938185344</v>
      </c>
      <c r="G72" s="50">
        <f t="shared" si="8"/>
        <v>36589.070554936188</v>
      </c>
      <c r="H72" s="26">
        <f t="shared" si="9"/>
        <v>36589</v>
      </c>
    </row>
    <row r="73" spans="1:8" ht="18" x14ac:dyDescent="0.25">
      <c r="A73" s="58">
        <v>214013</v>
      </c>
      <c r="B73" s="8" t="s">
        <v>84</v>
      </c>
      <c r="C73" s="22">
        <f>SUMIFS('FY2020 Original'!C:C,'FY2020 Original'!I:I,A73)</f>
        <v>0</v>
      </c>
      <c r="D73" s="23">
        <f>SUMIFS('FY2020 Original'!D:D,'FY2020 Original'!I:I,A73)</f>
        <v>0</v>
      </c>
      <c r="E73" s="24">
        <f t="shared" si="7"/>
        <v>0</v>
      </c>
      <c r="F73" s="24">
        <f t="shared" si="7"/>
        <v>0</v>
      </c>
      <c r="G73" s="50">
        <f t="shared" si="8"/>
        <v>0</v>
      </c>
      <c r="H73" s="26">
        <f t="shared" si="9"/>
        <v>0</v>
      </c>
    </row>
    <row r="74" spans="1:8" ht="18.75" x14ac:dyDescent="0.3">
      <c r="A74" s="58"/>
      <c r="B74" s="8"/>
      <c r="C74" s="29"/>
      <c r="D74" s="9"/>
      <c r="E74" s="29"/>
      <c r="F74" s="29"/>
      <c r="G74" s="25"/>
      <c r="H74" s="35"/>
    </row>
    <row r="75" spans="1:8" ht="18.75" x14ac:dyDescent="0.3">
      <c r="A75" s="58"/>
      <c r="B75" s="8"/>
      <c r="C75" s="29"/>
      <c r="D75" s="9"/>
      <c r="E75" s="29"/>
      <c r="F75" s="29"/>
      <c r="G75" s="31"/>
      <c r="H75" s="35"/>
    </row>
    <row r="76" spans="1:8" ht="18" x14ac:dyDescent="0.25">
      <c r="A76" s="58"/>
      <c r="B76" s="8" t="s">
        <v>14</v>
      </c>
      <c r="C76" s="9">
        <f t="shared" ref="C76:H76" si="10">SUM(C69:C73)</f>
        <v>10915</v>
      </c>
      <c r="D76" s="9">
        <f t="shared" si="10"/>
        <v>242471215.47999996</v>
      </c>
      <c r="E76" s="9">
        <f t="shared" si="10"/>
        <v>148288.1985327416</v>
      </c>
      <c r="F76" s="9">
        <f t="shared" si="10"/>
        <v>103815.48773811002</v>
      </c>
      <c r="G76" s="9">
        <f t="shared" si="10"/>
        <v>252103.68627085164</v>
      </c>
      <c r="H76" s="9">
        <f t="shared" si="10"/>
        <v>252103</v>
      </c>
    </row>
    <row r="77" spans="1:8" ht="18.75" x14ac:dyDescent="0.3">
      <c r="A77" s="58"/>
      <c r="B77" s="8"/>
      <c r="C77" s="36"/>
      <c r="D77" s="9"/>
      <c r="E77" s="36"/>
      <c r="F77" s="36"/>
      <c r="G77" s="30"/>
      <c r="H77" s="57"/>
    </row>
    <row r="78" spans="1:8" ht="18.75" x14ac:dyDescent="0.3">
      <c r="A78" s="58"/>
      <c r="B78" s="8"/>
      <c r="C78" s="36"/>
      <c r="D78" s="9"/>
      <c r="E78" s="36"/>
      <c r="F78" s="36"/>
      <c r="G78" s="30"/>
      <c r="H78" s="35"/>
    </row>
    <row r="79" spans="1:8" ht="18" x14ac:dyDescent="0.25">
      <c r="A79" s="58"/>
      <c r="B79" s="8" t="s">
        <v>15</v>
      </c>
      <c r="C79" s="9">
        <f t="shared" ref="C79:F79" si="11">C76+C63</f>
        <v>552050</v>
      </c>
      <c r="D79" s="41">
        <f t="shared" si="11"/>
        <v>17516982829.069992</v>
      </c>
      <c r="E79" s="24">
        <f t="shared" si="11"/>
        <v>7499999.9999999991</v>
      </c>
      <c r="F79" s="24">
        <f t="shared" si="11"/>
        <v>7500000.0000000009</v>
      </c>
      <c r="G79" s="24">
        <f>G76+G63</f>
        <v>15000000.000000004</v>
      </c>
      <c r="H79" s="26">
        <f>H76+H63</f>
        <v>14999997</v>
      </c>
    </row>
    <row r="80" spans="1:8" ht="18" x14ac:dyDescent="0.25">
      <c r="A80" s="58"/>
      <c r="B80" s="8"/>
      <c r="C80" s="9"/>
      <c r="D80" s="9"/>
      <c r="E80" s="9"/>
      <c r="F80" s="9"/>
      <c r="G80" s="9"/>
      <c r="H80" s="9"/>
    </row>
    <row r="81" spans="2:3" x14ac:dyDescent="0.25">
      <c r="B81" s="48" t="s">
        <v>18</v>
      </c>
    </row>
    <row r="82" spans="2:3" x14ac:dyDescent="0.25">
      <c r="B82" s="40" t="str">
        <f>"1) Bowie FSE revenue of "&amp;TEXT('FY2020 Original'!D62,"$0,000")&amp;" added to Prince George's Revenue of "&amp;TEXT('FY2020 Original'!D14,"$0,000")&amp;" for a total of "&amp; TEXT('FY2020 Original'!D14+'FY2020 Original'!D62,"$0,000")</f>
        <v>1) Bowie FSE revenue of $20,771,309 added to Prince George's Revenue of $293,380,000 for a total of $314,151,309</v>
      </c>
      <c r="C82" s="39"/>
    </row>
    <row r="83" spans="2:3" x14ac:dyDescent="0.25">
      <c r="B83" s="48" t="str">
        <f>"2) Queen Anne's FSE revenue of " &amp;TEXT('FY2020 Original'!D61,"$0,000") &amp;" added to UM Easton's revenue of " &amp;TEXT('FY2020 Original'!D40,"$0,000")&amp;" for a total of " &amp;TEXT('FY2020 Original'!D61+'FY2020 Original'!D40,"$0,000")</f>
        <v>2) Queen Anne's FSE revenue of $7,034,873 added to UM Easton's revenue of $210,980,106 for a total of $218,014,979</v>
      </c>
    </row>
    <row r="84" spans="2:3" x14ac:dyDescent="0.25">
      <c r="B84" s="48" t="str">
        <f>"3) Germantown FSE revenue of " &amp; TEXT('FY2020 Original'!D60,"$0,000") &amp; " added to Shady Grove's revenue of " &amp; TEXT('FY2020 Original'!D52,"$0,000") &amp; " for a total of " &amp; TEXT('FY2020 Original'!D60 + 'FY2020 Original'!D52,"$0,000")</f>
        <v>3) Germantown FSE revenue of $14,007,500 added to Shady Grove's revenue of $430,186,900 for a total of $444,194,400</v>
      </c>
    </row>
    <row r="85" spans="2:3" x14ac:dyDescent="0.25">
      <c r="B85" s="48" t="s">
        <v>80</v>
      </c>
    </row>
    <row r="86" spans="2:3" x14ac:dyDescent="0.25">
      <c r="B86" s="48" t="s">
        <v>86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1D07E9-405D-48AA-8274-5182C6B6D564}"/>
</file>

<file path=customXml/itemProps2.xml><?xml version="1.0" encoding="utf-8"?>
<ds:datastoreItem xmlns:ds="http://schemas.openxmlformats.org/officeDocument/2006/customXml" ds:itemID="{7FE9DB7D-55F0-4718-860F-2DCC12945A0E}"/>
</file>

<file path=customXml/itemProps3.xml><?xml version="1.0" encoding="utf-8"?>
<ds:datastoreItem xmlns:ds="http://schemas.openxmlformats.org/officeDocument/2006/customXml" ds:itemID="{59725E6D-0411-4C1E-98EF-670DAE9677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FY2020 Original</vt:lpstr>
      <vt:lpstr>FY2020 Adjusted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Ellen Englert</dc:creator>
  <cp:lastModifiedBy>Caitlin Grim</cp:lastModifiedBy>
  <dcterms:created xsi:type="dcterms:W3CDTF">2015-07-14T20:42:21Z</dcterms:created>
  <dcterms:modified xsi:type="dcterms:W3CDTF">2019-07-19T18:06:35Z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