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2120"/>
  </bookViews>
  <sheets>
    <sheet name="FY2020 Prj Inflation" sheetId="1" r:id="rId1"/>
    <sheet name="Special Adj Support" sheetId="2" state="hidden" r:id="rId2"/>
    <sheet name="High Cost Drug Inf Prj" sheetId="3" r:id="rId3"/>
  </sheets>
  <definedNames>
    <definedName name="_xlnm._FilterDatabase" localSheetId="0" hidden="1">'FY2020 Prj Inflation'!$A$7:$N$59</definedName>
    <definedName name="_xlnm._FilterDatabase" localSheetId="2" hidden="1">'High Cost Drug Inf Prj'!$A$9:$E$54</definedName>
    <definedName name="_Order1" hidden="1">255</definedName>
    <definedName name="_xlnm.Print_Area" localSheetId="2">'High Cost Drug Inf Prj'!$A$2:$D$56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9" i="1" l="1"/>
  <c r="K47" i="1"/>
  <c r="C56" i="3" l="1"/>
  <c r="E52" i="3"/>
  <c r="E49" i="3"/>
  <c r="K48" i="1" s="1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8" i="3"/>
  <c r="E27" i="3"/>
  <c r="E26" i="3"/>
  <c r="E25" i="3"/>
  <c r="E24" i="3"/>
  <c r="E23" i="3"/>
  <c r="E22" i="3"/>
  <c r="E19" i="3"/>
  <c r="E18" i="3"/>
  <c r="E17" i="3"/>
  <c r="E16" i="3"/>
  <c r="E15" i="3"/>
  <c r="E14" i="3"/>
  <c r="E12" i="3"/>
  <c r="E10" i="3"/>
  <c r="E9" i="3"/>
  <c r="E30" i="2"/>
  <c r="C26" i="2"/>
  <c r="C25" i="2"/>
  <c r="C24" i="2"/>
  <c r="C22" i="2"/>
  <c r="C27" i="2" s="1"/>
  <c r="C28" i="2" s="1"/>
  <c r="G48" i="1" s="1"/>
  <c r="I48" i="1" s="1"/>
  <c r="C18" i="2"/>
  <c r="G53" i="1" s="1"/>
  <c r="C13" i="2"/>
  <c r="C8" i="2"/>
  <c r="C5" i="2"/>
  <c r="C6" i="2" s="1"/>
  <c r="I59" i="1"/>
  <c r="B59" i="1"/>
  <c r="K59" i="1" s="1"/>
  <c r="I58" i="1"/>
  <c r="B58" i="1"/>
  <c r="K58" i="1" s="1"/>
  <c r="L58" i="1" s="1"/>
  <c r="I57" i="1"/>
  <c r="B57" i="1"/>
  <c r="K57" i="1" s="1"/>
  <c r="L57" i="1" s="1"/>
  <c r="I56" i="1"/>
  <c r="B56" i="1"/>
  <c r="K56" i="1" s="1"/>
  <c r="L56" i="1" s="1"/>
  <c r="I55" i="1"/>
  <c r="B55" i="1"/>
  <c r="K55" i="1" s="1"/>
  <c r="L55" i="1" s="1"/>
  <c r="I54" i="1"/>
  <c r="B54" i="1"/>
  <c r="K54" i="1" s="1"/>
  <c r="L54" i="1" s="1"/>
  <c r="B53" i="1"/>
  <c r="K53" i="1" s="1"/>
  <c r="I52" i="1"/>
  <c r="B52" i="1"/>
  <c r="K52" i="1" s="1"/>
  <c r="I51" i="1"/>
  <c r="B51" i="1"/>
  <c r="K51" i="1" s="1"/>
  <c r="I50" i="1"/>
  <c r="B50" i="1"/>
  <c r="K50" i="1" s="1"/>
  <c r="I49" i="1"/>
  <c r="L49" i="1" s="1"/>
  <c r="L48" i="1"/>
  <c r="L47" i="1"/>
  <c r="I47" i="1"/>
  <c r="I46" i="1"/>
  <c r="B46" i="1"/>
  <c r="K46" i="1" s="1"/>
  <c r="I45" i="1"/>
  <c r="B45" i="1"/>
  <c r="K45" i="1" s="1"/>
  <c r="G44" i="1"/>
  <c r="I44" i="1" s="1"/>
  <c r="B44" i="1"/>
  <c r="K44" i="1" s="1"/>
  <c r="I43" i="1"/>
  <c r="B43" i="1"/>
  <c r="K43" i="1" s="1"/>
  <c r="I42" i="1"/>
  <c r="B42" i="1"/>
  <c r="K42" i="1" s="1"/>
  <c r="L42" i="1" s="1"/>
  <c r="I41" i="1"/>
  <c r="B41" i="1"/>
  <c r="K41" i="1" s="1"/>
  <c r="I40" i="1"/>
  <c r="B40" i="1"/>
  <c r="K40" i="1" s="1"/>
  <c r="L40" i="1" s="1"/>
  <c r="I39" i="1"/>
  <c r="B39" i="1"/>
  <c r="K39" i="1" s="1"/>
  <c r="I38" i="1"/>
  <c r="B38" i="1"/>
  <c r="K38" i="1" s="1"/>
  <c r="I37" i="1"/>
  <c r="B37" i="1"/>
  <c r="K37" i="1" s="1"/>
  <c r="I36" i="1"/>
  <c r="B36" i="1"/>
  <c r="K36" i="1" s="1"/>
  <c r="L36" i="1" s="1"/>
  <c r="I35" i="1"/>
  <c r="B35" i="1"/>
  <c r="K35" i="1" s="1"/>
  <c r="I34" i="1"/>
  <c r="B34" i="1"/>
  <c r="K34" i="1" s="1"/>
  <c r="I33" i="1"/>
  <c r="B33" i="1"/>
  <c r="K33" i="1" s="1"/>
  <c r="I32" i="1"/>
  <c r="B32" i="1"/>
  <c r="K32" i="1" s="1"/>
  <c r="L32" i="1" s="1"/>
  <c r="I31" i="1"/>
  <c r="B31" i="1"/>
  <c r="K31" i="1" s="1"/>
  <c r="I30" i="1"/>
  <c r="B30" i="1"/>
  <c r="K30" i="1" s="1"/>
  <c r="L30" i="1" s="1"/>
  <c r="I29" i="1"/>
  <c r="B29" i="1"/>
  <c r="K29" i="1" s="1"/>
  <c r="I28" i="1"/>
  <c r="B28" i="1"/>
  <c r="K28" i="1" s="1"/>
  <c r="L28" i="1" s="1"/>
  <c r="I27" i="1"/>
  <c r="B27" i="1"/>
  <c r="K27" i="1" s="1"/>
  <c r="I26" i="1"/>
  <c r="B26" i="1"/>
  <c r="K26" i="1" s="1"/>
  <c r="I25" i="1"/>
  <c r="B25" i="1"/>
  <c r="K25" i="1" s="1"/>
  <c r="I24" i="1"/>
  <c r="B24" i="1"/>
  <c r="K24" i="1" s="1"/>
  <c r="L24" i="1" s="1"/>
  <c r="I23" i="1"/>
  <c r="B23" i="1"/>
  <c r="K23" i="1" s="1"/>
  <c r="I22" i="1"/>
  <c r="B22" i="1"/>
  <c r="K22" i="1" s="1"/>
  <c r="L22" i="1" s="1"/>
  <c r="I21" i="1"/>
  <c r="B21" i="1"/>
  <c r="K21" i="1" s="1"/>
  <c r="I20" i="1"/>
  <c r="B20" i="1"/>
  <c r="K20" i="1" s="1"/>
  <c r="I19" i="1"/>
  <c r="B19" i="1"/>
  <c r="K19" i="1" s="1"/>
  <c r="I18" i="1"/>
  <c r="B18" i="1"/>
  <c r="K18" i="1" s="1"/>
  <c r="I17" i="1"/>
  <c r="B17" i="1"/>
  <c r="K17" i="1" s="1"/>
  <c r="I16" i="1"/>
  <c r="B16" i="1"/>
  <c r="K16" i="1" s="1"/>
  <c r="L16" i="1" s="1"/>
  <c r="I15" i="1"/>
  <c r="B15" i="1"/>
  <c r="K15" i="1" s="1"/>
  <c r="I14" i="1"/>
  <c r="B14" i="1"/>
  <c r="K14" i="1" s="1"/>
  <c r="L14" i="1" s="1"/>
  <c r="I13" i="1"/>
  <c r="B13" i="1"/>
  <c r="K13" i="1" s="1"/>
  <c r="I12" i="1"/>
  <c r="B12" i="1"/>
  <c r="K12" i="1" s="1"/>
  <c r="I11" i="1"/>
  <c r="B11" i="1"/>
  <c r="K11" i="1" s="1"/>
  <c r="G10" i="1"/>
  <c r="I10" i="1" s="1"/>
  <c r="B10" i="1"/>
  <c r="K10" i="1" s="1"/>
  <c r="B9" i="1"/>
  <c r="K9" i="1" s="1"/>
  <c r="I8" i="1"/>
  <c r="B8" i="1"/>
  <c r="K8" i="1" s="1"/>
  <c r="F7" i="1"/>
  <c r="E7" i="1"/>
  <c r="L38" i="1" l="1"/>
  <c r="L59" i="1"/>
  <c r="L11" i="1"/>
  <c r="L23" i="1"/>
  <c r="L25" i="1"/>
  <c r="L27" i="1"/>
  <c r="L29" i="1"/>
  <c r="L31" i="1"/>
  <c r="L33" i="1"/>
  <c r="L35" i="1"/>
  <c r="L37" i="1"/>
  <c r="L39" i="1"/>
  <c r="L41" i="1"/>
  <c r="L43" i="1"/>
  <c r="L45" i="1"/>
  <c r="L26" i="1"/>
  <c r="L34" i="1"/>
  <c r="E56" i="3"/>
  <c r="L51" i="1"/>
  <c r="L8" i="1"/>
  <c r="L10" i="1"/>
  <c r="L12" i="1"/>
  <c r="L50" i="1"/>
  <c r="L52" i="1"/>
  <c r="L18" i="1"/>
  <c r="L20" i="1"/>
  <c r="L46" i="1"/>
  <c r="K7" i="1"/>
  <c r="L13" i="1"/>
  <c r="I53" i="1"/>
  <c r="L53" i="1" s="1"/>
  <c r="G9" i="1"/>
  <c r="L15" i="1"/>
  <c r="L17" i="1"/>
  <c r="L19" i="1"/>
  <c r="L21" i="1"/>
  <c r="L44" i="1"/>
  <c r="K2" i="1" l="1"/>
  <c r="G7" i="1"/>
  <c r="I9" i="1"/>
  <c r="I7" i="1" l="1"/>
  <c r="L7" i="1" s="1"/>
  <c r="D5" i="1" s="1"/>
  <c r="L9" i="1"/>
  <c r="D46" i="1" l="1"/>
  <c r="J46" i="1" s="1"/>
  <c r="M46" i="1" s="1"/>
  <c r="N46" i="1" s="1"/>
  <c r="D45" i="1"/>
  <c r="J45" i="1" s="1"/>
  <c r="M45" i="1" s="1"/>
  <c r="N45" i="1" s="1"/>
  <c r="D58" i="1"/>
  <c r="J58" i="1" s="1"/>
  <c r="M58" i="1" s="1"/>
  <c r="N58" i="1" s="1"/>
  <c r="D54" i="1"/>
  <c r="J54" i="1" s="1"/>
  <c r="M54" i="1" s="1"/>
  <c r="N54" i="1" s="1"/>
  <c r="D44" i="1"/>
  <c r="J44" i="1" s="1"/>
  <c r="M44" i="1" s="1"/>
  <c r="N44" i="1" s="1"/>
  <c r="D40" i="1"/>
  <c r="J40" i="1" s="1"/>
  <c r="M40" i="1" s="1"/>
  <c r="N40" i="1" s="1"/>
  <c r="D36" i="1"/>
  <c r="J36" i="1" s="1"/>
  <c r="M36" i="1" s="1"/>
  <c r="N36" i="1" s="1"/>
  <c r="D32" i="1"/>
  <c r="J32" i="1" s="1"/>
  <c r="M32" i="1" s="1"/>
  <c r="N32" i="1" s="1"/>
  <c r="D28" i="1"/>
  <c r="J28" i="1" s="1"/>
  <c r="M28" i="1" s="1"/>
  <c r="N28" i="1" s="1"/>
  <c r="D24" i="1"/>
  <c r="J24" i="1" s="1"/>
  <c r="M24" i="1" s="1"/>
  <c r="N24" i="1" s="1"/>
  <c r="D21" i="1"/>
  <c r="J21" i="1" s="1"/>
  <c r="M21" i="1" s="1"/>
  <c r="N21" i="1" s="1"/>
  <c r="D19" i="1"/>
  <c r="J19" i="1" s="1"/>
  <c r="M19" i="1" s="1"/>
  <c r="N19" i="1" s="1"/>
  <c r="D17" i="1"/>
  <c r="J17" i="1" s="1"/>
  <c r="M17" i="1" s="1"/>
  <c r="N17" i="1" s="1"/>
  <c r="D15" i="1"/>
  <c r="J15" i="1" s="1"/>
  <c r="M15" i="1" s="1"/>
  <c r="N15" i="1" s="1"/>
  <c r="D13" i="1"/>
  <c r="J13" i="1" s="1"/>
  <c r="M13" i="1" s="1"/>
  <c r="N13" i="1" s="1"/>
  <c r="D10" i="1"/>
  <c r="J10" i="1" s="1"/>
  <c r="M10" i="1" s="1"/>
  <c r="N10" i="1" s="1"/>
  <c r="D57" i="1"/>
  <c r="J57" i="1" s="1"/>
  <c r="M57" i="1" s="1"/>
  <c r="N57" i="1" s="1"/>
  <c r="D53" i="1"/>
  <c r="J53" i="1" s="1"/>
  <c r="M53" i="1" s="1"/>
  <c r="N53" i="1" s="1"/>
  <c r="D51" i="1"/>
  <c r="J51" i="1" s="1"/>
  <c r="M51" i="1" s="1"/>
  <c r="N51" i="1" s="1"/>
  <c r="D49" i="1"/>
  <c r="J49" i="1" s="1"/>
  <c r="M49" i="1" s="1"/>
  <c r="N49" i="1" s="1"/>
  <c r="D48" i="1"/>
  <c r="J48" i="1" s="1"/>
  <c r="M48" i="1" s="1"/>
  <c r="N48" i="1" s="1"/>
  <c r="D47" i="1"/>
  <c r="J47" i="1" s="1"/>
  <c r="M47" i="1" s="1"/>
  <c r="N47" i="1" s="1"/>
  <c r="D43" i="1"/>
  <c r="J43" i="1" s="1"/>
  <c r="M43" i="1" s="1"/>
  <c r="N43" i="1" s="1"/>
  <c r="D39" i="1"/>
  <c r="J39" i="1" s="1"/>
  <c r="M39" i="1" s="1"/>
  <c r="N39" i="1" s="1"/>
  <c r="D35" i="1"/>
  <c r="J35" i="1" s="1"/>
  <c r="M35" i="1" s="1"/>
  <c r="N35" i="1" s="1"/>
  <c r="D31" i="1"/>
  <c r="J31" i="1" s="1"/>
  <c r="M31" i="1" s="1"/>
  <c r="N31" i="1" s="1"/>
  <c r="D27" i="1"/>
  <c r="J27" i="1" s="1"/>
  <c r="M27" i="1" s="1"/>
  <c r="N27" i="1" s="1"/>
  <c r="D23" i="1"/>
  <c r="J23" i="1" s="1"/>
  <c r="M23" i="1" s="1"/>
  <c r="N23" i="1" s="1"/>
  <c r="D9" i="1"/>
  <c r="J9" i="1" s="1"/>
  <c r="M9" i="1" s="1"/>
  <c r="N9" i="1" s="1"/>
  <c r="D8" i="1"/>
  <c r="J8" i="1" s="1"/>
  <c r="D56" i="1"/>
  <c r="J56" i="1" s="1"/>
  <c r="M56" i="1" s="1"/>
  <c r="N56" i="1" s="1"/>
  <c r="D42" i="1"/>
  <c r="J42" i="1" s="1"/>
  <c r="M42" i="1" s="1"/>
  <c r="N42" i="1" s="1"/>
  <c r="D38" i="1"/>
  <c r="J38" i="1" s="1"/>
  <c r="M38" i="1" s="1"/>
  <c r="N38" i="1" s="1"/>
  <c r="D34" i="1"/>
  <c r="J34" i="1" s="1"/>
  <c r="M34" i="1" s="1"/>
  <c r="N34" i="1" s="1"/>
  <c r="D30" i="1"/>
  <c r="J30" i="1" s="1"/>
  <c r="M30" i="1" s="1"/>
  <c r="N30" i="1" s="1"/>
  <c r="D26" i="1"/>
  <c r="J26" i="1" s="1"/>
  <c r="M26" i="1" s="1"/>
  <c r="N26" i="1" s="1"/>
  <c r="D22" i="1"/>
  <c r="J22" i="1" s="1"/>
  <c r="M22" i="1" s="1"/>
  <c r="N22" i="1" s="1"/>
  <c r="D20" i="1"/>
  <c r="J20" i="1" s="1"/>
  <c r="M20" i="1" s="1"/>
  <c r="N20" i="1" s="1"/>
  <c r="D18" i="1"/>
  <c r="J18" i="1" s="1"/>
  <c r="M18" i="1" s="1"/>
  <c r="N18" i="1" s="1"/>
  <c r="D16" i="1"/>
  <c r="J16" i="1" s="1"/>
  <c r="M16" i="1" s="1"/>
  <c r="N16" i="1" s="1"/>
  <c r="D14" i="1"/>
  <c r="J14" i="1" s="1"/>
  <c r="M14" i="1" s="1"/>
  <c r="N14" i="1" s="1"/>
  <c r="D59" i="1"/>
  <c r="J59" i="1" s="1"/>
  <c r="M59" i="1" s="1"/>
  <c r="N59" i="1" s="1"/>
  <c r="D55" i="1"/>
  <c r="J55" i="1" s="1"/>
  <c r="M55" i="1" s="1"/>
  <c r="N55" i="1" s="1"/>
  <c r="D52" i="1"/>
  <c r="J52" i="1" s="1"/>
  <c r="M52" i="1" s="1"/>
  <c r="N52" i="1" s="1"/>
  <c r="D50" i="1"/>
  <c r="J50" i="1" s="1"/>
  <c r="M50" i="1" s="1"/>
  <c r="N50" i="1" s="1"/>
  <c r="D41" i="1"/>
  <c r="J41" i="1" s="1"/>
  <c r="M41" i="1" s="1"/>
  <c r="N41" i="1" s="1"/>
  <c r="D37" i="1"/>
  <c r="J37" i="1" s="1"/>
  <c r="M37" i="1" s="1"/>
  <c r="N37" i="1" s="1"/>
  <c r="D33" i="1"/>
  <c r="J33" i="1" s="1"/>
  <c r="M33" i="1" s="1"/>
  <c r="N33" i="1" s="1"/>
  <c r="D29" i="1"/>
  <c r="J29" i="1" s="1"/>
  <c r="M29" i="1" s="1"/>
  <c r="N29" i="1" s="1"/>
  <c r="D25" i="1"/>
  <c r="J25" i="1" s="1"/>
  <c r="M25" i="1" s="1"/>
  <c r="N25" i="1" s="1"/>
  <c r="D12" i="1"/>
  <c r="J12" i="1" s="1"/>
  <c r="M12" i="1" s="1"/>
  <c r="N12" i="1" s="1"/>
  <c r="D11" i="1"/>
  <c r="J11" i="1" s="1"/>
  <c r="M11" i="1" s="1"/>
  <c r="N11" i="1" s="1"/>
  <c r="M8" i="1" l="1"/>
  <c r="J7" i="1"/>
  <c r="D7" i="1" l="1"/>
  <c r="J2" i="1" s="1"/>
  <c r="M7" i="1"/>
  <c r="N8" i="1"/>
  <c r="N7" i="1" l="1"/>
  <c r="M2" i="1"/>
</calcChain>
</file>

<file path=xl/sharedStrings.xml><?xml version="1.0" encoding="utf-8"?>
<sst xmlns="http://schemas.openxmlformats.org/spreadsheetml/2006/main" count="211" uniqueCount="168">
  <si>
    <t xml:space="preserve">Assumed CDS-A </t>
  </si>
  <si>
    <t>Related Rx Inf. Of</t>
  </si>
  <si>
    <t>Hosp ID</t>
  </si>
  <si>
    <t>Hosp ID 2</t>
  </si>
  <si>
    <t>Hosp Name</t>
  </si>
  <si>
    <t>FY2020 Inf Proj</t>
  </si>
  <si>
    <t>FY19 Final GBR</t>
  </si>
  <si>
    <t>FY19 Reversed</t>
  </si>
  <si>
    <t>Special Adjustment</t>
  </si>
  <si>
    <t>Special Adjustment Reason</t>
  </si>
  <si>
    <t>FY20 Permanent GBR B4 Update</t>
  </si>
  <si>
    <t>FY2020 Inf Amt</t>
  </si>
  <si>
    <t>FY2020 Rx Est Inf Amt</t>
  </si>
  <si>
    <t>Rx Inf</t>
  </si>
  <si>
    <t>Total Inf</t>
  </si>
  <si>
    <t>ü</t>
  </si>
  <si>
    <t>Meritus Medical Center</t>
  </si>
  <si>
    <t>University of Maryland Medical Center</t>
  </si>
  <si>
    <t>Add' One-Time Reversal For 340B Moved From hosp 49 and 63</t>
  </si>
  <si>
    <t>Prince Georges Hospital Center</t>
  </si>
  <si>
    <t>Add' One-Time Reversal For Rev Moved From Laurel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</si>
  <si>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</si>
  <si>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</si>
  <si>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</si>
  <si>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</si>
  <si>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</si>
  <si>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</si>
  <si>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</si>
  <si>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</si>
  <si>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</si>
  <si>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</si>
  <si>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</si>
  <si>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</si>
  <si>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</si>
  <si>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</si>
  <si>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</si>
  <si>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</si>
  <si>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</si>
  <si>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</si>
  <si>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</si>
  <si>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</si>
  <si>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</si>
  <si>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</si>
  <si>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</si>
  <si>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</si>
  <si>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</si>
  <si>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</si>
  <si>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</si>
  <si>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</si>
  <si>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</si>
  <si>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</si>
  <si>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</si>
  <si>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</si>
  <si>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</si>
  <si>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</si>
  <si>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Reducing One-Time Reversal For 340B Moved To Hosp 2 As It Will Be Applied in Hosp 2</t>
  </si>
  <si>
    <t>Doctors Community Hospital</t>
  </si>
  <si>
    <t>Laurel Regional Hospital</t>
  </si>
  <si>
    <t>MedStar Good Samaritan Hospital</t>
  </si>
  <si>
    <t>Shady Grove Adventist Hospital</t>
  </si>
  <si>
    <t>add' permanent for combining hosp 4013 and 5050 GBR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</si>
  <si>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</si>
  <si>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</si>
  <si>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</si>
  <si>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</si>
  <si>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</si>
  <si>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</si>
  <si>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</si>
  <si>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</si>
  <si>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</si>
  <si>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</si>
  <si>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</si>
  <si>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Hosp</t>
  </si>
  <si>
    <t>Desc</t>
  </si>
  <si>
    <t>Amt</t>
  </si>
  <si>
    <t>Move</t>
  </si>
  <si>
    <t>&lt;&lt;0624 rate order</t>
  </si>
  <si>
    <t>Original GBR</t>
  </si>
  <si>
    <t>Original One-Time</t>
  </si>
  <si>
    <t>Adj Permanent</t>
  </si>
  <si>
    <t>Permanent Adjustment for Moving Service To PG From Laurel</t>
  </si>
  <si>
    <t>Adj One-Time</t>
  </si>
  <si>
    <t>One-Time Adjustment for Moving Service To PG From Laurel</t>
  </si>
  <si>
    <t>Outside of GBR</t>
  </si>
  <si>
    <t>For Laurel's centers that are new in PG</t>
  </si>
  <si>
    <t>&lt;&lt;Add' One-Time need to take out of FY19 final GBR</t>
  </si>
  <si>
    <t>&lt;&lt;0508 rate order</t>
  </si>
  <si>
    <t>Move to hosp 2</t>
  </si>
  <si>
    <t>Move to hosp 2 One-Time</t>
  </si>
  <si>
    <t>&lt;&lt;need to add back to reduce the one-time adjustment reversal from FY19</t>
  </si>
  <si>
    <t>&lt;&lt;0507 rate order</t>
  </si>
  <si>
    <t>Move to hosp 2 GBR</t>
  </si>
  <si>
    <t>merge with 5050</t>
  </si>
  <si>
    <t>4013 FY19 permanent</t>
  </si>
  <si>
    <t>4013 FY19 one-time</t>
  </si>
  <si>
    <t>in 5050 rate total</t>
  </si>
  <si>
    <t>in 5050 rate one time</t>
  </si>
  <si>
    <t>in 5050 rate perm</t>
  </si>
  <si>
    <t>need permanent</t>
  </si>
  <si>
    <t>net of onetime</t>
  </si>
  <si>
    <t>340B rev moved from 49 and 63</t>
  </si>
  <si>
    <t>&lt;difference from 49 and 63 above due to timing issue</t>
  </si>
  <si>
    <t>Health Services Cost Review Commission</t>
  </si>
  <si>
    <t>2018/2017 CDS-A Audit</t>
  </si>
  <si>
    <t>As Of 06/27/2019</t>
  </si>
  <si>
    <t>80 % Drug cost from CDS-A</t>
  </si>
  <si>
    <t>With Satellites</t>
  </si>
  <si>
    <t>As</t>
  </si>
  <si>
    <t xml:space="preserve">Measured </t>
  </si>
  <si>
    <t>Drug</t>
  </si>
  <si>
    <t>#</t>
  </si>
  <si>
    <t>Hospital</t>
  </si>
  <si>
    <t>Consolidated</t>
  </si>
  <si>
    <t>At…</t>
  </si>
  <si>
    <t>Inflation</t>
  </si>
  <si>
    <t>Meritus</t>
  </si>
  <si>
    <t>340B</t>
  </si>
  <si>
    <t>Drug cost inflation will receive markup</t>
  </si>
  <si>
    <t>UM UMMC</t>
  </si>
  <si>
    <t>UM Prince George's</t>
  </si>
  <si>
    <t>The remainder of drug inflation will be included with the overall inflation allowance.</t>
  </si>
  <si>
    <t>Holy Cross</t>
  </si>
  <si>
    <t>Frederick</t>
  </si>
  <si>
    <t>UM Harford</t>
  </si>
  <si>
    <t>ASP</t>
  </si>
  <si>
    <t>Johns Hopkins</t>
  </si>
  <si>
    <t>UM Dorchester</t>
  </si>
  <si>
    <t>St. Agnes</t>
  </si>
  <si>
    <t>Sinai</t>
  </si>
  <si>
    <t>Sinai - Kalhert, Carroll</t>
  </si>
  <si>
    <t>Bon Secours</t>
  </si>
  <si>
    <t>MedStar Franklin Square</t>
  </si>
  <si>
    <t>Washington Adventist</t>
  </si>
  <si>
    <t>Garrett County</t>
  </si>
  <si>
    <t>MedStar Montgomery</t>
  </si>
  <si>
    <t>Peninsula Regional</t>
  </si>
  <si>
    <t>Suburban</t>
  </si>
  <si>
    <t>MedStar Union Memorial</t>
  </si>
  <si>
    <t>Western Maryland</t>
  </si>
  <si>
    <t>mixed</t>
  </si>
  <si>
    <t>MedStar St. Mary's</t>
  </si>
  <si>
    <t>JH Bayview Medical Center</t>
  </si>
  <si>
    <t>UM Chestertown</t>
  </si>
  <si>
    <t>Union Hospital of Cecil</t>
  </si>
  <si>
    <t>MedStar Harbor</t>
  </si>
  <si>
    <t>UM Charles Regional</t>
  </si>
  <si>
    <t>UM Easton &amp; Queen Anne's</t>
  </si>
  <si>
    <t>UM Midtown</t>
  </si>
  <si>
    <t>Calvert</t>
  </si>
  <si>
    <t>Northwest Hospital</t>
  </si>
  <si>
    <t>UM Balt Wash Medical Center</t>
  </si>
  <si>
    <t>GBMC</t>
  </si>
  <si>
    <t>McCready</t>
  </si>
  <si>
    <t>Howard County General</t>
  </si>
  <si>
    <t>UM Upper Chesapeake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</si>
  <si>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</si>
  <si>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</si>
  <si>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</si>
  <si>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</si>
  <si>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</si>
  <si>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</si>
  <si>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</si>
  <si>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</si>
  <si>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</si>
  <si>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Totals</t>
  </si>
  <si>
    <t>*Estimate based on regulation filing</t>
  </si>
  <si>
    <t>State wide</t>
  </si>
  <si>
    <t>Approved FY20 Update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</si>
</sst>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000000%"/>
    <numFmt numFmtId="165" formatCode="0.0000%"/>
  </numFmts>
  <fonts count="8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8"/>
      <color theme="1"/>
      <name val="Wingdings"/>
      <charset val="2"/>
    </font>
    <font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2" borderId="0" xfId="0" applyNumberFormat="1" applyFill="1"/>
    <xf numFmtId="9" fontId="0" fillId="2" borderId="0" xfId="0" applyNumberFormat="1" applyFill="1" applyAlignment="1">
      <alignment horizontal="center"/>
    </xf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10" fontId="4" fillId="0" borderId="0" xfId="0" applyNumberFormat="1" applyFont="1"/>
    <xf numFmtId="6" fontId="0" fillId="0" borderId="0" xfId="0" applyNumberFormat="1"/>
    <xf numFmtId="8" fontId="0" fillId="0" borderId="0" xfId="0" applyNumberFormat="1"/>
    <xf numFmtId="6" fontId="0" fillId="2" borderId="0" xfId="0" applyNumberFormat="1" applyFill="1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/>
    <xf numFmtId="9" fontId="5" fillId="0" borderId="0" xfId="1" applyNumberFormat="1" applyAlignment="1">
      <alignment horizontal="center"/>
    </xf>
    <xf numFmtId="0" fontId="7" fillId="0" borderId="0" xfId="1" applyFont="1" applyAlignment="1">
      <alignment horizontal="center"/>
    </xf>
    <xf numFmtId="5" fontId="5" fillId="0" borderId="0" xfId="1" applyNumberFormat="1" applyAlignment="1">
      <alignment horizontal="center"/>
    </xf>
    <xf numFmtId="5" fontId="5" fillId="0" borderId="0" xfId="1" applyNumberFormat="1"/>
    <xf numFmtId="7" fontId="5" fillId="0" borderId="0" xfId="1" applyNumberFormat="1"/>
    <xf numFmtId="5" fontId="5" fillId="0" borderId="1" xfId="1" applyNumberFormat="1" applyBorder="1" applyAlignment="1">
      <alignment horizontal="right"/>
    </xf>
    <xf numFmtId="5" fontId="5" fillId="0" borderId="1" xfId="1" applyNumberFormat="1" applyBorder="1"/>
    <xf numFmtId="165" fontId="0" fillId="0" borderId="0" xfId="0" applyNumberFormat="1"/>
    <xf numFmtId="10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8" sqref="K8"/>
    </sheetView>
  </sheetViews>
  <sheetFormatPr defaultRowHeight="14" x14ac:dyDescent="0.3"/>
  <cols>
    <col min="2" max="2" width="8.7265625" customWidth="1"/>
    <col min="3" max="3" width="49.7265625" customWidth="1"/>
    <col min="5" max="5" width="15.90625" bestFit="1" customWidth="1"/>
    <col min="6" max="7" width="15.90625" customWidth="1"/>
    <col min="8" max="8" width="18" customWidth="1"/>
    <col min="9" max="9" width="17.6328125" customWidth="1"/>
    <col min="10" max="10" width="14.81640625" customWidth="1"/>
    <col min="11" max="11" width="17.1796875" customWidth="1"/>
    <col min="12" max="12" width="6.6328125" bestFit="1" customWidth="1"/>
    <col min="13" max="13" width="14" bestFit="1" customWidth="1"/>
    <col min="14" max="14" width="11" bestFit="1" customWidth="1"/>
    <col min="16" max="16" width="13.90625" bestFit="1" customWidth="1"/>
    <col min="17" max="17" width="11" bestFit="1" customWidth="1"/>
    <col min="18" max="18" width="16.453125" bestFit="1" customWidth="1"/>
    <col min="19" max="19" width="11.453125" bestFit="1" customWidth="1"/>
  </cols>
  <sheetData>
    <row r="2" spans="1:19" x14ac:dyDescent="0.3">
      <c r="J2" s="28">
        <f>J7/I7-D7</f>
        <v>0</v>
      </c>
      <c r="K2" s="15">
        <f>K7-'High Cost Drug Inf Prj'!E56</f>
        <v>0</v>
      </c>
      <c r="M2" s="28">
        <f>M7/I7-D4</f>
        <v>0</v>
      </c>
      <c r="N2" s="2"/>
    </row>
    <row r="3" spans="1:19" x14ac:dyDescent="0.3">
      <c r="K3" t="s">
        <v>0</v>
      </c>
      <c r="M3" s="1"/>
      <c r="N3" s="2"/>
    </row>
    <row r="4" spans="1:19" x14ac:dyDescent="0.3">
      <c r="C4" s="3" t="s">
        <v>167</v>
      </c>
      <c r="D4" s="29">
        <v>2.9600000000000001E-2</v>
      </c>
      <c r="K4" t="s">
        <v>1</v>
      </c>
    </row>
    <row r="5" spans="1:19" x14ac:dyDescent="0.3">
      <c r="D5" s="5">
        <f>D4-L7</f>
        <v>2.792162307735617E-2</v>
      </c>
      <c r="E5" s="4"/>
      <c r="K5" s="6">
        <v>0.1</v>
      </c>
      <c r="L5" s="7"/>
    </row>
    <row r="6" spans="1:19" s="8" customFormat="1" ht="29.5" x14ac:dyDescent="0.45">
      <c r="A6" s="8" t="s">
        <v>2</v>
      </c>
      <c r="B6" s="8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10" t="s">
        <v>15</v>
      </c>
    </row>
    <row r="7" spans="1:19" x14ac:dyDescent="0.3">
      <c r="A7" s="11">
        <v>999</v>
      </c>
      <c r="B7" s="11"/>
      <c r="C7" s="11" t="s">
        <v>166</v>
      </c>
      <c r="D7" s="12">
        <f>J7/I7</f>
        <v>2.7921623077356177E-2</v>
      </c>
      <c r="E7" s="13">
        <f>SUM(E8:E59)</f>
        <v>17487828803.381893</v>
      </c>
      <c r="F7" s="13">
        <f>SUM(F8:F59)</f>
        <v>-498382766.86935115</v>
      </c>
      <c r="G7" s="13">
        <f>SUM(G8:G59)</f>
        <v>3579390.3746445533</v>
      </c>
      <c r="H7" s="13"/>
      <c r="I7" s="13">
        <f t="shared" ref="I7:M7" si="0">SUM(I8:I59)</f>
        <v>16993025426.887188</v>
      </c>
      <c r="J7" s="13">
        <f t="shared" si="0"/>
        <v>474472850.91347361</v>
      </c>
      <c r="K7" s="13">
        <f>SUM(K8:K59)</f>
        <v>28520701.72238728</v>
      </c>
      <c r="L7" s="12">
        <f t="shared" ref="L7:L38" si="1">K7/I7</f>
        <v>1.6783769226438303E-3</v>
      </c>
      <c r="M7" s="13">
        <f t="shared" si="0"/>
        <v>502993552.6358608</v>
      </c>
      <c r="N7" s="14">
        <f t="shared" ref="N7:N38" si="2">M7/I7</f>
        <v>2.9600000000000001E-2</v>
      </c>
    </row>
    <row r="8" spans="1:19" x14ac:dyDescent="0.3">
      <c r="A8">
        <v>1</v>
      </c>
      <c r="B8">
        <f>A8</f>
        <v>1</v>
      </c>
      <c r="C8" t="s">
        <v>16</v>
      </c>
      <c r="D8" s="1">
        <f>$D$5</f>
        <v>2.792162307735617E-2</v>
      </c>
      <c r="E8" s="15">
        <v>370256623.66960847</v>
      </c>
      <c r="F8" s="15">
        <v>-7888080.4821751434</v>
      </c>
      <c r="G8" s="15"/>
      <c r="H8" s="15"/>
      <c r="I8" s="15">
        <f>SUM(E8:G8)</f>
        <v>362368543.1874333</v>
      </c>
      <c r="J8" s="15">
        <f>I8*D8</f>
        <v>10117917.877970174</v>
      </c>
      <c r="K8" s="15">
        <f>SUMIFS('High Cost Drug Inf Prj'!E:E,'High Cost Drug Inf Prj'!A:A,B8)</f>
        <v>879105.92400000012</v>
      </c>
      <c r="L8" s="1">
        <f t="shared" si="1"/>
        <v>2.4259995535685528E-3</v>
      </c>
      <c r="M8" s="15">
        <f t="shared" ref="M8:M39" si="3">J8+K8</f>
        <v>10997023.801970175</v>
      </c>
      <c r="N8" s="1">
        <f t="shared" si="2"/>
        <v>3.0347622630924727E-2</v>
      </c>
      <c r="P8" s="15"/>
      <c r="Q8" s="15"/>
      <c r="R8" s="16"/>
      <c r="S8" s="16"/>
    </row>
    <row r="9" spans="1:19" x14ac:dyDescent="0.3">
      <c r="A9">
        <v>2</v>
      </c>
      <c r="B9">
        <f t="shared" ref="B9:B59" si="4">A9</f>
        <v>2</v>
      </c>
      <c r="C9" t="s">
        <v>17</v>
      </c>
      <c r="D9" s="1">
        <f t="shared" ref="D9:D59" si="5">$D$5</f>
        <v>2.792162307735617E-2</v>
      </c>
      <c r="E9" s="15">
        <v>1557358104.5824642</v>
      </c>
      <c r="F9" s="15">
        <v>-39621890.021371201</v>
      </c>
      <c r="G9" s="15">
        <f>-G44-G53</f>
        <v>-2574852.0722647095</v>
      </c>
      <c r="H9" s="15" t="s">
        <v>18</v>
      </c>
      <c r="I9" s="15">
        <f t="shared" ref="I9:I59" si="6">SUM(E9:G9)</f>
        <v>1515161362.4888284</v>
      </c>
      <c r="J9" s="15">
        <f t="shared" ref="J9:J59" si="7">I9*D9</f>
        <v>42305764.464786485</v>
      </c>
      <c r="K9" s="15">
        <f>SUMIFS('High Cost Drug Inf Prj'!E:E,'High Cost Drug Inf Prj'!A:A,B9)</f>
        <v>4434422.9000000004</v>
      </c>
      <c r="L9" s="1">
        <f t="shared" si="1"/>
        <v>2.9267000926660024E-3</v>
      </c>
      <c r="M9" s="15">
        <f t="shared" si="3"/>
        <v>46740187.364786483</v>
      </c>
      <c r="N9" s="1">
        <f t="shared" si="2"/>
        <v>3.0848323170022167E-2</v>
      </c>
      <c r="P9" s="15"/>
      <c r="Q9" s="15"/>
      <c r="R9" s="16"/>
      <c r="S9" s="16"/>
    </row>
    <row r="10" spans="1:19" x14ac:dyDescent="0.3">
      <c r="A10">
        <v>3</v>
      </c>
      <c r="B10">
        <f t="shared" si="4"/>
        <v>3</v>
      </c>
      <c r="C10" t="s">
        <v>19</v>
      </c>
      <c r="D10" s="1">
        <f t="shared" si="5"/>
        <v>2.792162307735617E-2</v>
      </c>
      <c r="E10" s="15">
        <v>353953426.87349421</v>
      </c>
      <c r="F10" s="15">
        <v>-5601219.4646606725</v>
      </c>
      <c r="G10" s="15">
        <f>-'Special Adj Support'!C8</f>
        <v>-222238.62614046736</v>
      </c>
      <c r="H10" s="15" t="s">
        <v>20</v>
      </c>
      <c r="I10" s="15">
        <f t="shared" si="6"/>
        <v>348129968.78269309</v>
      </c>
      <c r="J10" s="15">
        <f t="shared" si="7"/>
        <v>9720353.770282127</v>
      </c>
      <c r="K10" s="15">
        <f>SUMIFS('High Cost Drug Inf Prj'!E:E,'High Cost Drug Inf Prj'!A:A,B10)</f>
        <v>0</v>
      </c>
      <c r="L10" s="1">
        <f t="shared" si="1"/>
        <v>0</v>
      </c>
      <c r="M10" s="15">
        <f t="shared" si="3"/>
        <v>9720353.770282127</v>
      </c>
      <c r="N10" s="1">
        <f t="shared" si="2"/>
        <v>2.7921623077356173E-2</v>
      </c>
      <c r="P10" s="15"/>
      <c r="Q10" s="15"/>
      <c r="R10" s="16"/>
      <c r="S10" s="16"/>
    </row>
    <row r="11" spans="1:19" x14ac:dyDescent="0.3">
      <c r="A11">
        <v>4</v>
      </c>
      <c r="B11">
        <f t="shared" si="4"/>
        <v>4</v>
      </c>
      <c r="C11" t="s">
        <v>21</v>
      </c>
      <c r="D11" s="1">
        <f t="shared" si="5"/>
        <v>2.792162307735617E-2</v>
      </c>
      <c r="E11" s="15">
        <v>512842111.19585931</v>
      </c>
      <c r="F11" s="15">
        <v>-12182554.94570023</v>
      </c>
      <c r="G11" s="15"/>
      <c r="H11" s="15"/>
      <c r="I11" s="15">
        <f t="shared" si="6"/>
        <v>500659556.25015908</v>
      </c>
      <c r="J11" s="15">
        <f t="shared" si="7"/>
        <v>13979227.419693341</v>
      </c>
      <c r="K11" s="15">
        <f>SUMIFS('High Cost Drug Inf Prj'!E:E,'High Cost Drug Inf Prj'!A:A,B11)</f>
        <v>78866.600000000006</v>
      </c>
      <c r="L11" s="1">
        <f t="shared" si="1"/>
        <v>1.575254062674749E-4</v>
      </c>
      <c r="M11" s="15">
        <f t="shared" si="3"/>
        <v>14058094.019693341</v>
      </c>
      <c r="N11" s="1">
        <f t="shared" si="2"/>
        <v>2.8079148483623643E-2</v>
      </c>
      <c r="P11" s="15"/>
      <c r="Q11" s="15"/>
      <c r="R11" s="16"/>
      <c r="S11" s="16"/>
    </row>
    <row r="12" spans="1:19" x14ac:dyDescent="0.3">
      <c r="A12">
        <v>5</v>
      </c>
      <c r="B12">
        <f t="shared" si="4"/>
        <v>5</v>
      </c>
      <c r="C12" t="s">
        <v>22</v>
      </c>
      <c r="D12" s="1">
        <f t="shared" si="5"/>
        <v>2.792162307735617E-2</v>
      </c>
      <c r="E12" s="15">
        <v>354281013.4094342</v>
      </c>
      <c r="F12" s="15">
        <v>-9123832.3597964626</v>
      </c>
      <c r="G12" s="15"/>
      <c r="H12" s="15"/>
      <c r="I12" s="15">
        <f t="shared" si="6"/>
        <v>345157181.04963773</v>
      </c>
      <c r="J12" s="15">
        <f t="shared" si="7"/>
        <v>9637348.711710766</v>
      </c>
      <c r="K12" s="15">
        <f>SUMIFS('High Cost Drug Inf Prj'!E:E,'High Cost Drug Inf Prj'!A:A,B12)</f>
        <v>0</v>
      </c>
      <c r="L12" s="1">
        <f t="shared" si="1"/>
        <v>0</v>
      </c>
      <c r="M12" s="15">
        <f t="shared" si="3"/>
        <v>9637348.711710766</v>
      </c>
      <c r="N12" s="1">
        <f t="shared" si="2"/>
        <v>2.7921623077356166E-2</v>
      </c>
      <c r="P12" s="15"/>
      <c r="Q12" s="15"/>
      <c r="R12" s="16"/>
      <c r="S12" s="16"/>
    </row>
    <row r="13" spans="1:19" x14ac:dyDescent="0.3">
      <c r="A13">
        <v>6</v>
      </c>
      <c r="B13">
        <f t="shared" si="4"/>
        <v>6</v>
      </c>
      <c r="C13" t="s">
        <v>23</v>
      </c>
      <c r="D13" s="1">
        <f t="shared" si="5"/>
        <v>2.792162307735617E-2</v>
      </c>
      <c r="E13" s="15">
        <v>108576350.35068998</v>
      </c>
      <c r="F13" s="15">
        <v>-3662421.0082883914</v>
      </c>
      <c r="G13" s="15"/>
      <c r="H13" s="15"/>
      <c r="I13" s="15">
        <f t="shared" si="6"/>
        <v>104913929.34240158</v>
      </c>
      <c r="J13" s="15">
        <f t="shared" si="7"/>
        <v>2929367.1906629144</v>
      </c>
      <c r="K13" s="15">
        <f>SUMIFS('High Cost Drug Inf Prj'!E:E,'High Cost Drug Inf Prj'!A:A,B13)</f>
        <v>4313.3041700000003</v>
      </c>
      <c r="L13" s="1">
        <f t="shared" si="1"/>
        <v>4.1112788330736494E-5</v>
      </c>
      <c r="M13" s="15">
        <f t="shared" si="3"/>
        <v>2933680.4948329143</v>
      </c>
      <c r="N13" s="1">
        <f t="shared" si="2"/>
        <v>2.7962735865686903E-2</v>
      </c>
      <c r="P13" s="15"/>
      <c r="Q13" s="15"/>
      <c r="R13" s="16"/>
      <c r="S13" s="16"/>
    </row>
    <row r="14" spans="1:19" x14ac:dyDescent="0.3">
      <c r="A14">
        <v>8</v>
      </c>
      <c r="B14">
        <f t="shared" si="4"/>
        <v>8</v>
      </c>
      <c r="C14" t="s">
        <v>24</v>
      </c>
      <c r="D14" s="1">
        <f t="shared" si="5"/>
        <v>2.792162307735617E-2</v>
      </c>
      <c r="E14" s="15">
        <v>555862505.6769731</v>
      </c>
      <c r="F14" s="15">
        <v>-19316554.245315213</v>
      </c>
      <c r="G14" s="15"/>
      <c r="H14" s="15"/>
      <c r="I14" s="15">
        <f t="shared" si="6"/>
        <v>536545951.43165791</v>
      </c>
      <c r="J14" s="15">
        <f t="shared" si="7"/>
        <v>14981233.819556203</v>
      </c>
      <c r="K14" s="15">
        <f>SUMIFS('High Cost Drug Inf Prj'!E:E,'High Cost Drug Inf Prj'!A:A,B14)</f>
        <v>1156315.6000000001</v>
      </c>
      <c r="L14" s="1">
        <f t="shared" si="1"/>
        <v>2.1551101017808815E-3</v>
      </c>
      <c r="M14" s="15">
        <f t="shared" si="3"/>
        <v>16137549.419556202</v>
      </c>
      <c r="N14" s="1">
        <f t="shared" si="2"/>
        <v>3.007673317913705E-2</v>
      </c>
      <c r="P14" s="15"/>
      <c r="Q14" s="15"/>
      <c r="R14" s="16"/>
      <c r="S14" s="16"/>
    </row>
    <row r="15" spans="1:19" x14ac:dyDescent="0.3">
      <c r="A15">
        <v>9</v>
      </c>
      <c r="B15">
        <f t="shared" si="4"/>
        <v>9</v>
      </c>
      <c r="C15" t="s">
        <v>25</v>
      </c>
      <c r="D15" s="1">
        <f t="shared" si="5"/>
        <v>2.792162307735617E-2</v>
      </c>
      <c r="E15" s="15">
        <v>2476494742.0612183</v>
      </c>
      <c r="F15" s="15">
        <v>-55690409.796888351</v>
      </c>
      <c r="G15" s="15"/>
      <c r="H15" s="15"/>
      <c r="I15" s="15">
        <f t="shared" si="6"/>
        <v>2420804332.2643299</v>
      </c>
      <c r="J15" s="15">
        <f t="shared" si="7"/>
        <v>67592786.109515503</v>
      </c>
      <c r="K15" s="15">
        <f>SUMIFS('High Cost Drug Inf Prj'!E:E,'High Cost Drug Inf Prj'!A:A,B15)</f>
        <v>5559439.8000000007</v>
      </c>
      <c r="L15" s="1">
        <f t="shared" si="1"/>
        <v>2.2965258802225903E-3</v>
      </c>
      <c r="M15" s="15">
        <f t="shared" si="3"/>
        <v>73152225.9095155</v>
      </c>
      <c r="N15" s="1">
        <f t="shared" si="2"/>
        <v>3.0218148957578756E-2</v>
      </c>
      <c r="P15" s="15"/>
      <c r="Q15" s="15"/>
      <c r="R15" s="16"/>
      <c r="S15" s="16"/>
    </row>
    <row r="16" spans="1:19" x14ac:dyDescent="0.3">
      <c r="A16">
        <v>10</v>
      </c>
      <c r="B16">
        <f t="shared" si="4"/>
        <v>10</v>
      </c>
      <c r="C16" t="s">
        <v>26</v>
      </c>
      <c r="D16" s="1">
        <f t="shared" si="5"/>
        <v>2.792162307735617E-2</v>
      </c>
      <c r="E16" s="15">
        <v>48195994.166875802</v>
      </c>
      <c r="F16" s="15">
        <v>-1550969.929184777</v>
      </c>
      <c r="G16" s="15"/>
      <c r="H16" s="15"/>
      <c r="I16" s="15">
        <f t="shared" si="6"/>
        <v>46645024.237691022</v>
      </c>
      <c r="J16" s="15">
        <f t="shared" si="7"/>
        <v>1302404.7851989516</v>
      </c>
      <c r="K16" s="15">
        <f>SUMIFS('High Cost Drug Inf Prj'!E:E,'High Cost Drug Inf Prj'!A:A,B16)</f>
        <v>681.93000000000006</v>
      </c>
      <c r="L16" s="1">
        <f t="shared" si="1"/>
        <v>1.4619565776728094E-5</v>
      </c>
      <c r="M16" s="15">
        <f t="shared" si="3"/>
        <v>1303086.7151989515</v>
      </c>
      <c r="N16" s="1">
        <f t="shared" si="2"/>
        <v>2.7936242643132898E-2</v>
      </c>
      <c r="P16" s="15"/>
      <c r="Q16" s="15"/>
      <c r="R16" s="16"/>
      <c r="S16" s="16"/>
    </row>
    <row r="17" spans="1:19" x14ac:dyDescent="0.3">
      <c r="A17">
        <v>11</v>
      </c>
      <c r="B17">
        <f t="shared" si="4"/>
        <v>11</v>
      </c>
      <c r="C17" t="s">
        <v>27</v>
      </c>
      <c r="D17" s="1">
        <f t="shared" si="5"/>
        <v>2.792162307735617E-2</v>
      </c>
      <c r="E17" s="15">
        <v>430902898.65440989</v>
      </c>
      <c r="F17" s="15">
        <v>-15942394.490463167</v>
      </c>
      <c r="G17" s="15"/>
      <c r="H17" s="15"/>
      <c r="I17" s="15">
        <f t="shared" si="6"/>
        <v>414960504.16394675</v>
      </c>
      <c r="J17" s="15">
        <f t="shared" si="7"/>
        <v>11586370.789255407</v>
      </c>
      <c r="K17" s="15">
        <f>SUMIFS('High Cost Drug Inf Prj'!E:E,'High Cost Drug Inf Prj'!A:A,B17)</f>
        <v>438082.04856733029</v>
      </c>
      <c r="L17" s="1">
        <f t="shared" si="1"/>
        <v>1.0557198677256486E-3</v>
      </c>
      <c r="M17" s="15">
        <f t="shared" si="3"/>
        <v>12024452.837822737</v>
      </c>
      <c r="N17" s="1">
        <f t="shared" si="2"/>
        <v>2.8977342945081818E-2</v>
      </c>
      <c r="P17" s="15"/>
      <c r="Q17" s="15"/>
      <c r="R17" s="16"/>
      <c r="S17" s="16"/>
    </row>
    <row r="18" spans="1:19" x14ac:dyDescent="0.3">
      <c r="A18">
        <v>12</v>
      </c>
      <c r="B18">
        <f t="shared" si="4"/>
        <v>12</v>
      </c>
      <c r="C18" t="s">
        <v>28</v>
      </c>
      <c r="D18" s="1">
        <f t="shared" si="5"/>
        <v>2.792162307735617E-2</v>
      </c>
      <c r="E18" s="15">
        <v>789968926.99263585</v>
      </c>
      <c r="F18" s="15">
        <v>-25787930.848484367</v>
      </c>
      <c r="G18" s="15"/>
      <c r="H18" s="15"/>
      <c r="I18" s="15">
        <f t="shared" si="6"/>
        <v>764180996.14415145</v>
      </c>
      <c r="J18" s="15">
        <f t="shared" si="7"/>
        <v>21337173.737215564</v>
      </c>
      <c r="K18" s="15">
        <f>SUMIFS('High Cost Drug Inf Prj'!E:E,'High Cost Drug Inf Prj'!A:A,B18)</f>
        <v>1870155.3</v>
      </c>
      <c r="L18" s="1">
        <f t="shared" si="1"/>
        <v>2.447267479087144E-3</v>
      </c>
      <c r="M18" s="15">
        <f t="shared" si="3"/>
        <v>23207329.037215564</v>
      </c>
      <c r="N18" s="1">
        <f t="shared" si="2"/>
        <v>3.0368890556443314E-2</v>
      </c>
      <c r="P18" s="15"/>
      <c r="Q18" s="15"/>
      <c r="R18" s="16"/>
      <c r="S18" s="16"/>
    </row>
    <row r="19" spans="1:19" x14ac:dyDescent="0.3">
      <c r="A19">
        <v>13</v>
      </c>
      <c r="B19">
        <f t="shared" si="4"/>
        <v>13</v>
      </c>
      <c r="C19" t="s">
        <v>29</v>
      </c>
      <c r="D19" s="1">
        <f t="shared" si="5"/>
        <v>2.792162307735617E-2</v>
      </c>
      <c r="E19" s="15">
        <v>115481386.55906786</v>
      </c>
      <c r="F19" s="15">
        <v>-2696930.69587943</v>
      </c>
      <c r="G19" s="15"/>
      <c r="H19" s="15"/>
      <c r="I19" s="15">
        <f t="shared" si="6"/>
        <v>112784455.86318843</v>
      </c>
      <c r="J19" s="15">
        <f t="shared" si="7"/>
        <v>3149125.0655966606</v>
      </c>
      <c r="K19" s="15">
        <f>SUMIFS('High Cost Drug Inf Prj'!E:E,'High Cost Drug Inf Prj'!A:A,B19)</f>
        <v>0</v>
      </c>
      <c r="L19" s="1">
        <f t="shared" si="1"/>
        <v>0</v>
      </c>
      <c r="M19" s="15">
        <f t="shared" si="3"/>
        <v>3149125.0655966606</v>
      </c>
      <c r="N19" s="1">
        <f t="shared" si="2"/>
        <v>2.792162307735617E-2</v>
      </c>
      <c r="P19" s="15"/>
      <c r="Q19" s="15"/>
      <c r="R19" s="16"/>
      <c r="S19" s="16"/>
    </row>
    <row r="20" spans="1:19" x14ac:dyDescent="0.3">
      <c r="A20">
        <v>15</v>
      </c>
      <c r="B20">
        <f t="shared" si="4"/>
        <v>15</v>
      </c>
      <c r="C20" t="s">
        <v>30</v>
      </c>
      <c r="D20" s="1">
        <f t="shared" si="5"/>
        <v>2.792162307735617E-2</v>
      </c>
      <c r="E20" s="15">
        <v>555813121.98302567</v>
      </c>
      <c r="F20" s="15">
        <v>-9963942.7670284137</v>
      </c>
      <c r="G20" s="15"/>
      <c r="H20" s="15"/>
      <c r="I20" s="15">
        <f t="shared" si="6"/>
        <v>545849179.21599722</v>
      </c>
      <c r="J20" s="15">
        <f t="shared" si="7"/>
        <v>15240995.039153311</v>
      </c>
      <c r="K20" s="15">
        <f>SUMIFS('High Cost Drug Inf Prj'!E:E,'High Cost Drug Inf Prj'!A:A,B20)</f>
        <v>1566949.2000000002</v>
      </c>
      <c r="L20" s="1">
        <f t="shared" si="1"/>
        <v>2.8706632888055418E-3</v>
      </c>
      <c r="M20" s="15">
        <f t="shared" si="3"/>
        <v>16807944.239153311</v>
      </c>
      <c r="N20" s="1">
        <f t="shared" si="2"/>
        <v>3.0792286366161711E-2</v>
      </c>
      <c r="P20" s="15"/>
      <c r="Q20" s="15"/>
      <c r="R20" s="16"/>
      <c r="S20" s="16"/>
    </row>
    <row r="21" spans="1:19" x14ac:dyDescent="0.3">
      <c r="A21">
        <v>16</v>
      </c>
      <c r="B21">
        <f t="shared" si="4"/>
        <v>16</v>
      </c>
      <c r="C21" t="s">
        <v>31</v>
      </c>
      <c r="D21" s="1">
        <f t="shared" si="5"/>
        <v>2.792162307735617E-2</v>
      </c>
      <c r="E21" s="15">
        <v>288381042.61331457</v>
      </c>
      <c r="F21" s="15">
        <v>-12463433.810296541</v>
      </c>
      <c r="G21" s="15"/>
      <c r="H21" s="15"/>
      <c r="I21" s="15">
        <f t="shared" si="6"/>
        <v>275917608.80301803</v>
      </c>
      <c r="J21" s="15">
        <f t="shared" si="7"/>
        <v>7704067.4734032806</v>
      </c>
      <c r="K21" s="15">
        <f>SUMIFS('High Cost Drug Inf Prj'!E:E,'High Cost Drug Inf Prj'!A:A,B21)</f>
        <v>30121.800000000003</v>
      </c>
      <c r="L21" s="1">
        <f t="shared" si="1"/>
        <v>1.0916954568675041E-4</v>
      </c>
      <c r="M21" s="15">
        <f t="shared" si="3"/>
        <v>7734189.2734032804</v>
      </c>
      <c r="N21" s="1">
        <f t="shared" si="2"/>
        <v>2.8030792623042922E-2</v>
      </c>
      <c r="P21" s="15"/>
      <c r="Q21" s="15"/>
      <c r="R21" s="16"/>
      <c r="S21" s="16"/>
    </row>
    <row r="22" spans="1:19" x14ac:dyDescent="0.3">
      <c r="A22">
        <v>17</v>
      </c>
      <c r="B22">
        <f t="shared" si="4"/>
        <v>17</v>
      </c>
      <c r="C22" t="s">
        <v>32</v>
      </c>
      <c r="D22" s="1">
        <f t="shared" si="5"/>
        <v>2.792162307735617E-2</v>
      </c>
      <c r="E22" s="15">
        <v>63631807.065075956</v>
      </c>
      <c r="F22" s="15">
        <v>-2995454.8855918394</v>
      </c>
      <c r="G22" s="15"/>
      <c r="H22" s="15"/>
      <c r="I22" s="15">
        <f t="shared" si="6"/>
        <v>60636352.179484114</v>
      </c>
      <c r="J22" s="15">
        <f t="shared" si="7"/>
        <v>1693065.3703413797</v>
      </c>
      <c r="K22" s="15">
        <f>SUMIFS('High Cost Drug Inf Prj'!E:E,'High Cost Drug Inf Prj'!A:A,B22)</f>
        <v>143752.30000000002</v>
      </c>
      <c r="L22" s="1">
        <f t="shared" si="1"/>
        <v>2.3707280341418295E-3</v>
      </c>
      <c r="M22" s="15">
        <f t="shared" si="3"/>
        <v>1836817.6703413797</v>
      </c>
      <c r="N22" s="1">
        <f t="shared" si="2"/>
        <v>3.0292351111498E-2</v>
      </c>
      <c r="P22" s="15"/>
      <c r="Q22" s="15"/>
      <c r="R22" s="16"/>
      <c r="S22" s="16"/>
    </row>
    <row r="23" spans="1:19" x14ac:dyDescent="0.3">
      <c r="A23">
        <v>18</v>
      </c>
      <c r="B23">
        <f t="shared" si="4"/>
        <v>18</v>
      </c>
      <c r="C23" t="s">
        <v>33</v>
      </c>
      <c r="D23" s="1">
        <f t="shared" si="5"/>
        <v>2.792162307735617E-2</v>
      </c>
      <c r="E23" s="15">
        <v>179746972.67784318</v>
      </c>
      <c r="F23" s="15">
        <v>-3416994.0676946994</v>
      </c>
      <c r="G23" s="15"/>
      <c r="H23" s="15"/>
      <c r="I23" s="15">
        <f t="shared" si="6"/>
        <v>176329978.61014849</v>
      </c>
      <c r="J23" s="15">
        <f t="shared" si="7"/>
        <v>4923419.1999908416</v>
      </c>
      <c r="K23" s="15">
        <f>SUMIFS('High Cost Drug Inf Prj'!E:E,'High Cost Drug Inf Prj'!A:A,B23)</f>
        <v>523526.5</v>
      </c>
      <c r="L23" s="1">
        <f t="shared" si="1"/>
        <v>2.9690158424930981E-3</v>
      </c>
      <c r="M23" s="15">
        <f t="shared" si="3"/>
        <v>5446945.6999908416</v>
      </c>
      <c r="N23" s="1">
        <f t="shared" si="2"/>
        <v>3.0890638919849268E-2</v>
      </c>
      <c r="P23" s="15"/>
      <c r="Q23" s="15"/>
      <c r="R23" s="16"/>
      <c r="S23" s="16"/>
    </row>
    <row r="24" spans="1:19" x14ac:dyDescent="0.3">
      <c r="A24">
        <v>19</v>
      </c>
      <c r="B24">
        <f t="shared" si="4"/>
        <v>19</v>
      </c>
      <c r="C24" t="s">
        <v>34</v>
      </c>
      <c r="D24" s="1">
        <f t="shared" si="5"/>
        <v>2.792162307735617E-2</v>
      </c>
      <c r="E24" s="15">
        <v>455584862.33635592</v>
      </c>
      <c r="F24" s="15">
        <v>-15112125.673451537</v>
      </c>
      <c r="G24" s="15"/>
      <c r="H24" s="15"/>
      <c r="I24" s="15">
        <f t="shared" si="6"/>
        <v>440472736.66290438</v>
      </c>
      <c r="J24" s="15">
        <f t="shared" si="7"/>
        <v>12298713.728953177</v>
      </c>
      <c r="K24" s="15">
        <f>SUMIFS('High Cost Drug Inf Prj'!E:E,'High Cost Drug Inf Prj'!A:A,B24)</f>
        <v>805998.60699999996</v>
      </c>
      <c r="L24" s="1">
        <f t="shared" si="1"/>
        <v>1.829849023361539E-3</v>
      </c>
      <c r="M24" s="15">
        <f t="shared" si="3"/>
        <v>13104712.335953178</v>
      </c>
      <c r="N24" s="1">
        <f t="shared" si="2"/>
        <v>2.975147210071771E-2</v>
      </c>
      <c r="P24" s="15"/>
      <c r="Q24" s="15"/>
      <c r="R24" s="16"/>
      <c r="S24" s="16"/>
    </row>
    <row r="25" spans="1:19" x14ac:dyDescent="0.3">
      <c r="A25">
        <v>22</v>
      </c>
      <c r="B25">
        <f t="shared" si="4"/>
        <v>22</v>
      </c>
      <c r="C25" t="s">
        <v>35</v>
      </c>
      <c r="D25" s="1">
        <f t="shared" si="5"/>
        <v>2.792162307735617E-2</v>
      </c>
      <c r="E25" s="15">
        <v>335595509.62438625</v>
      </c>
      <c r="F25" s="15">
        <v>-10852100.464100158</v>
      </c>
      <c r="G25" s="15"/>
      <c r="H25" s="15"/>
      <c r="I25" s="15">
        <f t="shared" si="6"/>
        <v>324743409.16028607</v>
      </c>
      <c r="J25" s="15">
        <f t="shared" si="7"/>
        <v>9067363.0674291607</v>
      </c>
      <c r="K25" s="15">
        <f>SUMIFS('High Cost Drug Inf Prj'!E:E,'High Cost Drug Inf Prj'!A:A,B25)</f>
        <v>278407.90000000002</v>
      </c>
      <c r="L25" s="1">
        <f t="shared" si="1"/>
        <v>8.5731655253574101E-4</v>
      </c>
      <c r="M25" s="15">
        <f t="shared" si="3"/>
        <v>9345770.9674291611</v>
      </c>
      <c r="N25" s="1">
        <f t="shared" si="2"/>
        <v>2.8778939629891913E-2</v>
      </c>
      <c r="P25" s="15"/>
      <c r="Q25" s="15"/>
      <c r="R25" s="16"/>
      <c r="S25" s="16"/>
    </row>
    <row r="26" spans="1:19" x14ac:dyDescent="0.3">
      <c r="A26">
        <v>23</v>
      </c>
      <c r="B26">
        <f t="shared" si="4"/>
        <v>23</v>
      </c>
      <c r="C26" t="s">
        <v>36</v>
      </c>
      <c r="D26" s="1">
        <f t="shared" si="5"/>
        <v>2.792162307735617E-2</v>
      </c>
      <c r="E26" s="15">
        <v>639391539.80394161</v>
      </c>
      <c r="F26" s="15">
        <v>-22119171.102297422</v>
      </c>
      <c r="G26" s="15"/>
      <c r="H26" s="15"/>
      <c r="I26" s="15">
        <f t="shared" si="6"/>
        <v>617272368.70164418</v>
      </c>
      <c r="J26" s="15">
        <f t="shared" si="7"/>
        <v>17235246.414954133</v>
      </c>
      <c r="K26" s="15">
        <f>SUMIFS('High Cost Drug Inf Prj'!E:E,'High Cost Drug Inf Prj'!A:A,B26)</f>
        <v>3455548.8581999997</v>
      </c>
      <c r="L26" s="1">
        <f t="shared" si="1"/>
        <v>5.5980941856644548E-3</v>
      </c>
      <c r="M26" s="15">
        <f t="shared" si="3"/>
        <v>20690795.273154132</v>
      </c>
      <c r="N26" s="1">
        <f t="shared" si="2"/>
        <v>3.3519717263020624E-2</v>
      </c>
      <c r="P26" s="15"/>
      <c r="Q26" s="15"/>
      <c r="R26" s="16"/>
      <c r="S26" s="16"/>
    </row>
    <row r="27" spans="1:19" x14ac:dyDescent="0.3">
      <c r="A27">
        <v>24</v>
      </c>
      <c r="B27">
        <f t="shared" si="4"/>
        <v>24</v>
      </c>
      <c r="C27" t="s">
        <v>37</v>
      </c>
      <c r="D27" s="1">
        <f t="shared" si="5"/>
        <v>2.792162307735617E-2</v>
      </c>
      <c r="E27" s="15">
        <v>421807383.26169837</v>
      </c>
      <c r="F27" s="15">
        <v>-7619710.3549385527</v>
      </c>
      <c r="G27" s="15"/>
      <c r="H27" s="15"/>
      <c r="I27" s="15">
        <f t="shared" si="6"/>
        <v>414187672.9067598</v>
      </c>
      <c r="J27" s="15">
        <f t="shared" si="7"/>
        <v>11564792.086189833</v>
      </c>
      <c r="K27" s="15">
        <f>SUMIFS('High Cost Drug Inf Prj'!E:E,'High Cost Drug Inf Prj'!A:A,B27)</f>
        <v>0</v>
      </c>
      <c r="L27" s="1">
        <f t="shared" si="1"/>
        <v>0</v>
      </c>
      <c r="M27" s="15">
        <f t="shared" si="3"/>
        <v>11564792.086189833</v>
      </c>
      <c r="N27" s="1">
        <f t="shared" si="2"/>
        <v>2.792162307735617E-2</v>
      </c>
      <c r="P27" s="15"/>
      <c r="Q27" s="15"/>
      <c r="R27" s="16"/>
      <c r="S27" s="16"/>
    </row>
    <row r="28" spans="1:19" x14ac:dyDescent="0.3">
      <c r="A28">
        <v>27</v>
      </c>
      <c r="B28">
        <f t="shared" si="4"/>
        <v>27</v>
      </c>
      <c r="C28" t="s">
        <v>38</v>
      </c>
      <c r="D28" s="1">
        <f t="shared" si="5"/>
        <v>2.792162307735617E-2</v>
      </c>
      <c r="E28" s="15">
        <v>336930418.85012084</v>
      </c>
      <c r="F28" s="15">
        <v>-11516363.358185146</v>
      </c>
      <c r="G28" s="15"/>
      <c r="H28" s="15"/>
      <c r="I28" s="15">
        <f t="shared" si="6"/>
        <v>325414055.49193567</v>
      </c>
      <c r="J28" s="15">
        <f t="shared" si="7"/>
        <v>9086088.6015196927</v>
      </c>
      <c r="K28" s="15">
        <f>SUMIFS('High Cost Drug Inf Prj'!E:E,'High Cost Drug Inf Prj'!A:A,B28)</f>
        <v>1177632.3</v>
      </c>
      <c r="L28" s="1">
        <f t="shared" si="1"/>
        <v>3.6188734940159457E-3</v>
      </c>
      <c r="M28" s="15">
        <f t="shared" si="3"/>
        <v>10263720.901519693</v>
      </c>
      <c r="N28" s="1">
        <f t="shared" si="2"/>
        <v>3.1540496571372117E-2</v>
      </c>
      <c r="P28" s="15"/>
      <c r="Q28" s="15"/>
      <c r="R28" s="16"/>
      <c r="S28" s="16"/>
    </row>
    <row r="29" spans="1:19" x14ac:dyDescent="0.3">
      <c r="A29">
        <v>28</v>
      </c>
      <c r="B29">
        <f t="shared" si="4"/>
        <v>28</v>
      </c>
      <c r="C29" t="s">
        <v>39</v>
      </c>
      <c r="D29" s="1">
        <f t="shared" si="5"/>
        <v>2.792162307735617E-2</v>
      </c>
      <c r="E29" s="15">
        <v>190693442.57190368</v>
      </c>
      <c r="F29" s="15">
        <v>-5403818.4690508591</v>
      </c>
      <c r="G29" s="15"/>
      <c r="H29" s="15"/>
      <c r="I29" s="15">
        <f t="shared" si="6"/>
        <v>185289624.10285282</v>
      </c>
      <c r="J29" s="15">
        <f t="shared" si="7"/>
        <v>5173587.0443448657</v>
      </c>
      <c r="K29" s="15">
        <f>SUMIFS('High Cost Drug Inf Prj'!E:E,'High Cost Drug Inf Prj'!A:A,B29)</f>
        <v>583653</v>
      </c>
      <c r="L29" s="1">
        <f t="shared" si="1"/>
        <v>3.1499497223655588E-3</v>
      </c>
      <c r="M29" s="15">
        <f t="shared" si="3"/>
        <v>5757240.0443448657</v>
      </c>
      <c r="N29" s="1">
        <f t="shared" si="2"/>
        <v>3.1071572799721732E-2</v>
      </c>
      <c r="P29" s="15"/>
      <c r="Q29" s="15"/>
      <c r="R29" s="16"/>
      <c r="S29" s="16"/>
    </row>
    <row r="30" spans="1:19" x14ac:dyDescent="0.3">
      <c r="A30">
        <v>29</v>
      </c>
      <c r="B30">
        <f t="shared" si="4"/>
        <v>29</v>
      </c>
      <c r="C30" t="s">
        <v>40</v>
      </c>
      <c r="D30" s="1">
        <f t="shared" si="5"/>
        <v>2.792162307735617E-2</v>
      </c>
      <c r="E30" s="15">
        <v>691656048.63525975</v>
      </c>
      <c r="F30" s="15">
        <v>-19940904.887172475</v>
      </c>
      <c r="G30" s="15"/>
      <c r="H30" s="15"/>
      <c r="I30" s="15">
        <f t="shared" si="6"/>
        <v>671715143.74808729</v>
      </c>
      <c r="J30" s="15">
        <f t="shared" si="7"/>
        <v>18755377.059086211</v>
      </c>
      <c r="K30" s="15">
        <f>SUMIFS('High Cost Drug Inf Prj'!E:E,'High Cost Drug Inf Prj'!A:A,B30)</f>
        <v>1346903.7000000002</v>
      </c>
      <c r="L30" s="1">
        <f t="shared" si="1"/>
        <v>2.0051709605420601E-3</v>
      </c>
      <c r="M30" s="15">
        <f t="shared" si="3"/>
        <v>20102280.75908621</v>
      </c>
      <c r="N30" s="1">
        <f t="shared" si="2"/>
        <v>2.9926794037898229E-2</v>
      </c>
      <c r="P30" s="15"/>
      <c r="Q30" s="15"/>
      <c r="R30" s="16"/>
      <c r="S30" s="16"/>
    </row>
    <row r="31" spans="1:19" x14ac:dyDescent="0.3">
      <c r="A31">
        <v>30</v>
      </c>
      <c r="B31">
        <f t="shared" si="4"/>
        <v>30</v>
      </c>
      <c r="C31" t="s">
        <v>41</v>
      </c>
      <c r="D31" s="1">
        <f t="shared" si="5"/>
        <v>2.792162307735617E-2</v>
      </c>
      <c r="E31" s="15">
        <v>56036269.248638384</v>
      </c>
      <c r="F31" s="15">
        <v>-2500503.1482706764</v>
      </c>
      <c r="G31" s="15"/>
      <c r="H31" s="15"/>
      <c r="I31" s="15">
        <f t="shared" si="6"/>
        <v>53535766.10036771</v>
      </c>
      <c r="J31" s="15">
        <f t="shared" si="7"/>
        <v>1494805.4822119691</v>
      </c>
      <c r="K31" s="15">
        <f>SUMIFS('High Cost Drug Inf Prj'!E:E,'High Cost Drug Inf Prj'!A:A,B31)</f>
        <v>77204.206699225339</v>
      </c>
      <c r="L31" s="1">
        <f t="shared" si="1"/>
        <v>1.4421052003717391E-3</v>
      </c>
      <c r="M31" s="15">
        <f t="shared" si="3"/>
        <v>1572009.6889111944</v>
      </c>
      <c r="N31" s="1">
        <f t="shared" si="2"/>
        <v>2.9363728277727909E-2</v>
      </c>
      <c r="P31" s="15"/>
      <c r="Q31" s="15"/>
      <c r="R31" s="16"/>
      <c r="S31" s="16"/>
    </row>
    <row r="32" spans="1:19" x14ac:dyDescent="0.3">
      <c r="A32">
        <v>32</v>
      </c>
      <c r="B32">
        <f t="shared" si="4"/>
        <v>32</v>
      </c>
      <c r="C32" t="s">
        <v>42</v>
      </c>
      <c r="D32" s="1">
        <f t="shared" si="5"/>
        <v>2.792162307735617E-2</v>
      </c>
      <c r="E32" s="15">
        <v>164310086.06700188</v>
      </c>
      <c r="F32" s="15">
        <v>-3773031.7384358561</v>
      </c>
      <c r="G32" s="15"/>
      <c r="H32" s="15"/>
      <c r="I32" s="15">
        <f t="shared" si="6"/>
        <v>160537054.32856601</v>
      </c>
      <c r="J32" s="15">
        <f t="shared" si="7"/>
        <v>4482455.1209112704</v>
      </c>
      <c r="K32" s="15">
        <f>SUMIFS('High Cost Drug Inf Prj'!E:E,'High Cost Drug Inf Prj'!A:A,B32)</f>
        <v>282020.98879461543</v>
      </c>
      <c r="L32" s="1">
        <f t="shared" si="1"/>
        <v>1.7567345431504689E-3</v>
      </c>
      <c r="M32" s="15">
        <f t="shared" si="3"/>
        <v>4764476.1097058859</v>
      </c>
      <c r="N32" s="1">
        <f t="shared" si="2"/>
        <v>2.9678357620506642E-2</v>
      </c>
      <c r="P32" s="15"/>
      <c r="Q32" s="15"/>
      <c r="R32" s="16"/>
      <c r="S32" s="16"/>
    </row>
    <row r="33" spans="1:19" x14ac:dyDescent="0.3">
      <c r="A33">
        <v>33</v>
      </c>
      <c r="B33">
        <f t="shared" si="4"/>
        <v>33</v>
      </c>
      <c r="C33" t="s">
        <v>43</v>
      </c>
      <c r="D33" s="1">
        <f t="shared" si="5"/>
        <v>2.792162307735617E-2</v>
      </c>
      <c r="E33" s="15">
        <v>233852192.13503274</v>
      </c>
      <c r="F33" s="15">
        <v>-6768229.2304603467</v>
      </c>
      <c r="G33" s="15"/>
      <c r="H33" s="15"/>
      <c r="I33" s="15">
        <f t="shared" si="6"/>
        <v>227083962.9045724</v>
      </c>
      <c r="J33" s="15">
        <f t="shared" si="7"/>
        <v>6340552.8191338014</v>
      </c>
      <c r="K33" s="15">
        <f>SUMIFS('High Cost Drug Inf Prj'!E:E,'High Cost Drug Inf Prj'!A:A,B33)</f>
        <v>0</v>
      </c>
      <c r="L33" s="1">
        <f t="shared" si="1"/>
        <v>0</v>
      </c>
      <c r="M33" s="15">
        <f t="shared" si="3"/>
        <v>6340552.8191338014</v>
      </c>
      <c r="N33" s="1">
        <f t="shared" si="2"/>
        <v>2.792162307735617E-2</v>
      </c>
      <c r="P33" s="15"/>
      <c r="Q33" s="15"/>
      <c r="R33" s="16"/>
      <c r="S33" s="16"/>
    </row>
    <row r="34" spans="1:19" x14ac:dyDescent="0.3">
      <c r="A34">
        <v>34</v>
      </c>
      <c r="B34">
        <f t="shared" si="4"/>
        <v>34</v>
      </c>
      <c r="C34" t="s">
        <v>44</v>
      </c>
      <c r="D34" s="1">
        <f t="shared" si="5"/>
        <v>2.792162307735617E-2</v>
      </c>
      <c r="E34" s="15">
        <v>188108835.26493141</v>
      </c>
      <c r="F34" s="15">
        <v>-506291.59160835017</v>
      </c>
      <c r="G34" s="15"/>
      <c r="H34" s="15"/>
      <c r="I34" s="15">
        <f t="shared" si="6"/>
        <v>187602543.67332307</v>
      </c>
      <c r="J34" s="15">
        <f t="shared" si="7"/>
        <v>5238167.5127997762</v>
      </c>
      <c r="K34" s="15">
        <f>SUMIFS('High Cost Drug Inf Prj'!E:E,'High Cost Drug Inf Prj'!A:A,B34)</f>
        <v>24184.800000000003</v>
      </c>
      <c r="L34" s="1">
        <f t="shared" si="1"/>
        <v>1.2891509638650526E-4</v>
      </c>
      <c r="M34" s="15">
        <f t="shared" si="3"/>
        <v>5262352.312799776</v>
      </c>
      <c r="N34" s="1">
        <f t="shared" si="2"/>
        <v>2.8050538173742676E-2</v>
      </c>
      <c r="P34" s="15"/>
      <c r="Q34" s="15"/>
      <c r="R34" s="16"/>
      <c r="S34" s="16"/>
    </row>
    <row r="35" spans="1:19" x14ac:dyDescent="0.3">
      <c r="A35">
        <v>35</v>
      </c>
      <c r="B35">
        <f t="shared" si="4"/>
        <v>35</v>
      </c>
      <c r="C35" t="s">
        <v>45</v>
      </c>
      <c r="D35" s="1">
        <f t="shared" si="5"/>
        <v>2.792162307735617E-2</v>
      </c>
      <c r="E35" s="15">
        <v>158727067.30612662</v>
      </c>
      <c r="F35" s="15">
        <v>-4859078.1373070385</v>
      </c>
      <c r="G35" s="15"/>
      <c r="H35" s="15"/>
      <c r="I35" s="15">
        <f t="shared" si="6"/>
        <v>153867989.16881958</v>
      </c>
      <c r="J35" s="15">
        <f t="shared" si="7"/>
        <v>4296243.9972425019</v>
      </c>
      <c r="K35" s="15">
        <f>SUMIFS('High Cost Drug Inf Prj'!E:E,'High Cost Drug Inf Prj'!A:A,B35)</f>
        <v>100960.81289619138</v>
      </c>
      <c r="L35" s="1">
        <f t="shared" si="1"/>
        <v>6.5615215641389867E-4</v>
      </c>
      <c r="M35" s="15">
        <f t="shared" si="3"/>
        <v>4397204.8101386931</v>
      </c>
      <c r="N35" s="1">
        <f t="shared" si="2"/>
        <v>2.8577775233770069E-2</v>
      </c>
      <c r="P35" s="15"/>
      <c r="Q35" s="15"/>
      <c r="R35" s="16"/>
      <c r="S35" s="16"/>
    </row>
    <row r="36" spans="1:19" x14ac:dyDescent="0.3">
      <c r="A36">
        <v>37</v>
      </c>
      <c r="B36">
        <f t="shared" si="4"/>
        <v>37</v>
      </c>
      <c r="C36" t="s">
        <v>46</v>
      </c>
      <c r="D36" s="1">
        <f t="shared" si="5"/>
        <v>2.792162307735617E-2</v>
      </c>
      <c r="E36" s="15">
        <v>220922870.69559529</v>
      </c>
      <c r="F36" s="15">
        <v>-6660897.9830474071</v>
      </c>
      <c r="G36" s="15"/>
      <c r="H36" s="15"/>
      <c r="I36" s="15">
        <f t="shared" si="6"/>
        <v>214261972.7125479</v>
      </c>
      <c r="J36" s="15">
        <f t="shared" si="7"/>
        <v>5982542.0418905355</v>
      </c>
      <c r="K36" s="15">
        <f>SUMIFS('High Cost Drug Inf Prj'!E:E,'High Cost Drug Inf Prj'!A:A,B36)</f>
        <v>697999.31830400019</v>
      </c>
      <c r="L36" s="1">
        <f t="shared" si="1"/>
        <v>3.2576910847377958E-3</v>
      </c>
      <c r="M36" s="15">
        <f t="shared" si="3"/>
        <v>6680541.3601945359</v>
      </c>
      <c r="N36" s="1">
        <f t="shared" si="2"/>
        <v>3.1179314162093966E-2</v>
      </c>
      <c r="P36" s="15"/>
      <c r="Q36" s="15"/>
      <c r="R36" s="16"/>
      <c r="S36" s="16"/>
    </row>
    <row r="37" spans="1:19" x14ac:dyDescent="0.3">
      <c r="A37">
        <v>38</v>
      </c>
      <c r="B37">
        <f t="shared" si="4"/>
        <v>38</v>
      </c>
      <c r="C37" t="s">
        <v>47</v>
      </c>
      <c r="D37" s="1">
        <f t="shared" si="5"/>
        <v>2.792162307735617E-2</v>
      </c>
      <c r="E37" s="15">
        <v>230338603.68237355</v>
      </c>
      <c r="F37" s="15">
        <v>-7007130.5053924797</v>
      </c>
      <c r="G37" s="15"/>
      <c r="H37" s="15"/>
      <c r="I37" s="15">
        <f t="shared" si="6"/>
        <v>223331473.17698106</v>
      </c>
      <c r="J37" s="15">
        <f t="shared" si="7"/>
        <v>6235777.2153583448</v>
      </c>
      <c r="K37" s="15">
        <f>SUMIFS('High Cost Drug Inf Prj'!E:E,'High Cost Drug Inf Prj'!A:A,B37)</f>
        <v>30659.401122580646</v>
      </c>
      <c r="L37" s="1">
        <f t="shared" si="1"/>
        <v>1.3728204397901554E-4</v>
      </c>
      <c r="M37" s="15">
        <f t="shared" si="3"/>
        <v>6266436.6164809251</v>
      </c>
      <c r="N37" s="1">
        <f t="shared" si="2"/>
        <v>2.8058905121335184E-2</v>
      </c>
      <c r="P37" s="15"/>
      <c r="Q37" s="15"/>
      <c r="R37" s="16"/>
      <c r="S37" s="16"/>
    </row>
    <row r="38" spans="1:19" x14ac:dyDescent="0.3">
      <c r="A38">
        <v>39</v>
      </c>
      <c r="B38">
        <f t="shared" si="4"/>
        <v>39</v>
      </c>
      <c r="C38" t="s">
        <v>48</v>
      </c>
      <c r="D38" s="1">
        <f t="shared" si="5"/>
        <v>2.792162307735617E-2</v>
      </c>
      <c r="E38" s="15">
        <v>153422401.67506704</v>
      </c>
      <c r="F38" s="15">
        <v>-7248550.7169557428</v>
      </c>
      <c r="G38" s="15"/>
      <c r="H38" s="15"/>
      <c r="I38" s="15">
        <f t="shared" si="6"/>
        <v>146173850.95811129</v>
      </c>
      <c r="J38" s="15">
        <f t="shared" si="7"/>
        <v>4081411.1702180211</v>
      </c>
      <c r="K38" s="15">
        <f>SUMIFS('High Cost Drug Inf Prj'!E:E,'High Cost Drug Inf Prj'!A:A,B38)</f>
        <v>333539.30000000005</v>
      </c>
      <c r="L38" s="1">
        <f t="shared" si="1"/>
        <v>2.2817986788593375E-3</v>
      </c>
      <c r="M38" s="15">
        <f t="shared" si="3"/>
        <v>4414950.4702180214</v>
      </c>
      <c r="N38" s="1">
        <f t="shared" si="2"/>
        <v>3.0203421756215508E-2</v>
      </c>
      <c r="P38" s="15"/>
      <c r="Q38" s="15"/>
      <c r="R38" s="16"/>
      <c r="S38" s="16"/>
    </row>
    <row r="39" spans="1:19" x14ac:dyDescent="0.3">
      <c r="A39">
        <v>40</v>
      </c>
      <c r="B39">
        <f t="shared" si="4"/>
        <v>40</v>
      </c>
      <c r="C39" t="s">
        <v>49</v>
      </c>
      <c r="D39" s="1">
        <f t="shared" si="5"/>
        <v>2.792162307735617E-2</v>
      </c>
      <c r="E39" s="15">
        <v>273079846.45570207</v>
      </c>
      <c r="F39" s="15">
        <v>-10378165.426189229</v>
      </c>
      <c r="G39" s="15"/>
      <c r="H39" s="15"/>
      <c r="I39" s="15">
        <f t="shared" si="6"/>
        <v>262701681.02951282</v>
      </c>
      <c r="J39" s="15">
        <f t="shared" si="7"/>
        <v>7335057.3194939047</v>
      </c>
      <c r="K39" s="15">
        <f>SUMIFS('High Cost Drug Inf Prj'!E:E,'High Cost Drug Inf Prj'!A:A,B39)</f>
        <v>259515.36913333336</v>
      </c>
      <c r="L39" s="1">
        <f t="shared" ref="L39:L59" si="8">K39/I39</f>
        <v>9.8787098779234105E-4</v>
      </c>
      <c r="M39" s="15">
        <f t="shared" si="3"/>
        <v>7594572.6886272384</v>
      </c>
      <c r="N39" s="1">
        <f t="shared" ref="N39:N59" si="9">M39/I39</f>
        <v>2.8909494065148512E-2</v>
      </c>
      <c r="P39" s="15"/>
      <c r="Q39" s="15"/>
      <c r="R39" s="16"/>
      <c r="S39" s="16"/>
    </row>
    <row r="40" spans="1:19" x14ac:dyDescent="0.3">
      <c r="A40">
        <v>43</v>
      </c>
      <c r="B40">
        <f t="shared" si="4"/>
        <v>43</v>
      </c>
      <c r="C40" t="s">
        <v>50</v>
      </c>
      <c r="D40" s="1">
        <f t="shared" si="5"/>
        <v>2.792162307735617E-2</v>
      </c>
      <c r="E40" s="15">
        <v>447470176.42675787</v>
      </c>
      <c r="F40" s="15">
        <v>-14758194.51217684</v>
      </c>
      <c r="G40" s="15"/>
      <c r="H40" s="15"/>
      <c r="I40" s="15">
        <f t="shared" si="6"/>
        <v>432711981.91458106</v>
      </c>
      <c r="J40" s="15">
        <f t="shared" si="7"/>
        <v>12082020.860074691</v>
      </c>
      <c r="K40" s="15">
        <f>SUMIFS('High Cost Drug Inf Prj'!E:E,'High Cost Drug Inf Prj'!A:A,B40)</f>
        <v>123897.4755</v>
      </c>
      <c r="L40" s="1">
        <f t="shared" si="8"/>
        <v>2.8632781313751052E-4</v>
      </c>
      <c r="M40" s="15">
        <f t="shared" ref="M40:M59" si="10">J40+K40</f>
        <v>12205918.335574692</v>
      </c>
      <c r="N40" s="1">
        <f t="shared" si="9"/>
        <v>2.8207950890493681E-2</v>
      </c>
      <c r="P40" s="15"/>
      <c r="Q40" s="15"/>
      <c r="R40" s="16"/>
      <c r="S40" s="16"/>
    </row>
    <row r="41" spans="1:19" x14ac:dyDescent="0.3">
      <c r="A41">
        <v>44</v>
      </c>
      <c r="B41">
        <f t="shared" si="4"/>
        <v>44</v>
      </c>
      <c r="C41" t="s">
        <v>51</v>
      </c>
      <c r="D41" s="1">
        <f t="shared" si="5"/>
        <v>2.792162307735617E-2</v>
      </c>
      <c r="E41" s="15">
        <v>476011365.30022305</v>
      </c>
      <c r="F41" s="15">
        <v>-15820340.963834221</v>
      </c>
      <c r="G41" s="15"/>
      <c r="H41" s="15"/>
      <c r="I41" s="15">
        <f t="shared" si="6"/>
        <v>460191024.33638883</v>
      </c>
      <c r="J41" s="15">
        <f t="shared" si="7"/>
        <v>12849280.325103089</v>
      </c>
      <c r="K41" s="15">
        <f>SUMIFS('High Cost Drug Inf Prj'!E:E,'High Cost Drug Inf Prj'!A:A,B41)</f>
        <v>1743578.1</v>
      </c>
      <c r="L41" s="1">
        <f t="shared" si="8"/>
        <v>3.7888137920862306E-3</v>
      </c>
      <c r="M41" s="15">
        <f t="shared" si="10"/>
        <v>14592858.425103089</v>
      </c>
      <c r="N41" s="1">
        <f t="shared" si="9"/>
        <v>3.1710436869442402E-2</v>
      </c>
      <c r="P41" s="15"/>
      <c r="Q41" s="15"/>
      <c r="R41" s="16"/>
      <c r="S41" s="16"/>
    </row>
    <row r="42" spans="1:19" x14ac:dyDescent="0.3">
      <c r="A42">
        <v>45</v>
      </c>
      <c r="B42">
        <f t="shared" si="4"/>
        <v>45</v>
      </c>
      <c r="C42" t="s">
        <v>52</v>
      </c>
      <c r="D42" s="1">
        <f t="shared" si="5"/>
        <v>2.792162307735617E-2</v>
      </c>
      <c r="E42" s="15">
        <v>15680852.317266323</v>
      </c>
      <c r="F42" s="15">
        <v>-1431371.3485796035</v>
      </c>
      <c r="G42" s="15"/>
      <c r="H42" s="15"/>
      <c r="I42" s="15">
        <f t="shared" si="6"/>
        <v>14249480.968686718</v>
      </c>
      <c r="J42" s="15">
        <f t="shared" si="7"/>
        <v>397868.6366556306</v>
      </c>
      <c r="K42" s="15">
        <f>SUMIFS('High Cost Drug Inf Prj'!E:E,'High Cost Drug Inf Prj'!A:A,B42)</f>
        <v>10673</v>
      </c>
      <c r="L42" s="1">
        <f t="shared" si="8"/>
        <v>7.4900973750931374E-4</v>
      </c>
      <c r="M42" s="15">
        <f t="shared" si="10"/>
        <v>408541.6366556306</v>
      </c>
      <c r="N42" s="1">
        <f t="shared" si="9"/>
        <v>2.8670632814865482E-2</v>
      </c>
      <c r="P42" s="15"/>
      <c r="Q42" s="15"/>
      <c r="R42" s="16"/>
      <c r="S42" s="16"/>
    </row>
    <row r="43" spans="1:19" x14ac:dyDescent="0.3">
      <c r="A43">
        <v>48</v>
      </c>
      <c r="B43">
        <f t="shared" si="4"/>
        <v>48</v>
      </c>
      <c r="C43" t="s">
        <v>53</v>
      </c>
      <c r="D43" s="1">
        <f t="shared" si="5"/>
        <v>2.792162307735617E-2</v>
      </c>
      <c r="E43" s="15">
        <v>308844934.36516756</v>
      </c>
      <c r="F43" s="15">
        <v>-9175453.4317483921</v>
      </c>
      <c r="G43" s="15"/>
      <c r="H43" s="15"/>
      <c r="I43" s="15">
        <f t="shared" si="6"/>
        <v>299669480.93341917</v>
      </c>
      <c r="J43" s="15">
        <f t="shared" si="7"/>
        <v>8367258.2944099009</v>
      </c>
      <c r="K43" s="15">
        <f>SUMIFS('High Cost Drug Inf Prj'!E:E,'High Cost Drug Inf Prj'!A:A,B43)</f>
        <v>10247.300000000001</v>
      </c>
      <c r="L43" s="1">
        <f t="shared" si="8"/>
        <v>3.4195340706972943E-5</v>
      </c>
      <c r="M43" s="15">
        <f t="shared" si="10"/>
        <v>8377505.5944099007</v>
      </c>
      <c r="N43" s="1">
        <f t="shared" si="9"/>
        <v>2.795581841806314E-2</v>
      </c>
      <c r="P43" s="15"/>
      <c r="Q43" s="15"/>
      <c r="R43" s="16"/>
      <c r="S43" s="16"/>
    </row>
    <row r="44" spans="1:19" x14ac:dyDescent="0.3">
      <c r="A44">
        <v>49</v>
      </c>
      <c r="B44">
        <f t="shared" si="4"/>
        <v>49</v>
      </c>
      <c r="C44" t="s">
        <v>54</v>
      </c>
      <c r="D44" s="1">
        <f t="shared" si="5"/>
        <v>2.792162307735617E-2</v>
      </c>
      <c r="E44" s="15">
        <v>325530565.31472844</v>
      </c>
      <c r="F44" s="15">
        <v>-15038224.822509874</v>
      </c>
      <c r="G44" s="15">
        <f>-'Special Adj Support'!C13</f>
        <v>1375229.0752080858</v>
      </c>
      <c r="H44" s="15" t="s">
        <v>55</v>
      </c>
      <c r="I44" s="15">
        <f t="shared" si="6"/>
        <v>311867569.56742662</v>
      </c>
      <c r="J44" s="15">
        <f t="shared" si="7"/>
        <v>8707848.7275128402</v>
      </c>
      <c r="K44" s="15">
        <f>SUMIFS('High Cost Drug Inf Prj'!E:E,'High Cost Drug Inf Prj'!A:A,B44)</f>
        <v>0</v>
      </c>
      <c r="L44" s="1">
        <f t="shared" si="8"/>
        <v>0</v>
      </c>
      <c r="M44" s="15">
        <f t="shared" si="10"/>
        <v>8707848.7275128402</v>
      </c>
      <c r="N44" s="1">
        <f t="shared" si="9"/>
        <v>2.792162307735617E-2</v>
      </c>
      <c r="P44" s="15"/>
      <c r="Q44" s="15"/>
      <c r="R44" s="16"/>
      <c r="S44" s="16"/>
    </row>
    <row r="45" spans="1:19" x14ac:dyDescent="0.3">
      <c r="A45">
        <v>51</v>
      </c>
      <c r="B45">
        <f t="shared" si="4"/>
        <v>51</v>
      </c>
      <c r="C45" t="s">
        <v>56</v>
      </c>
      <c r="D45" s="1">
        <f t="shared" si="5"/>
        <v>2.792162307735617E-2</v>
      </c>
      <c r="E45" s="15">
        <v>257373705.84534556</v>
      </c>
      <c r="F45" s="15">
        <v>-9829999.4025210757</v>
      </c>
      <c r="G45" s="15"/>
      <c r="H45" s="15"/>
      <c r="I45" s="15">
        <f t="shared" si="6"/>
        <v>247543706.44282448</v>
      </c>
      <c r="J45" s="15">
        <f t="shared" si="7"/>
        <v>6911822.0664682491</v>
      </c>
      <c r="K45" s="15">
        <f>SUMIFS('High Cost Drug Inf Prj'!E:E,'High Cost Drug Inf Prj'!A:A,B45)</f>
        <v>30543.200000000001</v>
      </c>
      <c r="L45" s="1">
        <f t="shared" si="8"/>
        <v>1.2338507990731167E-4</v>
      </c>
      <c r="M45" s="15">
        <f t="shared" si="10"/>
        <v>6942365.2664682493</v>
      </c>
      <c r="N45" s="1">
        <f t="shared" si="9"/>
        <v>2.804500815726348E-2</v>
      </c>
      <c r="P45" s="15"/>
      <c r="Q45" s="15"/>
      <c r="R45" s="16"/>
      <c r="S45" s="16"/>
    </row>
    <row r="46" spans="1:19" x14ac:dyDescent="0.3">
      <c r="A46">
        <v>55</v>
      </c>
      <c r="B46">
        <f t="shared" si="4"/>
        <v>55</v>
      </c>
      <c r="C46" t="s">
        <v>57</v>
      </c>
      <c r="D46" s="1">
        <f t="shared" si="5"/>
        <v>2.792162307735617E-2</v>
      </c>
      <c r="E46" s="15">
        <v>45272778.001988858</v>
      </c>
      <c r="F46" s="15">
        <v>-1310310.9449879499</v>
      </c>
      <c r="G46" s="15"/>
      <c r="H46" s="15"/>
      <c r="I46" s="15">
        <f t="shared" si="6"/>
        <v>43962467.057000905</v>
      </c>
      <c r="J46" s="15">
        <f t="shared" si="7"/>
        <v>1227503.4347162668</v>
      </c>
      <c r="K46" s="15">
        <f>SUMIFS('High Cost Drug Inf Prj'!E:E,'High Cost Drug Inf Prj'!A:A,B46)</f>
        <v>27015.478000000003</v>
      </c>
      <c r="L46" s="1">
        <f t="shared" si="8"/>
        <v>6.1451232854999342E-4</v>
      </c>
      <c r="M46" s="15">
        <f t="shared" si="10"/>
        <v>1254518.9127162667</v>
      </c>
      <c r="N46" s="1">
        <f t="shared" si="9"/>
        <v>2.853613540590616E-2</v>
      </c>
      <c r="P46" s="15"/>
      <c r="Q46" s="15"/>
      <c r="R46" s="16"/>
      <c r="S46" s="16"/>
    </row>
    <row r="47" spans="1:19" x14ac:dyDescent="0.3">
      <c r="A47">
        <v>2004</v>
      </c>
      <c r="B47">
        <v>56</v>
      </c>
      <c r="C47" t="s">
        <v>58</v>
      </c>
      <c r="D47" s="1">
        <f t="shared" si="5"/>
        <v>2.792162307735617E-2</v>
      </c>
      <c r="E47" s="15">
        <v>257867246.92178118</v>
      </c>
      <c r="F47" s="15">
        <v>617199.42999675171</v>
      </c>
      <c r="G47" s="15"/>
      <c r="H47" s="15"/>
      <c r="I47" s="15">
        <f t="shared" si="6"/>
        <v>258484446.35177794</v>
      </c>
      <c r="J47" s="15">
        <f t="shared" si="7"/>
        <v>7217305.2823934359</v>
      </c>
      <c r="K47" s="15">
        <f>SUMIFS('High Cost Drug Inf Prj'!E:E,'High Cost Drug Inf Prj'!A:A,B47)</f>
        <v>0</v>
      </c>
      <c r="L47" s="1">
        <f t="shared" si="8"/>
        <v>0</v>
      </c>
      <c r="M47" s="15">
        <f t="shared" si="10"/>
        <v>7217305.2823934359</v>
      </c>
      <c r="N47" s="1">
        <f t="shared" si="9"/>
        <v>2.792162307735617E-2</v>
      </c>
      <c r="P47" s="15"/>
      <c r="Q47" s="15"/>
      <c r="R47" s="16"/>
      <c r="S47" s="16"/>
    </row>
    <row r="48" spans="1:19" x14ac:dyDescent="0.3">
      <c r="A48">
        <v>5050</v>
      </c>
      <c r="B48">
        <v>57</v>
      </c>
      <c r="C48" t="s">
        <v>59</v>
      </c>
      <c r="D48" s="1">
        <f t="shared" si="5"/>
        <v>2.792162307735617E-2</v>
      </c>
      <c r="E48" s="15">
        <v>453211569.14731169</v>
      </c>
      <c r="F48" s="15">
        <v>-17005496.321187329</v>
      </c>
      <c r="G48" s="15">
        <f>'Special Adj Support'!C28</f>
        <v>3801629.0007850202</v>
      </c>
      <c r="H48" s="15" t="s">
        <v>60</v>
      </c>
      <c r="I48" s="15">
        <f t="shared" si="6"/>
        <v>440007701.82690936</v>
      </c>
      <c r="J48" s="15">
        <f t="shared" si="7"/>
        <v>12285729.201544685</v>
      </c>
      <c r="K48" s="15">
        <f>SUMIFS('High Cost Drug Inf Prj'!E:E,'High Cost Drug Inf Prj'!A:A,B48)</f>
        <v>141939.5</v>
      </c>
      <c r="L48" s="1">
        <f t="shared" si="8"/>
        <v>3.2258412616567399E-4</v>
      </c>
      <c r="M48" s="15">
        <f t="shared" si="10"/>
        <v>12427668.701544685</v>
      </c>
      <c r="N48" s="1">
        <f t="shared" si="9"/>
        <v>2.8244207203521846E-2</v>
      </c>
      <c r="P48" s="15"/>
      <c r="Q48" s="15"/>
      <c r="R48" s="16"/>
      <c r="S48" s="16"/>
    </row>
    <row r="49" spans="1:19" x14ac:dyDescent="0.3">
      <c r="A49">
        <v>2001</v>
      </c>
      <c r="B49">
        <v>58</v>
      </c>
      <c r="C49" t="s">
        <v>61</v>
      </c>
      <c r="D49" s="1">
        <f t="shared" si="5"/>
        <v>2.792162307735617E-2</v>
      </c>
      <c r="E49" s="15">
        <v>124833110.93547149</v>
      </c>
      <c r="F49" s="15">
        <v>-4449276.0489667477</v>
      </c>
      <c r="G49" s="15"/>
      <c r="H49" s="15"/>
      <c r="I49" s="15">
        <f t="shared" si="6"/>
        <v>120383834.88650474</v>
      </c>
      <c r="J49" s="15">
        <f t="shared" si="7"/>
        <v>3361312.0623076656</v>
      </c>
      <c r="K49" s="15">
        <f>SUMIFS('High Cost Drug Inf Prj'!E:E,'High Cost Drug Inf Prj'!A:A,B49)</f>
        <v>0</v>
      </c>
      <c r="L49" s="1">
        <f t="shared" si="8"/>
        <v>0</v>
      </c>
      <c r="M49" s="15">
        <f t="shared" si="10"/>
        <v>3361312.0623076656</v>
      </c>
      <c r="N49" s="1">
        <f t="shared" si="9"/>
        <v>2.792162307735617E-2</v>
      </c>
      <c r="P49" s="15"/>
      <c r="Q49" s="15"/>
      <c r="R49" s="16"/>
      <c r="S49" s="16"/>
    </row>
    <row r="50" spans="1:19" x14ac:dyDescent="0.3">
      <c r="A50">
        <v>60</v>
      </c>
      <c r="B50">
        <f t="shared" si="4"/>
        <v>60</v>
      </c>
      <c r="C50" t="s">
        <v>62</v>
      </c>
      <c r="D50" s="1">
        <f t="shared" si="5"/>
        <v>2.792162307735617E-2</v>
      </c>
      <c r="E50" s="15">
        <v>51953334.988091335</v>
      </c>
      <c r="F50" s="15">
        <v>-1688935.4821491453</v>
      </c>
      <c r="G50" s="15"/>
      <c r="H50" s="15"/>
      <c r="I50" s="15">
        <f t="shared" si="6"/>
        <v>50264399.505942188</v>
      </c>
      <c r="J50" s="15">
        <f t="shared" si="7"/>
        <v>1403463.6172145654</v>
      </c>
      <c r="K50" s="15">
        <f>SUMIFS('High Cost Drug Inf Prj'!E:E,'High Cost Drug Inf Prj'!A:A,B50)</f>
        <v>0</v>
      </c>
      <c r="L50" s="1">
        <f t="shared" si="8"/>
        <v>0</v>
      </c>
      <c r="M50" s="15">
        <f t="shared" si="10"/>
        <v>1403463.6172145654</v>
      </c>
      <c r="N50" s="1">
        <f t="shared" si="9"/>
        <v>2.792162307735617E-2</v>
      </c>
      <c r="P50" s="15"/>
      <c r="Q50" s="15"/>
      <c r="R50" s="16"/>
      <c r="S50" s="16"/>
    </row>
    <row r="51" spans="1:19" x14ac:dyDescent="0.3">
      <c r="A51">
        <v>61</v>
      </c>
      <c r="B51">
        <f t="shared" si="4"/>
        <v>61</v>
      </c>
      <c r="C51" t="s">
        <v>63</v>
      </c>
      <c r="D51" s="1">
        <f t="shared" si="5"/>
        <v>2.792162307735617E-2</v>
      </c>
      <c r="E51" s="15">
        <v>110742692.82417639</v>
      </c>
      <c r="F51" s="15">
        <v>-3517515.5428172089</v>
      </c>
      <c r="G51" s="15"/>
      <c r="H51" s="15"/>
      <c r="I51" s="15">
        <f t="shared" si="6"/>
        <v>107225177.28135918</v>
      </c>
      <c r="J51" s="15">
        <f t="shared" si="7"/>
        <v>2993900.984452805</v>
      </c>
      <c r="K51" s="15">
        <f>SUMIFS('High Cost Drug Inf Prj'!E:E,'High Cost Drug Inf Prj'!A:A,B51)</f>
        <v>292845.90000000002</v>
      </c>
      <c r="L51" s="1">
        <f t="shared" si="8"/>
        <v>2.7311300146566466E-3</v>
      </c>
      <c r="M51" s="15">
        <f t="shared" si="10"/>
        <v>3286746.8844528049</v>
      </c>
      <c r="N51" s="1">
        <f t="shared" si="9"/>
        <v>3.0652753092012815E-2</v>
      </c>
      <c r="P51" s="15"/>
      <c r="Q51" s="15"/>
      <c r="R51" s="16"/>
      <c r="S51" s="16"/>
    </row>
    <row r="52" spans="1:19" x14ac:dyDescent="0.3">
      <c r="A52">
        <v>62</v>
      </c>
      <c r="B52">
        <f t="shared" si="4"/>
        <v>62</v>
      </c>
      <c r="C52" t="s">
        <v>64</v>
      </c>
      <c r="D52" s="1">
        <f t="shared" si="5"/>
        <v>2.792162307735617E-2</v>
      </c>
      <c r="E52" s="15">
        <v>274727883.26964176</v>
      </c>
      <c r="F52" s="15">
        <v>-4530564.5699586468</v>
      </c>
      <c r="G52" s="15"/>
      <c r="H52" s="15"/>
      <c r="I52" s="15">
        <f t="shared" si="6"/>
        <v>270197318.69968313</v>
      </c>
      <c r="J52" s="15">
        <f t="shared" si="7"/>
        <v>7544347.6892448319</v>
      </c>
      <c r="K52" s="15">
        <f>SUMIFS('High Cost Drug Inf Prj'!E:E,'High Cost Drug Inf Prj'!A:A,B52)</f>
        <v>0</v>
      </c>
      <c r="L52" s="1">
        <f t="shared" si="8"/>
        <v>0</v>
      </c>
      <c r="M52" s="15">
        <f t="shared" si="10"/>
        <v>7544347.6892448319</v>
      </c>
      <c r="N52" s="1">
        <f t="shared" si="9"/>
        <v>2.792162307735617E-2</v>
      </c>
      <c r="P52" s="15"/>
      <c r="Q52" s="15"/>
      <c r="R52" s="16"/>
      <c r="S52" s="16"/>
    </row>
    <row r="53" spans="1:19" x14ac:dyDescent="0.3">
      <c r="A53">
        <v>63</v>
      </c>
      <c r="B53">
        <f t="shared" si="4"/>
        <v>63</v>
      </c>
      <c r="C53" t="s">
        <v>65</v>
      </c>
      <c r="D53" s="1">
        <f t="shared" si="5"/>
        <v>2.792162307735617E-2</v>
      </c>
      <c r="E53" s="15">
        <v>390134271.61118895</v>
      </c>
      <c r="F53" s="15">
        <v>-15845382.340173621</v>
      </c>
      <c r="G53" s="15">
        <f>-'Special Adj Support'!C18</f>
        <v>1199622.9970566237</v>
      </c>
      <c r="H53" s="15" t="s">
        <v>55</v>
      </c>
      <c r="I53" s="15">
        <f t="shared" si="6"/>
        <v>375488512.26807195</v>
      </c>
      <c r="J53" s="15">
        <f t="shared" si="7"/>
        <v>10484248.709426332</v>
      </c>
      <c r="K53" s="15">
        <f>SUMIFS('High Cost Drug Inf Prj'!E:E,'High Cost Drug Inf Prj'!A:A,B53)</f>
        <v>0</v>
      </c>
      <c r="L53" s="1">
        <f t="shared" si="8"/>
        <v>0</v>
      </c>
      <c r="M53" s="15">
        <f t="shared" si="10"/>
        <v>10484248.709426332</v>
      </c>
      <c r="N53" s="1">
        <f t="shared" si="9"/>
        <v>2.7921623077356166E-2</v>
      </c>
      <c r="P53" s="15"/>
      <c r="Q53" s="15"/>
      <c r="R53" s="16"/>
      <c r="S53" s="16"/>
    </row>
    <row r="54" spans="1:19" x14ac:dyDescent="0.3">
      <c r="A54">
        <v>87</v>
      </c>
      <c r="B54">
        <f t="shared" si="4"/>
        <v>87</v>
      </c>
      <c r="C54" t="s">
        <v>66</v>
      </c>
      <c r="D54" s="1">
        <f t="shared" si="5"/>
        <v>2.792162307735617E-2</v>
      </c>
      <c r="E54" s="15">
        <v>14355662.432432763</v>
      </c>
      <c r="F54" s="15">
        <v>-47910.63847757029</v>
      </c>
      <c r="G54" s="15"/>
      <c r="H54" s="15"/>
      <c r="I54" s="15">
        <f t="shared" si="6"/>
        <v>14307751.793955194</v>
      </c>
      <c r="J54" s="15">
        <f t="shared" si="7"/>
        <v>399495.65267518349</v>
      </c>
      <c r="K54" s="15">
        <f>SUMIFS('High Cost Drug Inf Prj'!E:E,'High Cost Drug Inf Prj'!A:A,B54)</f>
        <v>0</v>
      </c>
      <c r="L54" s="1">
        <f t="shared" si="8"/>
        <v>0</v>
      </c>
      <c r="M54" s="15">
        <f t="shared" si="10"/>
        <v>399495.65267518349</v>
      </c>
      <c r="N54" s="1">
        <f t="shared" si="9"/>
        <v>2.792162307735617E-2</v>
      </c>
      <c r="P54" s="15"/>
      <c r="Q54" s="15"/>
      <c r="R54" s="16"/>
      <c r="S54" s="16"/>
    </row>
    <row r="55" spans="1:19" x14ac:dyDescent="0.3">
      <c r="A55">
        <v>88</v>
      </c>
      <c r="B55">
        <f t="shared" si="4"/>
        <v>88</v>
      </c>
      <c r="C55" t="s">
        <v>67</v>
      </c>
      <c r="D55" s="1">
        <f t="shared" si="5"/>
        <v>2.792162307735617E-2</v>
      </c>
      <c r="E55" s="15">
        <v>7130655.8423542529</v>
      </c>
      <c r="F55" s="15">
        <v>39215.811140799204</v>
      </c>
      <c r="G55" s="15"/>
      <c r="H55" s="15"/>
      <c r="I55" s="15">
        <f t="shared" si="6"/>
        <v>7169871.6534950519</v>
      </c>
      <c r="J55" s="15">
        <f t="shared" si="7"/>
        <v>200194.45382190929</v>
      </c>
      <c r="K55" s="15">
        <f>SUMIFS('High Cost Drug Inf Prj'!E:E,'High Cost Drug Inf Prj'!A:A,B55)</f>
        <v>0</v>
      </c>
      <c r="L55" s="1">
        <f t="shared" si="8"/>
        <v>0</v>
      </c>
      <c r="M55" s="15">
        <f t="shared" si="10"/>
        <v>200194.45382190929</v>
      </c>
      <c r="N55" s="1">
        <f t="shared" si="9"/>
        <v>2.7921623077356173E-2</v>
      </c>
      <c r="P55" s="15"/>
      <c r="Q55" s="15"/>
      <c r="R55" s="16"/>
      <c r="S55" s="16"/>
    </row>
    <row r="56" spans="1:19" x14ac:dyDescent="0.3">
      <c r="A56">
        <v>333</v>
      </c>
      <c r="B56">
        <f t="shared" si="4"/>
        <v>333</v>
      </c>
      <c r="C56" t="s">
        <v>68</v>
      </c>
      <c r="D56" s="1">
        <f t="shared" si="5"/>
        <v>2.792162307735617E-2</v>
      </c>
      <c r="E56" s="15">
        <v>21316703.699491683</v>
      </c>
      <c r="F56" s="15">
        <v>-14468.993547895496</v>
      </c>
      <c r="G56" s="15"/>
      <c r="H56" s="15"/>
      <c r="I56" s="15">
        <f t="shared" si="6"/>
        <v>21302234.705943789</v>
      </c>
      <c r="J56" s="15">
        <f t="shared" si="7"/>
        <v>594792.96816473757</v>
      </c>
      <c r="K56" s="15">
        <f>SUMIFS('High Cost Drug Inf Prj'!E:E,'High Cost Drug Inf Prj'!A:A,B56)</f>
        <v>0</v>
      </c>
      <c r="L56" s="1">
        <f t="shared" si="8"/>
        <v>0</v>
      </c>
      <c r="M56" s="15">
        <f t="shared" si="10"/>
        <v>594792.96816473757</v>
      </c>
      <c r="N56" s="1">
        <f t="shared" si="9"/>
        <v>2.7921623077356166E-2</v>
      </c>
      <c r="P56" s="15"/>
      <c r="Q56" s="15"/>
      <c r="R56" s="16"/>
      <c r="S56" s="16"/>
    </row>
    <row r="57" spans="1:19" x14ac:dyDescent="0.3">
      <c r="A57">
        <v>5033</v>
      </c>
      <c r="B57">
        <f t="shared" si="4"/>
        <v>5033</v>
      </c>
      <c r="C57" t="s">
        <v>69</v>
      </c>
      <c r="D57" s="1">
        <f t="shared" si="5"/>
        <v>2.792162307735617E-2</v>
      </c>
      <c r="E57" s="15">
        <v>62745865.679831624</v>
      </c>
      <c r="F57" s="15">
        <v>-2878690.4712630343</v>
      </c>
      <c r="G57" s="15"/>
      <c r="H57" s="15"/>
      <c r="I57" s="15">
        <f t="shared" si="6"/>
        <v>59867175.208568588</v>
      </c>
      <c r="J57" s="15">
        <f t="shared" si="7"/>
        <v>1671588.7008796937</v>
      </c>
      <c r="K57" s="15">
        <f>SUMIFS('High Cost Drug Inf Prj'!E:E,'High Cost Drug Inf Prj'!A:A,B57)</f>
        <v>0</v>
      </c>
      <c r="L57" s="1">
        <f t="shared" si="8"/>
        <v>0</v>
      </c>
      <c r="M57" s="15">
        <f t="shared" si="10"/>
        <v>1671588.7008796937</v>
      </c>
      <c r="N57" s="1">
        <f t="shared" si="9"/>
        <v>2.7921623077356166E-2</v>
      </c>
      <c r="P57" s="15"/>
      <c r="Q57" s="15"/>
      <c r="R57" s="16"/>
      <c r="S57" s="16"/>
    </row>
    <row r="58" spans="1:19" x14ac:dyDescent="0.3">
      <c r="A58">
        <v>8992</v>
      </c>
      <c r="B58">
        <f t="shared" si="4"/>
        <v>8992</v>
      </c>
      <c r="C58" t="s">
        <v>70</v>
      </c>
      <c r="D58" s="1">
        <f t="shared" si="5"/>
        <v>2.792162307735617E-2</v>
      </c>
      <c r="E58" s="15">
        <v>223961729.5804306</v>
      </c>
      <c r="F58" s="15">
        <v>-8747383.2603415474</v>
      </c>
      <c r="G58" s="15"/>
      <c r="H58" s="15"/>
      <c r="I58" s="15">
        <f t="shared" si="6"/>
        <v>215214346.32008904</v>
      </c>
      <c r="J58" s="15">
        <f t="shared" si="7"/>
        <v>6009133.8587891208</v>
      </c>
      <c r="K58" s="15">
        <f>SUMIFS('High Cost Drug Inf Prj'!E:E,'High Cost Drug Inf Prj'!A:A,B58)</f>
        <v>0</v>
      </c>
      <c r="L58" s="1">
        <f t="shared" si="8"/>
        <v>0</v>
      </c>
      <c r="M58" s="15">
        <f t="shared" si="10"/>
        <v>6009133.8587891208</v>
      </c>
      <c r="N58" s="1">
        <f t="shared" si="9"/>
        <v>2.792162307735617E-2</v>
      </c>
      <c r="P58" s="15"/>
      <c r="Q58" s="15"/>
      <c r="R58" s="16"/>
      <c r="S58" s="16"/>
    </row>
    <row r="59" spans="1:19" x14ac:dyDescent="0.3">
      <c r="A59">
        <v>65</v>
      </c>
      <c r="B59">
        <f t="shared" si="4"/>
        <v>65</v>
      </c>
      <c r="C59" t="s">
        <v>71</v>
      </c>
      <c r="D59" s="1">
        <f t="shared" si="5"/>
        <v>2.792162307735617E-2</v>
      </c>
      <c r="E59" s="15">
        <v>106459292.7320886</v>
      </c>
      <c r="F59" s="15">
        <v>-2778576.4095657342</v>
      </c>
      <c r="G59" s="15"/>
      <c r="H59" s="15"/>
      <c r="I59" s="15">
        <f t="shared" si="6"/>
        <v>103680716.32252286</v>
      </c>
      <c r="J59" s="15">
        <f t="shared" si="7"/>
        <v>2894933.8815477728</v>
      </c>
      <c r="K59" s="15">
        <f>SUMIFS('High Cost Drug Inf Prj'!E:E,'High Cost Drug Inf Prj'!A:A,B59)</f>
        <v>0</v>
      </c>
      <c r="L59" s="1">
        <f t="shared" si="8"/>
        <v>0</v>
      </c>
      <c r="M59" s="15">
        <f t="shared" si="10"/>
        <v>2894933.8815477728</v>
      </c>
      <c r="N59" s="1">
        <f t="shared" si="9"/>
        <v>2.792162307735617E-2</v>
      </c>
      <c r="P59" s="15"/>
      <c r="Q59" s="15"/>
      <c r="R59" s="16"/>
      <c r="S59" s="16"/>
    </row>
  </sheetData>
  <autoFilter ref="A7:N5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1" topLeftCell="A2" activePane="bottomLeft" state="frozen"/>
      <selection activeCell="O8" sqref="O8"/>
      <selection pane="bottomLeft" activeCell="B7" sqref="B7"/>
    </sheetView>
  </sheetViews>
  <sheetFormatPr defaultRowHeight="14" x14ac:dyDescent="0.3"/>
  <cols>
    <col min="1" max="1" width="5" bestFit="1" customWidth="1"/>
    <col min="2" max="2" width="27.1796875" bestFit="1" customWidth="1"/>
    <col min="3" max="3" width="15" style="15" bestFit="1" customWidth="1"/>
    <col min="4" max="4" width="44.36328125" bestFit="1" customWidth="1"/>
    <col min="5" max="5" width="12" bestFit="1" customWidth="1"/>
    <col min="6" max="6" width="12.36328125" bestFit="1" customWidth="1"/>
    <col min="7" max="7" width="15" bestFit="1" customWidth="1"/>
    <col min="8" max="8" width="14" bestFit="1" customWidth="1"/>
    <col min="9" max="10" width="15" bestFit="1" customWidth="1"/>
  </cols>
  <sheetData>
    <row r="1" spans="1:8" x14ac:dyDescent="0.3">
      <c r="A1" t="s">
        <v>72</v>
      </c>
      <c r="B1" t="s">
        <v>73</v>
      </c>
      <c r="C1" s="15" t="s">
        <v>74</v>
      </c>
    </row>
    <row r="2" spans="1:8" x14ac:dyDescent="0.3">
      <c r="A2">
        <v>55</v>
      </c>
      <c r="B2" t="s">
        <v>75</v>
      </c>
      <c r="C2" s="15">
        <v>-60073026.550034299</v>
      </c>
      <c r="D2" t="s">
        <v>76</v>
      </c>
      <c r="H2" s="16"/>
    </row>
    <row r="3" spans="1:8" x14ac:dyDescent="0.3">
      <c r="A3">
        <v>55</v>
      </c>
      <c r="B3" t="s">
        <v>77</v>
      </c>
      <c r="C3" s="15">
        <v>105345804.55202319</v>
      </c>
    </row>
    <row r="4" spans="1:8" x14ac:dyDescent="0.3">
      <c r="A4">
        <v>55</v>
      </c>
      <c r="B4" t="s">
        <v>78</v>
      </c>
      <c r="C4" s="15">
        <v>3048979.2498930315</v>
      </c>
    </row>
    <row r="5" spans="1:8" x14ac:dyDescent="0.3">
      <c r="A5">
        <v>55</v>
      </c>
      <c r="B5" t="s">
        <v>79</v>
      </c>
      <c r="C5" s="15">
        <f>C2*((C3-C4)/C3)</f>
        <v>-58334358.245129228</v>
      </c>
      <c r="D5" t="s">
        <v>80</v>
      </c>
    </row>
    <row r="6" spans="1:8" x14ac:dyDescent="0.3">
      <c r="A6">
        <v>55</v>
      </c>
      <c r="B6" t="s">
        <v>81</v>
      </c>
      <c r="C6" s="15">
        <f>C2-C5</f>
        <v>-1738668.3049050719</v>
      </c>
      <c r="D6" t="s">
        <v>82</v>
      </c>
    </row>
    <row r="7" spans="1:8" x14ac:dyDescent="0.3">
      <c r="A7">
        <v>3</v>
      </c>
      <c r="B7" t="s">
        <v>83</v>
      </c>
      <c r="C7" s="15">
        <v>7678604.8557480974</v>
      </c>
      <c r="D7" t="s">
        <v>84</v>
      </c>
    </row>
    <row r="8" spans="1:8" x14ac:dyDescent="0.3">
      <c r="A8">
        <v>3</v>
      </c>
      <c r="B8" t="s">
        <v>83</v>
      </c>
      <c r="C8" s="17">
        <f>C7*(C4)/C3</f>
        <v>222238.62614046736</v>
      </c>
      <c r="D8" t="s">
        <v>85</v>
      </c>
    </row>
    <row r="10" spans="1:8" x14ac:dyDescent="0.3">
      <c r="A10">
        <v>49</v>
      </c>
      <c r="B10" t="s">
        <v>77</v>
      </c>
      <c r="C10" s="15">
        <v>358296373.52909088</v>
      </c>
      <c r="D10" t="s">
        <v>86</v>
      </c>
    </row>
    <row r="11" spans="1:8" x14ac:dyDescent="0.3">
      <c r="A11">
        <v>49</v>
      </c>
      <c r="B11" t="s">
        <v>78</v>
      </c>
      <c r="C11" s="15">
        <v>15038224.822509874</v>
      </c>
      <c r="D11" s="16"/>
    </row>
    <row r="12" spans="1:8" x14ac:dyDescent="0.3">
      <c r="A12">
        <v>49</v>
      </c>
      <c r="B12" t="s">
        <v>87</v>
      </c>
      <c r="C12" s="15">
        <v>-32765808.214362398</v>
      </c>
      <c r="D12" s="16"/>
    </row>
    <row r="13" spans="1:8" x14ac:dyDescent="0.3">
      <c r="A13">
        <v>49</v>
      </c>
      <c r="B13" t="s">
        <v>88</v>
      </c>
      <c r="C13" s="17">
        <f>C12*C11/C10</f>
        <v>-1375229.0752080858</v>
      </c>
      <c r="D13" t="s">
        <v>89</v>
      </c>
    </row>
    <row r="15" spans="1:8" x14ac:dyDescent="0.3">
      <c r="A15">
        <v>63</v>
      </c>
      <c r="B15" t="s">
        <v>77</v>
      </c>
      <c r="C15" s="15">
        <v>422089872.76509345</v>
      </c>
      <c r="D15" t="s">
        <v>90</v>
      </c>
    </row>
    <row r="16" spans="1:8" x14ac:dyDescent="0.3">
      <c r="A16">
        <v>63</v>
      </c>
      <c r="B16" t="s">
        <v>78</v>
      </c>
      <c r="C16" s="15">
        <v>15845382.34017368</v>
      </c>
    </row>
    <row r="17" spans="1:10" x14ac:dyDescent="0.3">
      <c r="A17">
        <v>63</v>
      </c>
      <c r="B17" t="s">
        <v>91</v>
      </c>
      <c r="C17" s="15">
        <v>-31955601.153904393</v>
      </c>
    </row>
    <row r="18" spans="1:10" x14ac:dyDescent="0.3">
      <c r="A18">
        <v>63</v>
      </c>
      <c r="B18" t="s">
        <v>88</v>
      </c>
      <c r="C18" s="17">
        <f>C17*C16/C15</f>
        <v>-1199622.9970566237</v>
      </c>
      <c r="D18" t="s">
        <v>89</v>
      </c>
    </row>
    <row r="19" spans="1:10" x14ac:dyDescent="0.3">
      <c r="E19" s="15"/>
      <c r="F19" s="15"/>
      <c r="G19" s="15"/>
    </row>
    <row r="21" spans="1:10" x14ac:dyDescent="0.3">
      <c r="A21">
        <v>4013</v>
      </c>
      <c r="B21" t="s">
        <v>92</v>
      </c>
      <c r="C21" s="15">
        <v>47011465.900579095</v>
      </c>
    </row>
    <row r="22" spans="1:10" x14ac:dyDescent="0.3">
      <c r="B22" t="s">
        <v>93</v>
      </c>
      <c r="C22" s="15">
        <f>C21-C23</f>
        <v>46895472.742982529</v>
      </c>
    </row>
    <row r="23" spans="1:10" x14ac:dyDescent="0.3">
      <c r="B23" t="s">
        <v>94</v>
      </c>
      <c r="C23" s="15">
        <v>115993.15759656399</v>
      </c>
      <c r="G23" s="16"/>
      <c r="H23" s="16"/>
      <c r="I23" s="16"/>
      <c r="J23" s="16"/>
    </row>
    <row r="24" spans="1:10" x14ac:dyDescent="0.3">
      <c r="B24" t="s">
        <v>95</v>
      </c>
      <c r="C24" s="15">
        <f>C21*11/12</f>
        <v>43093843.742197506</v>
      </c>
      <c r="D24" s="15"/>
      <c r="E24" s="15"/>
      <c r="F24" s="15"/>
      <c r="G24" s="16"/>
      <c r="I24" s="16"/>
      <c r="J24" s="16"/>
    </row>
    <row r="25" spans="1:10" x14ac:dyDescent="0.3">
      <c r="B25" t="s">
        <v>96</v>
      </c>
      <c r="C25" s="15">
        <f>C23*11/12</f>
        <v>106327.06113018365</v>
      </c>
      <c r="F25" s="15"/>
      <c r="G25" s="16"/>
    </row>
    <row r="26" spans="1:10" x14ac:dyDescent="0.3">
      <c r="B26" t="s">
        <v>97</v>
      </c>
      <c r="C26" s="15">
        <f>C24-C25</f>
        <v>42987516.681067325</v>
      </c>
      <c r="D26" s="16"/>
    </row>
    <row r="27" spans="1:10" x14ac:dyDescent="0.3">
      <c r="B27" t="s">
        <v>98</v>
      </c>
      <c r="C27" s="15">
        <f>C22-C26</f>
        <v>3907956.0619152039</v>
      </c>
    </row>
    <row r="28" spans="1:10" x14ac:dyDescent="0.3">
      <c r="B28" t="s">
        <v>99</v>
      </c>
      <c r="C28" s="15">
        <f>C27-C25</f>
        <v>3801629.0007850202</v>
      </c>
    </row>
    <row r="30" spans="1:10" x14ac:dyDescent="0.3">
      <c r="A30">
        <v>2</v>
      </c>
      <c r="B30" t="s">
        <v>100</v>
      </c>
      <c r="C30" s="15">
        <v>64805817.777900696</v>
      </c>
      <c r="D30" t="s">
        <v>101</v>
      </c>
      <c r="E30" s="15">
        <f>C30+C12+C17</f>
        <v>84408.409633904696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zoomScale="104" workbookViewId="0">
      <pane xSplit="2" ySplit="8" topLeftCell="C9" activePane="bottomRight" state="frozen"/>
      <selection activeCell="O8" sqref="O8"/>
      <selection pane="topRight" activeCell="O8" sqref="O8"/>
      <selection pane="bottomLeft" activeCell="O8" sqref="O8"/>
      <selection pane="bottomRight" activeCell="E22" sqref="E22"/>
    </sheetView>
  </sheetViews>
  <sheetFormatPr defaultRowHeight="14.5" x14ac:dyDescent="0.35"/>
  <cols>
    <col min="1" max="1" width="5.81640625" style="18" customWidth="1"/>
    <col min="2" max="2" width="26" style="18" bestFit="1" customWidth="1"/>
    <col min="3" max="3" width="13.81640625" style="19" customWidth="1"/>
    <col min="4" max="4" width="9.7265625" style="19" bestFit="1" customWidth="1"/>
    <col min="5" max="5" width="13.54296875" style="18" bestFit="1" customWidth="1"/>
    <col min="6" max="16384" width="8.7265625" style="18"/>
  </cols>
  <sheetData>
    <row r="1" spans="1:7" x14ac:dyDescent="0.35">
      <c r="A1" s="18" t="s">
        <v>102</v>
      </c>
    </row>
    <row r="2" spans="1:7" x14ac:dyDescent="0.35">
      <c r="A2" s="18" t="s">
        <v>103</v>
      </c>
    </row>
    <row r="3" spans="1:7" x14ac:dyDescent="0.35">
      <c r="A3" s="18" t="s">
        <v>104</v>
      </c>
    </row>
    <row r="5" spans="1:7" x14ac:dyDescent="0.35">
      <c r="A5" s="20" t="s">
        <v>105</v>
      </c>
      <c r="B5" s="20"/>
      <c r="C5" s="19" t="s">
        <v>106</v>
      </c>
      <c r="E5" s="21">
        <v>0.1</v>
      </c>
    </row>
    <row r="6" spans="1:7" x14ac:dyDescent="0.35">
      <c r="C6" s="19" t="s">
        <v>107</v>
      </c>
      <c r="D6" s="19" t="s">
        <v>108</v>
      </c>
      <c r="E6" s="19" t="s">
        <v>109</v>
      </c>
    </row>
    <row r="7" spans="1:7" x14ac:dyDescent="0.35">
      <c r="A7" s="22" t="s">
        <v>110</v>
      </c>
      <c r="B7" s="22" t="s">
        <v>111</v>
      </c>
      <c r="C7" s="19" t="s">
        <v>112</v>
      </c>
      <c r="D7" s="19" t="s">
        <v>113</v>
      </c>
      <c r="E7" s="19" t="s">
        <v>114</v>
      </c>
    </row>
    <row r="8" spans="1:7" x14ac:dyDescent="0.35">
      <c r="C8" s="23"/>
    </row>
    <row r="9" spans="1:7" x14ac:dyDescent="0.35">
      <c r="A9" s="18">
        <v>1</v>
      </c>
      <c r="B9" s="18" t="s">
        <v>115</v>
      </c>
      <c r="C9" s="23">
        <v>8791059.2400000002</v>
      </c>
      <c r="D9" s="19" t="s">
        <v>116</v>
      </c>
      <c r="E9" s="24">
        <f>C9*0.1</f>
        <v>879105.92400000012</v>
      </c>
      <c r="G9" s="18" t="s">
        <v>117</v>
      </c>
    </row>
    <row r="10" spans="1:7" x14ac:dyDescent="0.35">
      <c r="A10" s="18">
        <v>2</v>
      </c>
      <c r="B10" s="18" t="s">
        <v>118</v>
      </c>
      <c r="C10" s="23">
        <v>44344229</v>
      </c>
      <c r="D10" s="23" t="s">
        <v>116</v>
      </c>
      <c r="E10" s="24">
        <f t="shared" ref="E10:E49" si="0">C10*0.1</f>
        <v>4434422.9000000004</v>
      </c>
    </row>
    <row r="11" spans="1:7" x14ac:dyDescent="0.35">
      <c r="A11" s="18">
        <v>3</v>
      </c>
      <c r="B11" s="18" t="s">
        <v>119</v>
      </c>
      <c r="C11" s="23"/>
      <c r="E11" s="24"/>
      <c r="G11" s="18" t="s">
        <v>120</v>
      </c>
    </row>
    <row r="12" spans="1:7" x14ac:dyDescent="0.35">
      <c r="A12" s="18">
        <v>4</v>
      </c>
      <c r="B12" s="18" t="s">
        <v>121</v>
      </c>
      <c r="C12" s="23">
        <v>788666</v>
      </c>
      <c r="D12" s="19" t="s">
        <v>116</v>
      </c>
      <c r="E12" s="24">
        <f t="shared" si="0"/>
        <v>78866.600000000006</v>
      </c>
    </row>
    <row r="13" spans="1:7" x14ac:dyDescent="0.35">
      <c r="A13" s="18">
        <v>5</v>
      </c>
      <c r="B13" s="18" t="s">
        <v>122</v>
      </c>
      <c r="C13" s="23"/>
      <c r="E13" s="24"/>
    </row>
    <row r="14" spans="1:7" x14ac:dyDescent="0.35">
      <c r="A14" s="18">
        <v>6</v>
      </c>
      <c r="B14" s="18" t="s">
        <v>123</v>
      </c>
      <c r="C14" s="23">
        <v>43133.041700000002</v>
      </c>
      <c r="D14" s="19" t="s">
        <v>124</v>
      </c>
      <c r="E14" s="24">
        <f t="shared" si="0"/>
        <v>4313.3041700000003</v>
      </c>
    </row>
    <row r="15" spans="1:7" x14ac:dyDescent="0.35">
      <c r="A15" s="18">
        <v>8</v>
      </c>
      <c r="B15" s="18" t="s">
        <v>24</v>
      </c>
      <c r="C15" s="23">
        <v>11563156</v>
      </c>
      <c r="D15" s="21" t="s">
        <v>116</v>
      </c>
      <c r="E15" s="24">
        <f t="shared" si="0"/>
        <v>1156315.6000000001</v>
      </c>
    </row>
    <row r="16" spans="1:7" x14ac:dyDescent="0.35">
      <c r="A16" s="18">
        <v>9</v>
      </c>
      <c r="B16" s="18" t="s">
        <v>125</v>
      </c>
      <c r="C16" s="23">
        <v>55594398</v>
      </c>
      <c r="D16" s="19" t="s">
        <v>116</v>
      </c>
      <c r="E16" s="24">
        <f t="shared" si="0"/>
        <v>5559439.8000000007</v>
      </c>
    </row>
    <row r="17" spans="1:5" x14ac:dyDescent="0.35">
      <c r="A17" s="18">
        <v>10</v>
      </c>
      <c r="B17" s="18" t="s">
        <v>126</v>
      </c>
      <c r="C17" s="23">
        <v>6819.3</v>
      </c>
      <c r="D17" s="19" t="s">
        <v>124</v>
      </c>
      <c r="E17" s="24">
        <f t="shared" si="0"/>
        <v>681.93000000000006</v>
      </c>
    </row>
    <row r="18" spans="1:5" x14ac:dyDescent="0.35">
      <c r="A18" s="18">
        <v>11</v>
      </c>
      <c r="B18" s="18" t="s">
        <v>127</v>
      </c>
      <c r="C18" s="23">
        <v>4380820.4856733028</v>
      </c>
      <c r="D18" s="19" t="s">
        <v>116</v>
      </c>
      <c r="E18" s="24">
        <f t="shared" si="0"/>
        <v>438082.04856733029</v>
      </c>
    </row>
    <row r="19" spans="1:5" x14ac:dyDescent="0.35">
      <c r="A19" s="18">
        <v>12</v>
      </c>
      <c r="B19" s="18" t="s">
        <v>128</v>
      </c>
      <c r="C19" s="23">
        <v>18701553</v>
      </c>
      <c r="D19" s="19" t="s">
        <v>116</v>
      </c>
      <c r="E19" s="24">
        <f t="shared" si="0"/>
        <v>1870155.3</v>
      </c>
    </row>
    <row r="20" spans="1:5" x14ac:dyDescent="0.35">
      <c r="B20" s="18" t="s">
        <v>129</v>
      </c>
      <c r="C20" s="23"/>
      <c r="E20" s="24"/>
    </row>
    <row r="21" spans="1:5" x14ac:dyDescent="0.35">
      <c r="A21" s="18">
        <v>13</v>
      </c>
      <c r="B21" s="18" t="s">
        <v>130</v>
      </c>
      <c r="C21" s="23"/>
      <c r="E21" s="24"/>
    </row>
    <row r="22" spans="1:5" x14ac:dyDescent="0.35">
      <c r="A22" s="18">
        <v>15</v>
      </c>
      <c r="B22" s="18" t="s">
        <v>131</v>
      </c>
      <c r="C22" s="23">
        <v>15669492</v>
      </c>
      <c r="D22" s="19" t="s">
        <v>116</v>
      </c>
      <c r="E22" s="24">
        <f t="shared" si="0"/>
        <v>1566949.2000000002</v>
      </c>
    </row>
    <row r="23" spans="1:5" x14ac:dyDescent="0.35">
      <c r="A23" s="18">
        <v>16</v>
      </c>
      <c r="B23" s="18" t="s">
        <v>132</v>
      </c>
      <c r="C23" s="23">
        <v>301218</v>
      </c>
      <c r="D23" s="19" t="s">
        <v>116</v>
      </c>
      <c r="E23" s="24">
        <f t="shared" si="0"/>
        <v>30121.800000000003</v>
      </c>
    </row>
    <row r="24" spans="1:5" x14ac:dyDescent="0.35">
      <c r="A24" s="18">
        <v>17</v>
      </c>
      <c r="B24" s="18" t="s">
        <v>133</v>
      </c>
      <c r="C24" s="23">
        <v>1437523</v>
      </c>
      <c r="D24" s="19" t="s">
        <v>116</v>
      </c>
      <c r="E24" s="24">
        <f t="shared" si="0"/>
        <v>143752.30000000002</v>
      </c>
    </row>
    <row r="25" spans="1:5" x14ac:dyDescent="0.35">
      <c r="A25" s="18">
        <v>18</v>
      </c>
      <c r="B25" s="18" t="s">
        <v>134</v>
      </c>
      <c r="C25" s="23">
        <v>5235265</v>
      </c>
      <c r="D25" s="19" t="s">
        <v>124</v>
      </c>
      <c r="E25" s="24">
        <f t="shared" si="0"/>
        <v>523526.5</v>
      </c>
    </row>
    <row r="26" spans="1:5" x14ac:dyDescent="0.35">
      <c r="A26" s="18">
        <v>19</v>
      </c>
      <c r="B26" s="18" t="s">
        <v>135</v>
      </c>
      <c r="C26" s="23">
        <v>8059986.0699999994</v>
      </c>
      <c r="D26" s="19" t="s">
        <v>116</v>
      </c>
      <c r="E26" s="24">
        <f t="shared" si="0"/>
        <v>805998.60699999996</v>
      </c>
    </row>
    <row r="27" spans="1:5" x14ac:dyDescent="0.35">
      <c r="A27" s="18">
        <v>22</v>
      </c>
      <c r="B27" s="18" t="s">
        <v>136</v>
      </c>
      <c r="C27" s="23">
        <v>2784079</v>
      </c>
      <c r="D27" s="19" t="s">
        <v>124</v>
      </c>
      <c r="E27" s="24">
        <f t="shared" si="0"/>
        <v>278407.90000000002</v>
      </c>
    </row>
    <row r="28" spans="1:5" x14ac:dyDescent="0.35">
      <c r="A28" s="18">
        <v>23</v>
      </c>
      <c r="B28" s="18" t="s">
        <v>36</v>
      </c>
      <c r="C28" s="23">
        <v>34555488.581999995</v>
      </c>
      <c r="D28" s="19" t="s">
        <v>124</v>
      </c>
      <c r="E28" s="24">
        <f t="shared" si="0"/>
        <v>3455548.8581999997</v>
      </c>
    </row>
    <row r="29" spans="1:5" x14ac:dyDescent="0.35">
      <c r="A29" s="18">
        <v>24</v>
      </c>
      <c r="B29" s="18" t="s">
        <v>137</v>
      </c>
      <c r="C29" s="23"/>
      <c r="E29" s="24"/>
    </row>
    <row r="30" spans="1:5" x14ac:dyDescent="0.35">
      <c r="A30" s="18">
        <v>27</v>
      </c>
      <c r="B30" s="18" t="s">
        <v>138</v>
      </c>
      <c r="C30" s="23">
        <v>11776323</v>
      </c>
      <c r="D30" s="19" t="s">
        <v>139</v>
      </c>
      <c r="E30" s="24">
        <f t="shared" si="0"/>
        <v>1177632.3</v>
      </c>
    </row>
    <row r="31" spans="1:5" x14ac:dyDescent="0.35">
      <c r="A31" s="18">
        <v>28</v>
      </c>
      <c r="B31" s="18" t="s">
        <v>140</v>
      </c>
      <c r="C31" s="23">
        <v>5836530</v>
      </c>
      <c r="D31" s="19" t="s">
        <v>124</v>
      </c>
      <c r="E31" s="24">
        <f t="shared" si="0"/>
        <v>583653</v>
      </c>
    </row>
    <row r="32" spans="1:5" x14ac:dyDescent="0.35">
      <c r="A32" s="18">
        <v>29</v>
      </c>
      <c r="B32" s="18" t="s">
        <v>141</v>
      </c>
      <c r="C32" s="23">
        <v>13469037</v>
      </c>
      <c r="D32" s="19" t="s">
        <v>116</v>
      </c>
      <c r="E32" s="24">
        <f t="shared" si="0"/>
        <v>1346903.7000000002</v>
      </c>
    </row>
    <row r="33" spans="1:5" x14ac:dyDescent="0.35">
      <c r="A33" s="18">
        <v>30</v>
      </c>
      <c r="B33" s="18" t="s">
        <v>142</v>
      </c>
      <c r="C33" s="23">
        <v>772042.0669922533</v>
      </c>
      <c r="D33" s="19" t="s">
        <v>124</v>
      </c>
      <c r="E33" s="24">
        <f t="shared" si="0"/>
        <v>77204.206699225339</v>
      </c>
    </row>
    <row r="34" spans="1:5" x14ac:dyDescent="0.35">
      <c r="A34" s="18">
        <v>32</v>
      </c>
      <c r="B34" s="18" t="s">
        <v>143</v>
      </c>
      <c r="C34" s="23">
        <v>2820209.8879461545</v>
      </c>
      <c r="D34" s="19" t="s">
        <v>116</v>
      </c>
      <c r="E34" s="24">
        <f t="shared" si="0"/>
        <v>282020.98879461543</v>
      </c>
    </row>
    <row r="35" spans="1:5" x14ac:dyDescent="0.35">
      <c r="A35" s="18">
        <v>34</v>
      </c>
      <c r="B35" s="18" t="s">
        <v>144</v>
      </c>
      <c r="C35" s="23">
        <v>241848</v>
      </c>
      <c r="D35" s="19" t="s">
        <v>116</v>
      </c>
      <c r="E35" s="24">
        <f t="shared" si="0"/>
        <v>24184.800000000003</v>
      </c>
    </row>
    <row r="36" spans="1:5" x14ac:dyDescent="0.35">
      <c r="A36" s="18">
        <v>35</v>
      </c>
      <c r="B36" s="18" t="s">
        <v>145</v>
      </c>
      <c r="C36" s="23">
        <v>1009608.1289619136</v>
      </c>
      <c r="D36" s="19" t="s">
        <v>124</v>
      </c>
      <c r="E36" s="24">
        <f t="shared" si="0"/>
        <v>100960.81289619138</v>
      </c>
    </row>
    <row r="37" spans="1:5" x14ac:dyDescent="0.35">
      <c r="A37" s="18">
        <v>37</v>
      </c>
      <c r="B37" s="18" t="s">
        <v>146</v>
      </c>
      <c r="C37" s="23">
        <v>6979993.1830400014</v>
      </c>
      <c r="D37" s="19" t="s">
        <v>124</v>
      </c>
      <c r="E37" s="24">
        <f t="shared" si="0"/>
        <v>697999.31830400019</v>
      </c>
    </row>
    <row r="38" spans="1:5" x14ac:dyDescent="0.35">
      <c r="A38" s="18">
        <v>38</v>
      </c>
      <c r="B38" s="18" t="s">
        <v>147</v>
      </c>
      <c r="C38" s="23">
        <v>306594.01122580643</v>
      </c>
      <c r="D38" s="19" t="s">
        <v>116</v>
      </c>
      <c r="E38" s="24">
        <f t="shared" si="0"/>
        <v>30659.401122580646</v>
      </c>
    </row>
    <row r="39" spans="1:5" x14ac:dyDescent="0.35">
      <c r="A39" s="18">
        <v>39</v>
      </c>
      <c r="B39" s="18" t="s">
        <v>148</v>
      </c>
      <c r="C39" s="23">
        <v>3335393</v>
      </c>
      <c r="D39" s="19" t="s">
        <v>124</v>
      </c>
      <c r="E39" s="24">
        <f t="shared" si="0"/>
        <v>333539.30000000005</v>
      </c>
    </row>
    <row r="40" spans="1:5" x14ac:dyDescent="0.35">
      <c r="A40" s="18">
        <v>40</v>
      </c>
      <c r="B40" s="18" t="s">
        <v>149</v>
      </c>
      <c r="C40" s="23">
        <v>2595153.6913333335</v>
      </c>
      <c r="D40" s="19" t="s">
        <v>116</v>
      </c>
      <c r="E40" s="24">
        <f t="shared" si="0"/>
        <v>259515.36913333336</v>
      </c>
    </row>
    <row r="41" spans="1:5" x14ac:dyDescent="0.35">
      <c r="A41" s="18">
        <v>43</v>
      </c>
      <c r="B41" s="18" t="s">
        <v>150</v>
      </c>
      <c r="C41" s="23">
        <v>1238974.7549999999</v>
      </c>
      <c r="D41" s="19" t="s">
        <v>124</v>
      </c>
      <c r="E41" s="24">
        <f t="shared" si="0"/>
        <v>123897.4755</v>
      </c>
    </row>
    <row r="42" spans="1:5" x14ac:dyDescent="0.35">
      <c r="A42" s="18">
        <v>44</v>
      </c>
      <c r="B42" s="18" t="s">
        <v>151</v>
      </c>
      <c r="C42" s="23">
        <v>17435781</v>
      </c>
      <c r="D42" s="19" t="s">
        <v>124</v>
      </c>
      <c r="E42" s="24">
        <f t="shared" si="0"/>
        <v>1743578.1</v>
      </c>
    </row>
    <row r="43" spans="1:5" x14ac:dyDescent="0.35">
      <c r="A43" s="18">
        <v>45</v>
      </c>
      <c r="B43" s="18" t="s">
        <v>152</v>
      </c>
      <c r="C43" s="23">
        <v>106730</v>
      </c>
      <c r="D43" s="19" t="s">
        <v>124</v>
      </c>
      <c r="E43" s="24">
        <f t="shared" si="0"/>
        <v>10673</v>
      </c>
    </row>
    <row r="44" spans="1:5" x14ac:dyDescent="0.35">
      <c r="A44" s="18">
        <v>48</v>
      </c>
      <c r="B44" s="18" t="s">
        <v>153</v>
      </c>
      <c r="C44" s="23">
        <v>102473</v>
      </c>
      <c r="D44" s="19" t="s">
        <v>124</v>
      </c>
      <c r="E44" s="24">
        <f t="shared" si="0"/>
        <v>10247.300000000001</v>
      </c>
    </row>
    <row r="45" spans="1:5" x14ac:dyDescent="0.35">
      <c r="A45" s="18">
        <v>49</v>
      </c>
      <c r="B45" s="18" t="s">
        <v>154</v>
      </c>
      <c r="C45" s="23">
        <v>0</v>
      </c>
      <c r="D45" s="19" t="s">
        <v>116</v>
      </c>
      <c r="E45" s="24">
        <f t="shared" si="0"/>
        <v>0</v>
      </c>
    </row>
    <row r="46" spans="1:5" x14ac:dyDescent="0.35">
      <c r="A46" s="18">
        <v>51</v>
      </c>
      <c r="B46" s="18" t="s">
        <v>155</v>
      </c>
      <c r="C46" s="23">
        <v>305432</v>
      </c>
      <c r="D46" s="19" t="s">
        <v>124</v>
      </c>
      <c r="E46" s="24">
        <f t="shared" si="0"/>
        <v>30543.200000000001</v>
      </c>
    </row>
    <row r="47" spans="1:5" x14ac:dyDescent="0.35">
      <c r="A47" s="18">
        <v>55</v>
      </c>
      <c r="B47" s="18" t="s">
        <v>156</v>
      </c>
      <c r="C47" s="23">
        <v>270154.78000000003</v>
      </c>
      <c r="D47" s="19" t="s">
        <v>124</v>
      </c>
      <c r="E47" s="24">
        <f t="shared" si="0"/>
        <v>27015.478000000003</v>
      </c>
    </row>
    <row r="48" spans="1:5" x14ac:dyDescent="0.35">
      <c r="A48" s="18">
        <v>56</v>
      </c>
      <c r="B48" s="18" t="s">
        <v>157</v>
      </c>
      <c r="C48" s="23"/>
      <c r="E48" s="24"/>
    </row>
    <row r="49" spans="1:5" x14ac:dyDescent="0.35">
      <c r="A49" s="18">
        <v>57</v>
      </c>
      <c r="B49" s="18" t="s">
        <v>158</v>
      </c>
      <c r="C49" s="23">
        <v>1419395</v>
      </c>
      <c r="D49" s="19" t="s">
        <v>116</v>
      </c>
      <c r="E49" s="24">
        <f t="shared" si="0"/>
        <v>141939.5</v>
      </c>
    </row>
    <row r="50" spans="1:5" x14ac:dyDescent="0.35">
      <c r="A50" s="18">
        <v>58</v>
      </c>
      <c r="B50" s="18" t="s">
        <v>159</v>
      </c>
      <c r="C50" s="23"/>
      <c r="E50" s="24"/>
    </row>
    <row r="51" spans="1:5" x14ac:dyDescent="0.35">
      <c r="A51" s="18">
        <v>60</v>
      </c>
      <c r="B51" s="18" t="s">
        <v>160</v>
      </c>
      <c r="C51" s="23"/>
      <c r="E51" s="24"/>
    </row>
    <row r="52" spans="1:5" x14ac:dyDescent="0.35">
      <c r="A52" s="18">
        <v>61</v>
      </c>
      <c r="B52" s="18" t="s">
        <v>161</v>
      </c>
      <c r="C52" s="23">
        <v>2928459</v>
      </c>
      <c r="D52" s="19" t="s">
        <v>124</v>
      </c>
      <c r="E52" s="24">
        <f>C52*0.1</f>
        <v>292845.90000000002</v>
      </c>
    </row>
    <row r="53" spans="1:5" x14ac:dyDescent="0.35">
      <c r="A53" s="18">
        <v>62</v>
      </c>
      <c r="B53" s="18" t="s">
        <v>162</v>
      </c>
      <c r="C53" s="23"/>
      <c r="E53" s="24"/>
    </row>
    <row r="54" spans="1:5" x14ac:dyDescent="0.35">
      <c r="A54" s="18">
        <v>63</v>
      </c>
      <c r="B54" s="18" t="s">
        <v>163</v>
      </c>
      <c r="C54" s="23"/>
      <c r="E54" s="24"/>
    </row>
    <row r="55" spans="1:5" x14ac:dyDescent="0.35">
      <c r="C55" s="23"/>
      <c r="E55" s="25"/>
    </row>
    <row r="56" spans="1:5" ht="15" thickBot="1" x14ac:dyDescent="0.4">
      <c r="A56" s="20" t="s">
        <v>164</v>
      </c>
      <c r="B56" s="20"/>
      <c r="C56" s="26">
        <f>SUM(C9:C54)</f>
        <v>285207017.22387272</v>
      </c>
      <c r="D56" s="23"/>
      <c r="E56" s="27">
        <f>SUM(E9:E54)</f>
        <v>28520701.72238728</v>
      </c>
    </row>
    <row r="57" spans="1:5" ht="15" thickTop="1" x14ac:dyDescent="0.35"/>
    <row r="58" spans="1:5" x14ac:dyDescent="0.35">
      <c r="B58" s="18" t="s">
        <v>165</v>
      </c>
    </row>
  </sheetData>
  <printOptions horizontalCentered="1" verticalCentered="1"/>
  <pageMargins left="0.25" right="0.25" top="0.5" bottom="0.5" header="0.25" footer="0.25"/>
  <pageSetup paperSize="5" scale="69" orientation="landscape" r:id="rId1"/>
  <headerFooter>
    <oddHeader>&amp;R&amp;D&amp;T</oddHeader>
    <oddFooter>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13077-51BD-4050-8D7F-7D8F206FA7B0}"/>
</file>

<file path=customXml/itemProps2.xml><?xml version="1.0" encoding="utf-8"?>
<ds:datastoreItem xmlns:ds="http://schemas.openxmlformats.org/officeDocument/2006/customXml" ds:itemID="{C2B28E05-177B-4D85-90EC-8DAF3EF7F9FA}"/>
</file>

<file path=customXml/itemProps3.xml><?xml version="1.0" encoding="utf-8"?>
<ds:datastoreItem xmlns:ds="http://schemas.openxmlformats.org/officeDocument/2006/customXml" ds:itemID="{79B1A22B-43C8-4D48-8701-DEC6112C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FY2020 Prj Inflation</vt:lpstr>
      <vt:lpstr>Special Adj Support</vt:lpstr>
      <vt:lpstr>High Cost Drug Inf Prj</vt:lpstr>
      <vt:lpstr>'High Cost Drug Inf Prj'!Print_Area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Caitlin Grim</cp:lastModifiedBy>
  <dcterms:created xsi:type="dcterms:W3CDTF">2019-06-27T13:20:46Z</dcterms:created>
  <dcterms:modified xsi:type="dcterms:W3CDTF">2019-07-16T20:36:52Z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