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drawings/drawing2.xml" ContentType="application/vnd.openxmlformats-officedocument.drawingml.chartshapes+xml"/>
  <Override PartName="/xl/workbook.xml" ContentType="application/vnd.openxmlformats-officedocument.spreadsheetml.sheet.main+xml"/>
  <Override PartName="/xl/worksheets/sheet5.xml" ContentType="application/vnd.openxmlformats-officedocument.spreadsheetml.worksheet+xml"/>
  <Override PartName="/xl/worksheets/sheet2.xml" ContentType="application/vnd.openxmlformats-officedocument.spreadsheetml.worksheet+xml"/>
  <Override PartName="/xl/charts/colors2.xml" ContentType="application/vnd.ms-office.chartcolorstyle+xml"/>
  <Override PartName="/xl/charts/style2.xml" ContentType="application/vnd.ms-office.chartstyle+xml"/>
  <Override PartName="/xl/charts/chart2.xml" ContentType="application/vnd.openxmlformats-officedocument.drawingml.chart+xml"/>
  <Override PartName="/xl/charts/colors1.xml" ContentType="application/vnd.ms-office.chartcolorstyle+xml"/>
  <Override PartName="/xl/charts/style1.xml" ContentType="application/vnd.ms-office.chartstyle+xml"/>
  <Override PartName="/xl/charts/chart1.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worksheets/sheet3.xml" ContentType="application/vnd.openxmlformats-officedocument.spreadsheetml.worksheet+xml"/>
  <Override PartName="/xl/worksheets/sheet4.xml" ContentType="application/vnd.openxmlformats-officedocument.spreadsheetml.worksheet+xml"/>
  <Override PartName="/xl/charts/colors4.xml" ContentType="application/vnd.ms-office.chartcolorstyle+xml"/>
  <Override PartName="/xl/charts/style4.xml" ContentType="application/vnd.ms-office.chartstyle+xml"/>
  <Override PartName="/xl/charts/chart4.xml" ContentType="application/vnd.openxmlformats-officedocument.drawingml.chart+xml"/>
  <Override PartName="/xl/theme/theme1.xml" ContentType="application/vnd.openxmlformats-officedocument.theme+xml"/>
  <Override PartName="/xl/worksheets/sheet1.xml" ContentType="application/vnd.openxmlformats-officedocument.spreadsheetml.worksheet+xml"/>
  <Override PartName="/xl/worksheets/sheet34.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36.xml" ContentType="application/vnd.openxmlformats-officedocument.spreadsheetml.worksheet+xml"/>
  <Override PartName="/xl/worksheets/sheet41.xml" ContentType="application/vnd.openxmlformats-officedocument.spreadsheetml.worksheet+xml"/>
  <Override PartName="/xl/worksheets/sheet40.xml" ContentType="application/vnd.openxmlformats-officedocument.spreadsheetml.worksheet+xml"/>
  <Override PartName="/xl/worksheets/sheet39.xml" ContentType="application/vnd.openxmlformats-officedocument.spreadsheetml.worksheet+xml"/>
  <Override PartName="/xl/worksheets/sheet38.xml" ContentType="application/vnd.openxmlformats-officedocument.spreadsheetml.worksheet+xml"/>
  <Override PartName="/xl/worksheets/sheet3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64.xml" ContentType="application/vnd.openxmlformats-officedocument.spreadsheetml.worksheet+xml"/>
  <Override PartName="/xl/worksheets/sheet63.xml" ContentType="application/vnd.openxmlformats-officedocument.spreadsheetml.worksheet+xml"/>
  <Override PartName="/xl/worksheets/sheet62.xml" ContentType="application/vnd.openxmlformats-officedocument.spreadsheetml.worksheet+xml"/>
  <Override PartName="/xl/worksheets/sheet61.xml" ContentType="application/vnd.openxmlformats-officedocument.spreadsheetml.worksheet+xml"/>
  <Override PartName="/xl/worksheets/sheet60.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10.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35.xml" ContentType="application/vnd.openxmlformats-officedocument.spreadsheetml.worksheet+xml"/>
  <Override PartName="/xl/worksheets/sheet59.xml" ContentType="application/vnd.openxmlformats-officedocument.spreadsheetml.worksheet+xml"/>
  <Override PartName="/xl/worksheets/sheet57.xml" ContentType="application/vnd.openxmlformats-officedocument.spreadsheetml.worksheet+xml"/>
  <Override PartName="/xl/worksheets/sheet49.xml" ContentType="application/vnd.openxmlformats-officedocument.spreadsheetml.worksheet+xml"/>
  <Override PartName="/xl/worksheets/sheet48.xml" ContentType="application/vnd.openxmlformats-officedocument.spreadsheetml.worksheet+xml"/>
  <Override PartName="/xl/worksheets/sheet47.xml" ContentType="application/vnd.openxmlformats-officedocument.spreadsheetml.worksheet+xml"/>
  <Override PartName="/xl/worksheets/sheet46.xml" ContentType="application/vnd.openxmlformats-officedocument.spreadsheetml.worksheet+xml"/>
  <Override PartName="/xl/worksheets/sheet45.xml" ContentType="application/vnd.openxmlformats-officedocument.spreadsheetml.worksheet+xml"/>
  <Override PartName="/xl/worksheets/sheet50.xml" ContentType="application/vnd.openxmlformats-officedocument.spreadsheetml.worksheet+xml"/>
  <Override PartName="/xl/worksheets/sheet58.xml" ContentType="application/vnd.openxmlformats-officedocument.spreadsheetml.worksheet+xml"/>
  <Override PartName="/xl/worksheets/sheet56.xml" ContentType="application/vnd.openxmlformats-officedocument.spreadsheetml.worksheet+xml"/>
  <Override PartName="/xl/worksheets/sheet55.xml" ContentType="application/vnd.openxmlformats-officedocument.spreadsheetml.worksheet+xml"/>
  <Override PartName="/xl/worksheets/sheet51.xml" ContentType="application/vnd.openxmlformats-officedocument.spreadsheetml.worksheet+xml"/>
  <Override PartName="/xl/worksheets/sheet54.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externalLinks/externalLink3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comments1.xml" ContentType="application/vnd.openxmlformats-officedocument.spreadsheetml.comments+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3.xml" ContentType="application/vnd.openxmlformats-officedocument.spreadsheetml.externalLink+xml"/>
  <Override PartName="/xl/externalLinks/externalLink26.xml" ContentType="application/vnd.openxmlformats-officedocument.spreadsheetml.externalLink+xml"/>
  <Override PartName="/xl/externalLinks/externalLink25.xml" ContentType="application/vnd.openxmlformats-officedocument.spreadsheetml.externalLink+xml"/>
  <Override PartName="/xl/externalLinks/externalLink2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12.xml" ContentType="application/vnd.openxmlformats-officedocument.spreadsheetml.externalLink+xml"/>
  <Override PartName="/xl/comments2.xml" ContentType="application/vnd.openxmlformats-officedocument.spreadsheetml.comments+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externalLinks/externalLink11.xml" ContentType="application/vnd.openxmlformats-officedocument.spreadsheetml.externalLink+xml"/>
  <Override PartName="/xl/calcChain.xml" ContentType="application/vnd.openxmlformats-officedocument.spreadsheetml.calcChain+xml"/>
  <Override PartName="/xl/externalLinks/externalLink3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Community Benefit Reports\CBR-FY15 Reports\Docs for Website\"/>
    </mc:Choice>
  </mc:AlternateContent>
  <workbookProtection workbookAlgorithmName="SHA-512" workbookHashValue="NimfCAAyH1KYXoJppqxN+n+EJVX5Ub3yTuqnOe5X1OQJsijiLdkqRwz2I2S3KJe1zMLj5SxWxloZUFkIE067gQ==" workbookSaltValue="Ex5y9r/opjvodrSWxOUSyQ==" workbookSpinCount="100000" lockStructure="1"/>
  <bookViews>
    <workbookView xWindow="-15" yWindow="6390" windowWidth="20505" windowHeight="975" tabRatio="874" firstSheet="4" activeTab="8"/>
  </bookViews>
  <sheets>
    <sheet name="DME_NSPI-all" sheetId="3" state="hidden" r:id="rId1"/>
    <sheet name="NSP" sheetId="8" state="hidden" r:id="rId2"/>
    <sheet name="Final Charity Care" sheetId="64" state="hidden" r:id="rId3"/>
    <sheet name="Charts" sheetId="6" state="hidden" r:id="rId4"/>
    <sheet name="CB Table 1" sheetId="5" r:id="rId5"/>
    <sheet name="ACA Expansion Expense" sheetId="127" state="hidden" r:id="rId6"/>
    <sheet name="Rate Support-Attachment I" sheetId="4" r:id="rId7"/>
    <sheet name="Attachment II-All Hospitals" sheetId="126" r:id="rId8"/>
    <sheet name="Attachment III-All" sheetId="60" r:id="rId9"/>
    <sheet name="#1-Meritus" sheetId="67" r:id="rId10"/>
    <sheet name="#2-UMMC" sheetId="68" r:id="rId11"/>
    <sheet name="#3-Prince Georges Hospital" sheetId="110" r:id="rId12"/>
    <sheet name="#4-Holy Cross Hospital" sheetId="76" r:id="rId13"/>
    <sheet name="#5-Frederick Memorial Hospital" sheetId="77" r:id="rId14"/>
    <sheet name="#6-UM Harford Memorial" sheetId="73" r:id="rId15"/>
    <sheet name="#8-Mercy" sheetId="78" r:id="rId16"/>
    <sheet name="#9-Johns Hopkins" sheetId="79" r:id="rId17"/>
    <sheet name="#10-UM Shore Health Dorchester" sheetId="108" r:id="rId18"/>
    <sheet name="#11-St. Agnes Hospital" sheetId="80" r:id="rId19"/>
    <sheet name="#12-Sinai" sheetId="81" r:id="rId20"/>
    <sheet name="#13-Bon Secours" sheetId="82" r:id="rId21"/>
    <sheet name="#15-MedStar Franklin Square" sheetId="83" r:id="rId22"/>
    <sheet name="#16-Washington Adventist" sheetId="113" r:id="rId23"/>
    <sheet name="#17-Garrett County Memorial" sheetId="84" r:id="rId24"/>
    <sheet name="#18-MedStar Montgomery General" sheetId="85" r:id="rId25"/>
    <sheet name="#19-Peninsula Regional" sheetId="86" r:id="rId26"/>
    <sheet name="#22-Suburban" sheetId="122" r:id="rId27"/>
    <sheet name="#23-AAMC" sheetId="123" r:id="rId28"/>
    <sheet name="#24-MedStar Union Memorial" sheetId="88" r:id="rId29"/>
    <sheet name="#27-Western Maryland Regional" sheetId="89" r:id="rId30"/>
    <sheet name="#28-MedStar St. Marys" sheetId="90" r:id="rId31"/>
    <sheet name="#29-JH Bayview" sheetId="124" r:id="rId32"/>
    <sheet name="#30-UM Shore Health Chestertown" sheetId="107" r:id="rId33"/>
    <sheet name="#32-Union Hospital Cecil Co" sheetId="92" r:id="rId34"/>
    <sheet name="#33-Carroll Hospital Center" sheetId="93" r:id="rId35"/>
    <sheet name="#34-MedStar Harbor Hospital" sheetId="94" r:id="rId36"/>
    <sheet name="#35-UM Charles Regional" sheetId="95" r:id="rId37"/>
    <sheet name="#37-UM Shore Health Easton" sheetId="109" r:id="rId38"/>
    <sheet name="#38-UM Midtown" sheetId="70" r:id="rId39"/>
    <sheet name="#39-Calvert Memorial" sheetId="96" r:id="rId40"/>
    <sheet name="#40-Lifebridge Northwest" sheetId="97" r:id="rId41"/>
    <sheet name="#43-UM BWMC" sheetId="71" r:id="rId42"/>
    <sheet name="#44-GBMC" sheetId="118" r:id="rId43"/>
    <sheet name="#45-McCready" sheetId="117" r:id="rId44"/>
    <sheet name="#48-Howard County" sheetId="98" r:id="rId45"/>
    <sheet name="#49-UM Upper Chesapeake Medical" sheetId="74" r:id="rId46"/>
    <sheet name="#51-Doctors Community Hospital" sheetId="99" r:id="rId47"/>
    <sheet name="#55-Laurel Regional" sheetId="111" r:id="rId48"/>
    <sheet name="#60-Fort Washington" sheetId="101" r:id="rId49"/>
    <sheet name="#61-Atlantic General" sheetId="102" r:id="rId50"/>
    <sheet name="#62-MedStar Southern Maryland" sheetId="103" r:id="rId51"/>
    <sheet name="#63-UM St Joseph" sheetId="125" r:id="rId52"/>
    <sheet name="#64-Levindale" sheetId="104" r:id="rId53"/>
    <sheet name="#65-Holy Cross Germantown" sheetId="106" r:id="rId54"/>
    <sheet name="#2001-UM ROI" sheetId="72" r:id="rId55"/>
    <sheet name="#2004-MedStar Good Samaritan" sheetId="100" r:id="rId56"/>
    <sheet name="#5050-Shady Grove Adventist" sheetId="114" r:id="rId57"/>
    <sheet name="#3029-Adventist Rehab" sheetId="119" r:id="rId58"/>
    <sheet name="#3478-ABH-ES" sheetId="116" r:id="rId59"/>
    <sheet name="#4000-Sheppard Pratt" sheetId="105" r:id="rId60"/>
    <sheet name="#4013-ABH-Rockville" sheetId="115" r:id="rId61"/>
    <sheet name="#5034-Mt Washington Pediatric" sheetId="75" r:id="rId62"/>
    <sheet name="#22-Suburban - Original" sheetId="112" r:id="rId63"/>
    <sheet name="#23-AAMC - Original" sheetId="87" r:id="rId64"/>
    <sheet name="#29-JH Bayview - Original" sheetId="91" r:id="rId65"/>
    <sheet name="#63-UM St Joseph - Original" sheetId="69" r:id="rId66"/>
  </sheets>
  <externalReferences>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s>
  <definedNames>
    <definedName name="_xlnm._FilterDatabase" localSheetId="7" hidden="1">'Attachment II-All Hospitals'!$A$2:$M$2</definedName>
    <definedName name="_xlnm._FilterDatabase" localSheetId="3" hidden="1">Charts!$A$2:$C$12</definedName>
    <definedName name="acct" localSheetId="26">#REF!</definedName>
    <definedName name="acct" localSheetId="27">#REF!</definedName>
    <definedName name="acct" localSheetId="31">#REF!</definedName>
    <definedName name="acct" localSheetId="51">#REF!</definedName>
    <definedName name="acct" localSheetId="7">#REF!</definedName>
    <definedName name="acct" localSheetId="8">#REF!</definedName>
    <definedName name="acct">#REF!</definedName>
    <definedName name="acct1" localSheetId="26">#REF!</definedName>
    <definedName name="acct1" localSheetId="27">#REF!</definedName>
    <definedName name="acct1" localSheetId="31">#REF!</definedName>
    <definedName name="acct1" localSheetId="51">#REF!</definedName>
    <definedName name="acct1" localSheetId="7">#REF!</definedName>
    <definedName name="acct1" localSheetId="8">#REF!</definedName>
    <definedName name="acct1">#REF!</definedName>
    <definedName name="bal_umc" localSheetId="26">'[1]p8 CONS BS'!#REF!</definedName>
    <definedName name="bal_umc" localSheetId="27">'[1]p8 CONS BS'!#REF!</definedName>
    <definedName name="bal_umc" localSheetId="31">'[1]p8 CONS BS'!#REF!</definedName>
    <definedName name="bal_umc" localSheetId="51">'[1]p8 CONS BS'!#REF!</definedName>
    <definedName name="bal_umc" localSheetId="7">'[1]p8 CONS BS'!#REF!</definedName>
    <definedName name="bal_umc" localSheetId="8">'[1]p8 CONS BS'!#REF!</definedName>
    <definedName name="bal_umc">'[1]p8 CONS BS'!#REF!</definedName>
    <definedName name="BALANCE_UMMC" localSheetId="26">'[1]p8 CONS BS'!#REF!</definedName>
    <definedName name="BALANCE_UMMC" localSheetId="27">'[1]p8 CONS BS'!#REF!</definedName>
    <definedName name="BALANCE_UMMC" localSheetId="31">'[1]p8 CONS BS'!#REF!</definedName>
    <definedName name="BALANCE_UMMC" localSheetId="51">'[1]p8 CONS BS'!#REF!</definedName>
    <definedName name="BALANCE_UMMC" localSheetId="7">'[1]p8 CONS BS'!#REF!</definedName>
    <definedName name="BALANCE_UMMC" localSheetId="8">'[1]p8 CONS BS'!#REF!</definedName>
    <definedName name="BALANCE_UMMC">'[1]p8 CONS BS'!#REF!</definedName>
    <definedName name="C_Code" localSheetId="26">[2]D!#REF!</definedName>
    <definedName name="C_Code" localSheetId="27">[2]D!#REF!</definedName>
    <definedName name="C_Code" localSheetId="31">[2]D!#REF!</definedName>
    <definedName name="C_Code" localSheetId="51">[2]D!#REF!</definedName>
    <definedName name="C_Code" localSheetId="7">[2]D!#REF!</definedName>
    <definedName name="C_Code">[2]D!#REF!</definedName>
    <definedName name="C_Num" localSheetId="26">[2]D!#REF!</definedName>
    <definedName name="C_Num" localSheetId="27">[2]D!#REF!</definedName>
    <definedName name="C_Num" localSheetId="31">[2]D!#REF!</definedName>
    <definedName name="C_Num" localSheetId="51">[2]D!#REF!</definedName>
    <definedName name="C_Num" localSheetId="7">[2]D!#REF!</definedName>
    <definedName name="C_Num">[2]D!#REF!</definedName>
    <definedName name="CASH_UMMC" localSheetId="26">'[1]p10 CF'!#REF!</definedName>
    <definedName name="CASH_UMMC" localSheetId="27">'[1]p10 CF'!#REF!</definedName>
    <definedName name="CASH_UMMC" localSheetId="31">'[1]p10 CF'!#REF!</definedName>
    <definedName name="CASH_UMMC" localSheetId="51">'[1]p10 CF'!#REF!</definedName>
    <definedName name="CASH_UMMC" localSheetId="7">'[1]p10 CF'!#REF!</definedName>
    <definedName name="CASH_UMMC">'[1]p10 CF'!#REF!</definedName>
    <definedName name="CFA_I" localSheetId="26">#REF!</definedName>
    <definedName name="CFA_I" localSheetId="27">#REF!</definedName>
    <definedName name="CFA_I" localSheetId="31">#REF!</definedName>
    <definedName name="CFA_I" localSheetId="51">#REF!</definedName>
    <definedName name="CFA_I" localSheetId="7">#REF!</definedName>
    <definedName name="CFA_I" localSheetId="8">#REF!</definedName>
    <definedName name="CFA_I">#REF!</definedName>
    <definedName name="consol" localSheetId="26">#REF!</definedName>
    <definedName name="consol" localSheetId="27">#REF!</definedName>
    <definedName name="consol" localSheetId="31">#REF!</definedName>
    <definedName name="consol" localSheetId="51">#REF!</definedName>
    <definedName name="consol" localSheetId="7">#REF!</definedName>
    <definedName name="consol" localSheetId="8">#REF!</definedName>
    <definedName name="consol">#REF!</definedName>
    <definedName name="CPV" localSheetId="26">#REF!</definedName>
    <definedName name="CPV" localSheetId="27">#REF!</definedName>
    <definedName name="CPV" localSheetId="31">#REF!</definedName>
    <definedName name="CPV" localSheetId="51">#REF!</definedName>
    <definedName name="CPV" localSheetId="7">#REF!</definedName>
    <definedName name="CPV">#REF!</definedName>
    <definedName name="csh_ummc" localSheetId="26">'[1]p10 CF'!#REF!</definedName>
    <definedName name="csh_ummc" localSheetId="27">'[1]p10 CF'!#REF!</definedName>
    <definedName name="csh_ummc" localSheetId="31">'[1]p10 CF'!#REF!</definedName>
    <definedName name="csh_ummc" localSheetId="51">'[1]p10 CF'!#REF!</definedName>
    <definedName name="csh_ummc" localSheetId="7">'[1]p10 CF'!#REF!</definedName>
    <definedName name="csh_ummc" localSheetId="8">'[1]p10 CF'!#REF!</definedName>
    <definedName name="csh_ummc">'[1]p10 CF'!#REF!</definedName>
    <definedName name="CurrRO">'[3]PY RO'!$A$13:$K$86</definedName>
    <definedName name="DataRange" localSheetId="26">#REF!</definedName>
    <definedName name="DataRange" localSheetId="27">#REF!</definedName>
    <definedName name="DataRange" localSheetId="31">#REF!</definedName>
    <definedName name="DataRange" localSheetId="51">#REF!</definedName>
    <definedName name="DataRange" localSheetId="7">#REF!</definedName>
    <definedName name="DataRange" localSheetId="8">#REF!</definedName>
    <definedName name="DataRange">#REF!</definedName>
    <definedName name="dept" localSheetId="26">#REF!</definedName>
    <definedName name="dept" localSheetId="27">#REF!</definedName>
    <definedName name="dept" localSheetId="31">#REF!</definedName>
    <definedName name="dept" localSheetId="51">#REF!</definedName>
    <definedName name="dept" localSheetId="7">#REF!</definedName>
    <definedName name="dept" localSheetId="8">#REF!</definedName>
    <definedName name="dept">#REF!</definedName>
    <definedName name="DP_Schedule" localSheetId="26">#REF!</definedName>
    <definedName name="DP_Schedule" localSheetId="27">#REF!</definedName>
    <definedName name="DP_Schedule" localSheetId="31">#REF!</definedName>
    <definedName name="DP_Schedule" localSheetId="51">#REF!</definedName>
    <definedName name="DP_Schedule" localSheetId="7">#REF!</definedName>
    <definedName name="DP_Schedule">#REF!</definedName>
    <definedName name="Exh_II" localSheetId="26">#REF!</definedName>
    <definedName name="Exh_II" localSheetId="27">#REF!</definedName>
    <definedName name="Exh_II" localSheetId="31">#REF!</definedName>
    <definedName name="Exh_II" localSheetId="51">#REF!</definedName>
    <definedName name="Exh_II" localSheetId="7">#REF!</definedName>
    <definedName name="Exh_II">#REF!</definedName>
    <definedName name="Exh_V" localSheetId="26">#REF!</definedName>
    <definedName name="Exh_V" localSheetId="27">#REF!</definedName>
    <definedName name="Exh_V" localSheetId="31">#REF!</definedName>
    <definedName name="Exh_V" localSheetId="51">#REF!</definedName>
    <definedName name="Exh_V" localSheetId="7">#REF!</definedName>
    <definedName name="Exh_V">#REF!</definedName>
    <definedName name="Factors_I" localSheetId="26">#REF!</definedName>
    <definedName name="Factors_I" localSheetId="27">#REF!</definedName>
    <definedName name="Factors_I" localSheetId="31">#REF!</definedName>
    <definedName name="Factors_I" localSheetId="51">#REF!</definedName>
    <definedName name="Factors_I" localSheetId="7">#REF!</definedName>
    <definedName name="Factors_I" localSheetId="8">#REF!</definedName>
    <definedName name="Factors_I">#REF!</definedName>
    <definedName name="flex" localSheetId="26">#REF!</definedName>
    <definedName name="flex" localSheetId="27">#REF!</definedName>
    <definedName name="flex" localSheetId="31">#REF!</definedName>
    <definedName name="flex" localSheetId="51">#REF!</definedName>
    <definedName name="flex" localSheetId="7">#REF!</definedName>
    <definedName name="flex" localSheetId="8">#REF!</definedName>
    <definedName name="flex">#REF!</definedName>
    <definedName name="FUND_CONS" localSheetId="26">#REF!</definedName>
    <definedName name="FUND_CONS" localSheetId="27">#REF!</definedName>
    <definedName name="FUND_CONS" localSheetId="31">#REF!</definedName>
    <definedName name="FUND_CONS" localSheetId="51">#REF!</definedName>
    <definedName name="FUND_CONS" localSheetId="7">#REF!</definedName>
    <definedName name="FUND_CONS" localSheetId="8">#REF!</definedName>
    <definedName name="FUND_CONS">#REF!</definedName>
    <definedName name="HeaderRange" localSheetId="26">#REF!</definedName>
    <definedName name="HeaderRange" localSheetId="27">#REF!</definedName>
    <definedName name="HeaderRange" localSheetId="31">#REF!</definedName>
    <definedName name="HeaderRange" localSheetId="51">#REF!</definedName>
    <definedName name="HeaderRange" localSheetId="7">#REF!</definedName>
    <definedName name="HeaderRange" localSheetId="8">#REF!</definedName>
    <definedName name="HeaderRange">#REF!</definedName>
    <definedName name="Hosp_Num">'[3]Gen Info'!$B$4</definedName>
    <definedName name="Hospital_Phys" localSheetId="26">#REF!</definedName>
    <definedName name="Hospital_Phys" localSheetId="27">#REF!</definedName>
    <definedName name="Hospital_Phys" localSheetId="31">#REF!</definedName>
    <definedName name="Hospital_Phys" localSheetId="51">#REF!</definedName>
    <definedName name="Hospital_Phys" localSheetId="7">#REF!</definedName>
    <definedName name="Hospital_Phys">#REF!</definedName>
    <definedName name="inac1">[4]UMH!$A$976:$W$1022</definedName>
    <definedName name="inac4">[4]CC!$A$136:$W$140</definedName>
    <definedName name="inac7">[4]STC!$A$208:$W$212</definedName>
    <definedName name="ker" localSheetId="26">#REF!</definedName>
    <definedName name="ker" localSheetId="27">#REF!</definedName>
    <definedName name="ker" localSheetId="31">#REF!</definedName>
    <definedName name="ker" localSheetId="51">#REF!</definedName>
    <definedName name="ker" localSheetId="7">#REF!</definedName>
    <definedName name="ker" localSheetId="8">#REF!</definedName>
    <definedName name="ker">#REF!</definedName>
    <definedName name="kernan" localSheetId="26">#REF!</definedName>
    <definedName name="kernan" localSheetId="27">#REF!</definedName>
    <definedName name="kernan" localSheetId="31">#REF!</definedName>
    <definedName name="kernan" localSheetId="51">#REF!</definedName>
    <definedName name="kernan" localSheetId="7">#REF!</definedName>
    <definedName name="kernan" localSheetId="8">#REF!</definedName>
    <definedName name="kernan">#REF!</definedName>
    <definedName name="LookDate">'[3]Cvr (DON''T HIDE)'!$P$1:$Q$12</definedName>
    <definedName name="Med_Ed" localSheetId="26">#REF!</definedName>
    <definedName name="Med_Ed" localSheetId="27">#REF!</definedName>
    <definedName name="Med_Ed" localSheetId="31">#REF!</definedName>
    <definedName name="Med_Ed" localSheetId="51">#REF!</definedName>
    <definedName name="Med_Ed" localSheetId="7">#REF!</definedName>
    <definedName name="Med_Ed">#REF!</definedName>
    <definedName name="mrh" localSheetId="26">#REF!</definedName>
    <definedName name="mrh" localSheetId="27">#REF!</definedName>
    <definedName name="mrh" localSheetId="31">#REF!</definedName>
    <definedName name="mrh" localSheetId="51">#REF!</definedName>
    <definedName name="mrh" localSheetId="7">#REF!</definedName>
    <definedName name="mrh" localSheetId="8">#REF!</definedName>
    <definedName name="mrh">#REF!</definedName>
    <definedName name="MTC_Test">[3]MTC!$C$17</definedName>
    <definedName name="P1_Test">[3]P1!$J$102</definedName>
    <definedName name="P2_Test">[3]P2!$J$245</definedName>
    <definedName name="P3_Test">[3]P3!$F$83</definedName>
    <definedName name="P4_Test">[3]P4!$J$283</definedName>
    <definedName name="P5_Test">[3]P5!$J$284</definedName>
    <definedName name="pan" localSheetId="26">'[1]p7 CONS IS'!#REF!</definedName>
    <definedName name="pan" localSheetId="27">'[1]p7 CONS IS'!#REF!</definedName>
    <definedName name="pan" localSheetId="31">'[1]p7 CONS IS'!#REF!</definedName>
    <definedName name="pan" localSheetId="51">'[1]p7 CONS IS'!#REF!</definedName>
    <definedName name="pan" localSheetId="7">'[1]p7 CONS IS'!#REF!</definedName>
    <definedName name="pan" localSheetId="8">'[1]p7 CONS IS'!#REF!</definedName>
    <definedName name="pan">'[1]p7 CONS IS'!#REF!</definedName>
    <definedName name="PANDL" localSheetId="26">'[1]p7 CONS IS'!#REF!</definedName>
    <definedName name="PANDL" localSheetId="27">'[1]p7 CONS IS'!#REF!</definedName>
    <definedName name="PANDL" localSheetId="31">'[1]p7 CONS IS'!#REF!</definedName>
    <definedName name="PANDL" localSheetId="51">'[1]p7 CONS IS'!#REF!</definedName>
    <definedName name="PANDL" localSheetId="7">'[1]p7 CONS IS'!#REF!</definedName>
    <definedName name="PANDL" localSheetId="8">'[1]p7 CONS IS'!#REF!</definedName>
    <definedName name="PANDL">'[1]p7 CONS IS'!#REF!</definedName>
    <definedName name="PLROWS" localSheetId="26">#REF!</definedName>
    <definedName name="PLROWS" localSheetId="27">#REF!</definedName>
    <definedName name="PLROWS" localSheetId="31">#REF!</definedName>
    <definedName name="PLROWS" localSheetId="51">#REF!</definedName>
    <definedName name="PLROWS" localSheetId="7">#REF!</definedName>
    <definedName name="PLROWS" localSheetId="8">#REF!</definedName>
    <definedName name="PLROWS">#REF!</definedName>
    <definedName name="_xlnm.Print_Area" localSheetId="18">'#11-St. Agnes Hospital'!$A$1:$L$156</definedName>
    <definedName name="_xlnm.Print_Area" localSheetId="19">'#12-Sinai'!$A$1:$L$156</definedName>
    <definedName name="_xlnm.Print_Area" localSheetId="20">'#13-Bon Secours'!$A$1:$L$156</definedName>
    <definedName name="_xlnm.Print_Area" localSheetId="21">'#15-MedStar Franklin Square'!$A$1:$K$155</definedName>
    <definedName name="_xlnm.Print_Area" localSheetId="22">'#16-Washington Adventist'!$A$1:$L$156</definedName>
    <definedName name="_xlnm.Print_Area" localSheetId="23">'#17-Garrett County Memorial'!$A$1:$L$156</definedName>
    <definedName name="_xlnm.Print_Area" localSheetId="25">'#19-Peninsula Regional'!$A$1:$L$156</definedName>
    <definedName name="_xlnm.Print_Area" localSheetId="9">'#1-Meritus'!$A$1:$L$156</definedName>
    <definedName name="_xlnm.Print_Area" localSheetId="54">'#2001-UM ROI'!$A$1:$L$156</definedName>
    <definedName name="_xlnm.Print_Area" localSheetId="55">'#2004-MedStar Good Samaritan'!$A$1:$L$156</definedName>
    <definedName name="_xlnm.Print_Area" localSheetId="26">'#22-Suburban'!$A$1:$K$156</definedName>
    <definedName name="_xlnm.Print_Area" localSheetId="62">'#22-Suburban - Original'!$A$1:$K$163</definedName>
    <definedName name="_xlnm.Print_Area" localSheetId="27">'#23-AAMC'!$A$1:$L$156</definedName>
    <definedName name="_xlnm.Print_Area" localSheetId="63">'#23-AAMC - Original'!$A$1:$L$157</definedName>
    <definedName name="_xlnm.Print_Area" localSheetId="29">'#27-Western Maryland Regional'!$A$1:$L$156</definedName>
    <definedName name="_xlnm.Print_Area" localSheetId="31">'[1]p7 CONS IS'!#REF!</definedName>
    <definedName name="_xlnm.Print_Area" localSheetId="10">'#2-UMMC'!$A$1:$L$156</definedName>
    <definedName name="_xlnm.Print_Area" localSheetId="57">'#3029-Adventist Rehab'!$A$1:$L$156</definedName>
    <definedName name="_xlnm.Print_Area" localSheetId="33">'#32-Union Hospital Cecil Co'!$A$1:$L$156</definedName>
    <definedName name="_xlnm.Print_Area" localSheetId="34">'#33-Carroll Hospital Center'!$A$1:$L$156</definedName>
    <definedName name="_xlnm.Print_Area" localSheetId="58">'#3478-ABH-ES'!$A$1:$L$156</definedName>
    <definedName name="_xlnm.Print_Area" localSheetId="36">'#35-UM Charles Regional'!$A$1:$L$156</definedName>
    <definedName name="_xlnm.Print_Area" localSheetId="38">'#38-UM Midtown'!$A$1:$L$156</definedName>
    <definedName name="_xlnm.Print_Area" localSheetId="39">'#39-Calvert Memorial'!$A$1:$K$156</definedName>
    <definedName name="_xlnm.Print_Area" localSheetId="11">'#3-Prince Georges Hospital'!$A$1:$L$156</definedName>
    <definedName name="_xlnm.Print_Area" localSheetId="59">'#4000-Sheppard Pratt'!$A$1:$L$156</definedName>
    <definedName name="_xlnm.Print_Area" localSheetId="60">'#4013-ABH-Rockville'!$A$1:$L$156</definedName>
    <definedName name="_xlnm.Print_Area" localSheetId="40">'#40-Lifebridge Northwest'!$A$1:$L$156</definedName>
    <definedName name="_xlnm.Print_Area" localSheetId="41">'#43-UM BWMC'!$A$1:$L$156</definedName>
    <definedName name="_xlnm.Print_Area" localSheetId="42">'#44-GBMC'!$A$1:$L$156</definedName>
    <definedName name="_xlnm.Print_Area" localSheetId="43">'#45-McCready'!$A$1:$L$156</definedName>
    <definedName name="_xlnm.Print_Area" localSheetId="44">'#48-Howard County'!$A$1:$L$156</definedName>
    <definedName name="_xlnm.Print_Area" localSheetId="45">'#49-UM Upper Chesapeake Medical'!$A$1:$L$156</definedName>
    <definedName name="_xlnm.Print_Area" localSheetId="12">'#4-Holy Cross Hospital'!$A$1:$L$156</definedName>
    <definedName name="_xlnm.Print_Area" localSheetId="56">'#5050-Shady Grove Adventist'!$A$1:$L$156</definedName>
    <definedName name="_xlnm.Print_Area" localSheetId="46">'#51-Doctors Community Hospital'!$A$1:$L$156</definedName>
    <definedName name="_xlnm.Print_Area" localSheetId="47">'#55-Laurel Regional'!$A$1:$L$156</definedName>
    <definedName name="_xlnm.Print_Area" localSheetId="13">'#5-Frederick Memorial Hospital'!$A$1:$L$156</definedName>
    <definedName name="_xlnm.Print_Area" localSheetId="48">'#60-Fort Washington'!$A$1:$L$156</definedName>
    <definedName name="_xlnm.Print_Area" localSheetId="49">'#61-Atlantic General'!$A$1:$L$156</definedName>
    <definedName name="_xlnm.Print_Area" localSheetId="50">'#62-MedStar Southern Maryland'!$A$1:$L$156</definedName>
    <definedName name="_xlnm.Print_Area" localSheetId="51">'[1]p7 CONS IS'!#REF!</definedName>
    <definedName name="_xlnm.Print_Area" localSheetId="52">'#64-Levindale'!$A$1:$L$156</definedName>
    <definedName name="_xlnm.Print_Area" localSheetId="53">'#65-Holy Cross Germantown'!$A$1:$L$156</definedName>
    <definedName name="_xlnm.Print_Area" localSheetId="14">'#6-UM Harford Memorial'!$A$1:$L$156</definedName>
    <definedName name="_xlnm.Print_Area" localSheetId="15">'#8-Mercy'!$A$1:$L$156</definedName>
    <definedName name="_xlnm.Print_Area" localSheetId="16">'#9-Johns Hopkins'!$A$1:$L$156</definedName>
    <definedName name="_xlnm.Print_Area" localSheetId="7">'Attachment II-All Hospitals'!$A$1:$M$56</definedName>
    <definedName name="_xlnm.Print_Area" localSheetId="4">'CB Table 1'!$A$1:$G$15</definedName>
    <definedName name="_xlnm.Print_Area" localSheetId="3">Charts!$A$1:$O$83</definedName>
    <definedName name="_xlnm.Print_Area" localSheetId="0">'DME_NSPI-all'!$A$1:$E$55</definedName>
    <definedName name="_xlnm.Print_Area" localSheetId="6">'Rate Support-Attachment I'!$A$1:$F$60</definedName>
    <definedName name="_xlnm.Print_Area">'[1]p7 CONS IS'!#REF!</definedName>
    <definedName name="_xlnm.Print_Titles" localSheetId="17">'#10-UM Shore Health Dorchester'!$1:$12</definedName>
    <definedName name="_xlnm.Print_Titles" localSheetId="32">'#30-UM Shore Health Chestertown'!$1:$12</definedName>
    <definedName name="_xlnm.Print_Titles" localSheetId="37">'#37-UM Shore Health Easton'!$1:$12</definedName>
    <definedName name="_xlnm.Print_Titles" localSheetId="8">'Attachment III-All'!$1:$1</definedName>
    <definedName name="Prior_M">'[3]Input M'!$A$4:$I$85</definedName>
    <definedName name="Prior_TB">'[3]Input TB'!$B$4:$CV$133</definedName>
    <definedName name="Psych?">'[5]Gen Info'!$B$17</definedName>
    <definedName name="PY_M">[3]PY_M!$A$4:$AP$106</definedName>
    <definedName name="Rate_Realignment" localSheetId="26">#REF!</definedName>
    <definedName name="Rate_Realignment" localSheetId="27">#REF!</definedName>
    <definedName name="Rate_Realignment" localSheetId="31">#REF!</definedName>
    <definedName name="Rate_Realignment" localSheetId="51">#REF!</definedName>
    <definedName name="Rate_Realignment" localSheetId="7">#REF!</definedName>
    <definedName name="Rate_Realignment">#REF!</definedName>
    <definedName name="RNAdj" localSheetId="26">[6]RR!#REF!</definedName>
    <definedName name="RNAdj" localSheetId="27">[6]RR!#REF!</definedName>
    <definedName name="RNAdj" localSheetId="31">[6]RR!#REF!</definedName>
    <definedName name="RNAdj" localSheetId="51">[6]RR!#REF!</definedName>
    <definedName name="RNAdj" localSheetId="7">[6]RR!#REF!</definedName>
    <definedName name="RNAdj">[6]RR!#REF!</definedName>
    <definedName name="RoutineSpread" localSheetId="26">[6]RR!#REF!</definedName>
    <definedName name="RoutineSpread" localSheetId="27">[6]RR!#REF!</definedName>
    <definedName name="RoutineSpread" localSheetId="31">[6]RR!#REF!</definedName>
    <definedName name="RoutineSpread" localSheetId="51">[6]RR!#REF!</definedName>
    <definedName name="RoutineSpread" localSheetId="7">[6]RR!#REF!</definedName>
    <definedName name="RoutineSpread">[6]RR!#REF!</definedName>
    <definedName name="RR_1" localSheetId="26">#REF!</definedName>
    <definedName name="RR_1" localSheetId="27">#REF!</definedName>
    <definedName name="RR_1" localSheetId="31">#REF!</definedName>
    <definedName name="RR_1" localSheetId="51">#REF!</definedName>
    <definedName name="RR_1" localSheetId="7">#REF!</definedName>
    <definedName name="RR_1">#REF!</definedName>
    <definedName name="RR_2" localSheetId="26">#REF!</definedName>
    <definedName name="RR_2" localSheetId="27">#REF!</definedName>
    <definedName name="RR_2" localSheetId="31">#REF!</definedName>
    <definedName name="RR_2" localSheetId="51">#REF!</definedName>
    <definedName name="RR_2" localSheetId="7">#REF!</definedName>
    <definedName name="RR_2" localSheetId="8">#REF!</definedName>
    <definedName name="RR_2">#REF!</definedName>
    <definedName name="RRAdjustor" localSheetId="26">#REF!</definedName>
    <definedName name="RRAdjustor" localSheetId="27">#REF!</definedName>
    <definedName name="RRAdjustor" localSheetId="31">#REF!</definedName>
    <definedName name="RRAdjustor" localSheetId="51">#REF!</definedName>
    <definedName name="RRAdjustor" localSheetId="7">#REF!</definedName>
    <definedName name="RRAdjustor" localSheetId="8">#REF!</definedName>
    <definedName name="RRAdjustor">#REF!</definedName>
    <definedName name="SAP_Account">'[7]SAP Summary'!$C$4:$C$59</definedName>
    <definedName name="SAP_Apr">'[7]SAP Summary'!$N$4:$N$60</definedName>
    <definedName name="SAP_Aug">'[7]SAP Summary'!$F$4:$F$60</definedName>
    <definedName name="SAP_Dec">'[7]SAP Summary'!$J$4:$J$60</definedName>
    <definedName name="SAP_Feb">'[7]SAP Summary'!$L$4:$L$60</definedName>
    <definedName name="SAP_Jan">'[7]SAP Summary'!$K$4:$K$60</definedName>
    <definedName name="SAP_Jul">'[7]SAP Summary'!$E$4:$E$60</definedName>
    <definedName name="SAP_Jun">'[7]SAP Summary'!$P$4:$P$59</definedName>
    <definedName name="SAP_Mar">'[7]SAP Summary'!$M$4:$M$60</definedName>
    <definedName name="SAP_May">'[7]SAP Summary'!$O$4:$O$60</definedName>
    <definedName name="SAP_Nov">'[7]SAP Summary'!$I$4:$I$60</definedName>
    <definedName name="SAP_Oct">'[7]SAP Summary'!$H$4:$H$60</definedName>
    <definedName name="SAP_Sep">'[7]SAP Summary'!$G$4:$G$60</definedName>
    <definedName name="SAPBEXdnldView" hidden="1">"45B0DMIFL4DG42VFK6L1FXXXP"</definedName>
    <definedName name="SAPBEXsysID" hidden="1">"BWP"</definedName>
    <definedName name="SortRange" localSheetId="26">#REF!</definedName>
    <definedName name="SortRange" localSheetId="27">#REF!</definedName>
    <definedName name="SortRange" localSheetId="31">#REF!</definedName>
    <definedName name="SortRange" localSheetId="51">#REF!</definedName>
    <definedName name="SortRange" localSheetId="7">#REF!</definedName>
    <definedName name="SortRange" localSheetId="8">#REF!</definedName>
    <definedName name="SortRange">#REF!</definedName>
    <definedName name="Supp_Birth_I">'[3]SB Input'!$A$1</definedName>
    <definedName name="Supp2" localSheetId="26">#REF!</definedName>
    <definedName name="Supp2" localSheetId="27">#REF!</definedName>
    <definedName name="Supp2" localSheetId="31">#REF!</definedName>
    <definedName name="Supp2" localSheetId="51">#REF!</definedName>
    <definedName name="Supp2" localSheetId="7">#REF!</definedName>
    <definedName name="Supp2">#REF!</definedName>
    <definedName name="Supp4" localSheetId="26">#REF!</definedName>
    <definedName name="Supp4" localSheetId="27">#REF!</definedName>
    <definedName name="Supp4" localSheetId="31">#REF!</definedName>
    <definedName name="Supp4" localSheetId="51">#REF!</definedName>
    <definedName name="Supp4" localSheetId="7">#REF!</definedName>
    <definedName name="Supp4">#REF!</definedName>
    <definedName name="SUPPLEMENTAL_SCHEDULE_6" localSheetId="26">#REF!</definedName>
    <definedName name="SUPPLEMENTAL_SCHEDULE_6" localSheetId="27">#REF!</definedName>
    <definedName name="SUPPLEMENTAL_SCHEDULE_6" localSheetId="31">#REF!</definedName>
    <definedName name="SUPPLEMENTAL_SCHEDULE_6" localSheetId="51">#REF!</definedName>
    <definedName name="SUPPLEMENTAL_SCHEDULE_6" localSheetId="7">#REF!</definedName>
    <definedName name="SUPPLEMENTAL_SCHEDULE_6">#REF!</definedName>
    <definedName name="T_Bal">'[3]Expense TB'!$B$15:$DL$146</definedName>
    <definedName name="Titles" localSheetId="26">#REF!</definedName>
    <definedName name="Titles" localSheetId="27">#REF!</definedName>
    <definedName name="Titles" localSheetId="31">#REF!</definedName>
    <definedName name="Titles" localSheetId="51">#REF!</definedName>
    <definedName name="Titles" localSheetId="7">#REF!</definedName>
    <definedName name="Titles" localSheetId="8">#REF!</definedName>
    <definedName name="Titles">#REF!</definedName>
    <definedName name="TopSection" localSheetId="26">#REF!</definedName>
    <definedName name="TopSection" localSheetId="27">#REF!</definedName>
    <definedName name="TopSection" localSheetId="31">#REF!</definedName>
    <definedName name="TopSection" localSheetId="51">#REF!</definedName>
    <definedName name="TopSection" localSheetId="7">#REF!</definedName>
    <definedName name="TopSection" localSheetId="8">#REF!</definedName>
    <definedName name="TopSection">#REF!</definedName>
    <definedName name="ttl.salaries" localSheetId="26">#REF!</definedName>
    <definedName name="ttl.salaries" localSheetId="27">#REF!</definedName>
    <definedName name="ttl.salaries" localSheetId="31">#REF!</definedName>
    <definedName name="ttl.salaries" localSheetId="51">#REF!</definedName>
    <definedName name="ttl.salaries" localSheetId="7">#REF!</definedName>
    <definedName name="ttl.salaries" localSheetId="8">#REF!</definedName>
    <definedName name="ttl.salaries">#REF!</definedName>
    <definedName name="UMMC_DEAT" localSheetId="26">'[1]p8 CONS BS'!#REF!</definedName>
    <definedName name="UMMC_DEAT" localSheetId="27">'[1]p8 CONS BS'!#REF!</definedName>
    <definedName name="UMMC_DEAT" localSheetId="31">'[1]p8 CONS BS'!#REF!</definedName>
    <definedName name="UMMC_DEAT" localSheetId="51">'[1]p8 CONS BS'!#REF!</definedName>
    <definedName name="UMMC_DEAT" localSheetId="7">'[1]p8 CONS BS'!#REF!</definedName>
    <definedName name="UMMC_DEAT" localSheetId="8">'[1]p8 CONS BS'!#REF!</definedName>
    <definedName name="UMMC_DEAT">'[1]p8 CONS BS'!#REF!</definedName>
    <definedName name="UR_Rev_I" localSheetId="26">#REF!</definedName>
    <definedName name="UR_Rev_I" localSheetId="27">#REF!</definedName>
    <definedName name="UR_Rev_I" localSheetId="31">#REF!</definedName>
    <definedName name="UR_Rev_I" localSheetId="51">#REF!</definedName>
    <definedName name="UR_Rev_I" localSheetId="7">#REF!</definedName>
    <definedName name="UR_Rev_I" localSheetId="8">#REF!</definedName>
    <definedName name="UR_Rev_I">#REF!</definedName>
    <definedName name="URS_Schedule" localSheetId="26">#REF!</definedName>
    <definedName name="URS_Schedule" localSheetId="27">#REF!</definedName>
    <definedName name="URS_Schedule" localSheetId="31">#REF!</definedName>
    <definedName name="URS_Schedule" localSheetId="51">#REF!</definedName>
    <definedName name="URS_Schedule" localSheetId="7">#REF!</definedName>
    <definedName name="URS_Schedule" localSheetId="8">#REF!</definedName>
    <definedName name="URS_Schedule">#REF!</definedName>
  </definedNames>
  <calcPr calcId="152511"/>
</workbook>
</file>

<file path=xl/calcChain.xml><?xml version="1.0" encoding="utf-8"?>
<calcChain xmlns="http://schemas.openxmlformats.org/spreadsheetml/2006/main">
  <c r="I58" i="126" l="1"/>
  <c r="B13" i="6" l="1"/>
  <c r="D13" i="5"/>
  <c r="F13" i="5" s="1"/>
  <c r="G4" i="126"/>
  <c r="G5" i="126"/>
  <c r="G6" i="126"/>
  <c r="G7" i="126"/>
  <c r="G8" i="126"/>
  <c r="G9" i="126"/>
  <c r="G10" i="126"/>
  <c r="G11" i="126"/>
  <c r="G12" i="126"/>
  <c r="G13" i="126"/>
  <c r="G14" i="126"/>
  <c r="G15" i="126"/>
  <c r="G16" i="126"/>
  <c r="G17" i="126"/>
  <c r="G18" i="126"/>
  <c r="G19" i="126"/>
  <c r="G20" i="126"/>
  <c r="G21" i="126"/>
  <c r="G22" i="126"/>
  <c r="G23" i="126"/>
  <c r="G24" i="126"/>
  <c r="G25" i="126"/>
  <c r="G26" i="126"/>
  <c r="G27" i="126"/>
  <c r="G28" i="126"/>
  <c r="G29" i="126"/>
  <c r="G30" i="126"/>
  <c r="G31" i="126"/>
  <c r="G32" i="126"/>
  <c r="G33" i="126"/>
  <c r="G34" i="126"/>
  <c r="G35" i="126"/>
  <c r="G36" i="126"/>
  <c r="G37" i="126"/>
  <c r="G38" i="126"/>
  <c r="G39" i="126"/>
  <c r="G40" i="126"/>
  <c r="G41" i="126"/>
  <c r="G42" i="126"/>
  <c r="G43" i="126"/>
  <c r="G44" i="126"/>
  <c r="G45" i="126"/>
  <c r="G47" i="126"/>
  <c r="G48" i="126"/>
  <c r="G49" i="126"/>
  <c r="G55" i="126"/>
  <c r="E47" i="127"/>
  <c r="H47" i="127" s="1"/>
  <c r="F47" i="127"/>
  <c r="E48" i="127"/>
  <c r="H48" i="127" s="1"/>
  <c r="F48" i="127"/>
  <c r="E4" i="127"/>
  <c r="H4" i="127" s="1"/>
  <c r="G3" i="126" s="1"/>
  <c r="F4" i="127"/>
  <c r="E5" i="127"/>
  <c r="H5" i="127" s="1"/>
  <c r="F5" i="127"/>
  <c r="E6" i="127"/>
  <c r="H6" i="127" s="1"/>
  <c r="F6" i="127"/>
  <c r="E7" i="127"/>
  <c r="H7" i="127" s="1"/>
  <c r="F7" i="127"/>
  <c r="E8" i="127"/>
  <c r="H8" i="127" s="1"/>
  <c r="F8" i="127"/>
  <c r="E9" i="127"/>
  <c r="H9" i="127" s="1"/>
  <c r="F9" i="127"/>
  <c r="E10" i="127"/>
  <c r="H10" i="127" s="1"/>
  <c r="F10" i="127"/>
  <c r="E11" i="127"/>
  <c r="H11" i="127" s="1"/>
  <c r="F11" i="127"/>
  <c r="E12" i="127"/>
  <c r="H12" i="127" s="1"/>
  <c r="F12" i="127"/>
  <c r="E13" i="127"/>
  <c r="H13" i="127" s="1"/>
  <c r="F13" i="127"/>
  <c r="E14" i="127"/>
  <c r="H14" i="127" s="1"/>
  <c r="F14" i="127"/>
  <c r="E15" i="127"/>
  <c r="H15" i="127" s="1"/>
  <c r="F15" i="127"/>
  <c r="E16" i="127"/>
  <c r="H16" i="127" s="1"/>
  <c r="F16" i="127"/>
  <c r="E17" i="127"/>
  <c r="H17" i="127" s="1"/>
  <c r="F17" i="127"/>
  <c r="E18" i="127"/>
  <c r="H18" i="127" s="1"/>
  <c r="F18" i="127"/>
  <c r="E19" i="127"/>
  <c r="H19" i="127" s="1"/>
  <c r="F19" i="127"/>
  <c r="E20" i="127"/>
  <c r="H20" i="127" s="1"/>
  <c r="F20" i="127"/>
  <c r="E21" i="127"/>
  <c r="H21" i="127" s="1"/>
  <c r="F21" i="127"/>
  <c r="E22" i="127"/>
  <c r="H22" i="127" s="1"/>
  <c r="F22" i="127"/>
  <c r="E23" i="127"/>
  <c r="H23" i="127" s="1"/>
  <c r="F23" i="127"/>
  <c r="E24" i="127"/>
  <c r="H24" i="127" s="1"/>
  <c r="F24" i="127"/>
  <c r="E25" i="127"/>
  <c r="H25" i="127" s="1"/>
  <c r="F25" i="127"/>
  <c r="E26" i="127"/>
  <c r="H26" i="127" s="1"/>
  <c r="F26" i="127"/>
  <c r="E27" i="127"/>
  <c r="H27" i="127" s="1"/>
  <c r="F27" i="127"/>
  <c r="E28" i="127"/>
  <c r="H28" i="127" s="1"/>
  <c r="F28" i="127"/>
  <c r="E29" i="127"/>
  <c r="H29" i="127" s="1"/>
  <c r="F29" i="127"/>
  <c r="E30" i="127"/>
  <c r="H30" i="127" s="1"/>
  <c r="F30" i="127"/>
  <c r="E31" i="127"/>
  <c r="H31" i="127" s="1"/>
  <c r="F31" i="127"/>
  <c r="E32" i="127"/>
  <c r="H32" i="127" s="1"/>
  <c r="F32" i="127"/>
  <c r="E33" i="127"/>
  <c r="H33" i="127" s="1"/>
  <c r="F33" i="127"/>
  <c r="E34" i="127"/>
  <c r="H34" i="127" s="1"/>
  <c r="F34" i="127"/>
  <c r="E35" i="127"/>
  <c r="H35" i="127" s="1"/>
  <c r="F35" i="127"/>
  <c r="E36" i="127"/>
  <c r="H36" i="127" s="1"/>
  <c r="F36" i="127"/>
  <c r="E37" i="127"/>
  <c r="H37" i="127" s="1"/>
  <c r="F37" i="127"/>
  <c r="E38" i="127"/>
  <c r="H38" i="127" s="1"/>
  <c r="F38" i="127"/>
  <c r="E39" i="127"/>
  <c r="H39" i="127" s="1"/>
  <c r="F39" i="127"/>
  <c r="E40" i="127"/>
  <c r="H40" i="127" s="1"/>
  <c r="F40" i="127"/>
  <c r="E41" i="127"/>
  <c r="H41" i="127" s="1"/>
  <c r="F41" i="127"/>
  <c r="E42" i="127"/>
  <c r="H42" i="127" s="1"/>
  <c r="F42" i="127"/>
  <c r="E43" i="127"/>
  <c r="H43" i="127" s="1"/>
  <c r="F43" i="127"/>
  <c r="E44" i="127"/>
  <c r="F44" i="127"/>
  <c r="H44" i="127"/>
  <c r="E45" i="127"/>
  <c r="H45" i="127" s="1"/>
  <c r="F45" i="127"/>
  <c r="E46" i="127"/>
  <c r="H46" i="127" s="1"/>
  <c r="F46" i="127"/>
  <c r="E55" i="127"/>
  <c r="H55" i="127" s="1"/>
  <c r="F55" i="127"/>
  <c r="E56" i="127"/>
  <c r="H56" i="127" s="1"/>
  <c r="F56" i="127"/>
  <c r="E57" i="127"/>
  <c r="H57" i="127" s="1"/>
  <c r="F57" i="127"/>
  <c r="E49" i="127"/>
  <c r="H49" i="127" s="1"/>
  <c r="F49" i="127"/>
  <c r="E50" i="127"/>
  <c r="H50" i="127" s="1"/>
  <c r="F50" i="127"/>
  <c r="E51" i="127"/>
  <c r="H51" i="127" s="1"/>
  <c r="F51" i="127"/>
  <c r="E52" i="127"/>
  <c r="H52" i="127" s="1"/>
  <c r="F52" i="127"/>
  <c r="C53" i="127"/>
  <c r="D53" i="127"/>
  <c r="G56" i="126" l="1"/>
  <c r="H53" i="127"/>
  <c r="F53" i="127"/>
  <c r="E53" i="127"/>
  <c r="J49" i="126"/>
  <c r="J50" i="126"/>
  <c r="J51" i="126"/>
  <c r="J52" i="126"/>
  <c r="J53" i="126"/>
  <c r="J54" i="126"/>
  <c r="J55" i="126"/>
  <c r="J48" i="126"/>
  <c r="J47" i="126"/>
  <c r="J46" i="126"/>
  <c r="J45" i="126"/>
  <c r="K18" i="124"/>
  <c r="H4" i="64" l="1"/>
  <c r="C61" i="6"/>
  <c r="B61" i="6"/>
  <c r="H6" i="60"/>
  <c r="G6" i="60"/>
  <c r="M47" i="126"/>
  <c r="M46" i="126"/>
  <c r="B72" i="6" l="1"/>
  <c r="B49" i="6"/>
  <c r="H147" i="75"/>
  <c r="I147" i="75"/>
  <c r="J147" i="75"/>
  <c r="H146" i="75"/>
  <c r="I146" i="75"/>
  <c r="J146" i="75"/>
  <c r="K146" i="75" s="1"/>
  <c r="H145" i="75"/>
  <c r="H152" i="75" s="1"/>
  <c r="I145" i="75"/>
  <c r="J145" i="75"/>
  <c r="H144" i="75"/>
  <c r="I144" i="75"/>
  <c r="J144" i="75"/>
  <c r="H143" i="75"/>
  <c r="I143" i="75"/>
  <c r="K143" i="75" s="1"/>
  <c r="J143" i="75"/>
  <c r="H142" i="75"/>
  <c r="I142" i="75"/>
  <c r="J142" i="75"/>
  <c r="G147" i="75"/>
  <c r="F147" i="75"/>
  <c r="F152" i="75" s="1"/>
  <c r="G141" i="75"/>
  <c r="G142" i="75"/>
  <c r="G143" i="75"/>
  <c r="G152" i="75" s="1"/>
  <c r="G144" i="75"/>
  <c r="G145" i="75"/>
  <c r="G146" i="75"/>
  <c r="K144" i="75"/>
  <c r="K147" i="75"/>
  <c r="K148" i="75"/>
  <c r="K142" i="75"/>
  <c r="K149" i="75"/>
  <c r="K150" i="75"/>
  <c r="K141" i="75"/>
  <c r="J141" i="75"/>
  <c r="I141" i="75"/>
  <c r="H141" i="75"/>
  <c r="F146" i="75"/>
  <c r="F145" i="75"/>
  <c r="F144" i="75"/>
  <c r="F143" i="75"/>
  <c r="F142" i="75"/>
  <c r="F141" i="75"/>
  <c r="E38" i="6"/>
  <c r="D30" i="6"/>
  <c r="C30" i="6"/>
  <c r="B30" i="6"/>
  <c r="C13" i="6"/>
  <c r="F98" i="75"/>
  <c r="G98" i="75"/>
  <c r="H98" i="75"/>
  <c r="I98" i="75"/>
  <c r="J98" i="75"/>
  <c r="K98" i="75"/>
  <c r="K89" i="75"/>
  <c r="K90" i="75"/>
  <c r="K91" i="75"/>
  <c r="K92" i="75"/>
  <c r="K93" i="75"/>
  <c r="K94" i="75"/>
  <c r="K95" i="75"/>
  <c r="K96" i="75"/>
  <c r="K86" i="75"/>
  <c r="K87" i="75"/>
  <c r="K88" i="75"/>
  <c r="K89" i="124"/>
  <c r="K90" i="124"/>
  <c r="K91" i="124"/>
  <c r="K92" i="124"/>
  <c r="K93" i="124"/>
  <c r="K86" i="124"/>
  <c r="K87" i="124"/>
  <c r="K88" i="124"/>
  <c r="E30" i="6" l="1"/>
  <c r="K145" i="75"/>
  <c r="K152" i="75" s="1"/>
  <c r="J152" i="75"/>
  <c r="I152" i="75"/>
  <c r="K89" i="108"/>
  <c r="K90" i="108"/>
  <c r="K91" i="108"/>
  <c r="K92" i="108"/>
  <c r="K93" i="108"/>
  <c r="K94" i="108"/>
  <c r="K95" i="108"/>
  <c r="K96" i="108"/>
  <c r="K86" i="108"/>
  <c r="K87" i="108"/>
  <c r="K88" i="108"/>
  <c r="G98" i="122"/>
  <c r="F98" i="122"/>
  <c r="D61" i="6" l="1"/>
  <c r="C49" i="6" s="1"/>
  <c r="F56" i="4"/>
  <c r="E58" i="4"/>
  <c r="D58" i="4"/>
  <c r="C58" i="4"/>
  <c r="C51" i="64"/>
  <c r="E50" i="64"/>
  <c r="G50" i="64" s="1"/>
  <c r="E49" i="64"/>
  <c r="G49" i="64" s="1"/>
  <c r="E48" i="64"/>
  <c r="G48" i="64" s="1"/>
  <c r="E47" i="64"/>
  <c r="G47" i="64" s="1"/>
  <c r="E46" i="64"/>
  <c r="G46" i="64" s="1"/>
  <c r="E45" i="64"/>
  <c r="G45" i="64" s="1"/>
  <c r="E44" i="64"/>
  <c r="G44" i="64" s="1"/>
  <c r="E43" i="64"/>
  <c r="G43" i="64" s="1"/>
  <c r="E42" i="64"/>
  <c r="G42" i="64" s="1"/>
  <c r="E41" i="64"/>
  <c r="G41" i="64" s="1"/>
  <c r="E40" i="64"/>
  <c r="G40" i="64" s="1"/>
  <c r="E39" i="64"/>
  <c r="G39" i="64" s="1"/>
  <c r="E38" i="64"/>
  <c r="G38" i="64" s="1"/>
  <c r="E37" i="64"/>
  <c r="G37" i="64" s="1"/>
  <c r="E36" i="64"/>
  <c r="G36" i="64" s="1"/>
  <c r="E35" i="64"/>
  <c r="G35" i="64" s="1"/>
  <c r="E34" i="64"/>
  <c r="G34" i="64" s="1"/>
  <c r="E33" i="64"/>
  <c r="G33" i="64" s="1"/>
  <c r="E32" i="64"/>
  <c r="G32" i="64" s="1"/>
  <c r="E31" i="64"/>
  <c r="G31" i="64" s="1"/>
  <c r="E30" i="64"/>
  <c r="G30" i="64" s="1"/>
  <c r="E29" i="64"/>
  <c r="G29" i="64" s="1"/>
  <c r="E28" i="64"/>
  <c r="G28" i="64" s="1"/>
  <c r="E27" i="64"/>
  <c r="G27" i="64" s="1"/>
  <c r="E26" i="64"/>
  <c r="G26" i="64" s="1"/>
  <c r="E25" i="64"/>
  <c r="G25" i="64" s="1"/>
  <c r="E24" i="64"/>
  <c r="G24" i="64" s="1"/>
  <c r="E23" i="64"/>
  <c r="G23" i="64" s="1"/>
  <c r="E22" i="64"/>
  <c r="G22" i="64" s="1"/>
  <c r="E21" i="64"/>
  <c r="G21" i="64" s="1"/>
  <c r="E20" i="64"/>
  <c r="G20" i="64" s="1"/>
  <c r="E19" i="64"/>
  <c r="G19" i="64" s="1"/>
  <c r="E18" i="64"/>
  <c r="G18" i="64" s="1"/>
  <c r="E17" i="64"/>
  <c r="G17" i="64" s="1"/>
  <c r="E16" i="64"/>
  <c r="G16" i="64" s="1"/>
  <c r="E15" i="64"/>
  <c r="G15" i="64" s="1"/>
  <c r="E14" i="64"/>
  <c r="G14" i="64" s="1"/>
  <c r="E13" i="64"/>
  <c r="G13" i="64" s="1"/>
  <c r="E12" i="64"/>
  <c r="G12" i="64" s="1"/>
  <c r="E11" i="64"/>
  <c r="G11" i="64" s="1"/>
  <c r="E10" i="64"/>
  <c r="G10" i="64" s="1"/>
  <c r="E9" i="64"/>
  <c r="G9" i="64" s="1"/>
  <c r="E8" i="64"/>
  <c r="G8" i="64" s="1"/>
  <c r="E7" i="64"/>
  <c r="G7" i="64" s="1"/>
  <c r="E6" i="64"/>
  <c r="G6" i="64" s="1"/>
  <c r="E5" i="64"/>
  <c r="G5" i="64" s="1"/>
  <c r="E4" i="64"/>
  <c r="G4" i="64" s="1"/>
  <c r="E3" i="64"/>
  <c r="G3" i="64" s="1"/>
  <c r="C72" i="6" l="1"/>
  <c r="G51" i="64"/>
  <c r="E51" i="64"/>
  <c r="J4" i="8" l="1"/>
  <c r="J7" i="8"/>
  <c r="J8" i="8"/>
  <c r="J11" i="8"/>
  <c r="J12" i="8"/>
  <c r="J15" i="8"/>
  <c r="J16" i="8"/>
  <c r="J19" i="8"/>
  <c r="J20" i="8"/>
  <c r="J23" i="8"/>
  <c r="J24" i="8"/>
  <c r="J27" i="8"/>
  <c r="J28" i="8"/>
  <c r="J31" i="8"/>
  <c r="J32" i="8"/>
  <c r="J35" i="8"/>
  <c r="J36" i="8"/>
  <c r="J39" i="8"/>
  <c r="J40" i="8"/>
  <c r="J43" i="8"/>
  <c r="J44" i="8"/>
  <c r="J47" i="8"/>
  <c r="J48" i="8"/>
  <c r="J51" i="8"/>
  <c r="J52" i="8"/>
  <c r="C54" i="8"/>
  <c r="D53" i="8"/>
  <c r="J53" i="8" s="1"/>
  <c r="D52" i="8"/>
  <c r="D51" i="8"/>
  <c r="D50" i="8"/>
  <c r="J50" i="8" s="1"/>
  <c r="D49" i="8"/>
  <c r="J49" i="8" s="1"/>
  <c r="D48" i="8"/>
  <c r="D47" i="8"/>
  <c r="D46" i="8"/>
  <c r="J46" i="8" s="1"/>
  <c r="D45" i="8"/>
  <c r="J45" i="8" s="1"/>
  <c r="D44" i="8"/>
  <c r="D43" i="8"/>
  <c r="D42" i="8"/>
  <c r="J42" i="8" s="1"/>
  <c r="D41" i="8"/>
  <c r="J41" i="8" s="1"/>
  <c r="D40" i="8"/>
  <c r="D39" i="8"/>
  <c r="D38" i="8"/>
  <c r="J38" i="8" s="1"/>
  <c r="D37" i="8"/>
  <c r="J37" i="8" s="1"/>
  <c r="D36" i="8"/>
  <c r="D35" i="8"/>
  <c r="D34" i="8"/>
  <c r="J34" i="8" s="1"/>
  <c r="D33" i="8"/>
  <c r="J33" i="8" s="1"/>
  <c r="D32" i="8"/>
  <c r="D31" i="8"/>
  <c r="D30" i="8"/>
  <c r="J30" i="8" s="1"/>
  <c r="D29" i="8"/>
  <c r="J29" i="8" s="1"/>
  <c r="D28" i="8"/>
  <c r="D27" i="8"/>
  <c r="D26" i="8"/>
  <c r="J26" i="8" s="1"/>
  <c r="D25" i="8"/>
  <c r="J25" i="8" s="1"/>
  <c r="D24" i="8"/>
  <c r="D23" i="8"/>
  <c r="D22" i="8"/>
  <c r="J22" i="8" s="1"/>
  <c r="D21" i="8"/>
  <c r="J21" i="8" s="1"/>
  <c r="D20" i="8"/>
  <c r="D19" i="8"/>
  <c r="D18" i="8"/>
  <c r="J18" i="8" s="1"/>
  <c r="D17" i="8"/>
  <c r="J17" i="8" s="1"/>
  <c r="D16" i="8"/>
  <c r="D15" i="8"/>
  <c r="D14" i="8"/>
  <c r="J14" i="8" s="1"/>
  <c r="D13" i="8"/>
  <c r="J13" i="8" s="1"/>
  <c r="D12" i="8"/>
  <c r="D11" i="8"/>
  <c r="D10" i="8"/>
  <c r="J10" i="8" s="1"/>
  <c r="D9" i="8"/>
  <c r="J9" i="8" s="1"/>
  <c r="D8" i="8"/>
  <c r="D7" i="8"/>
  <c r="D6" i="8"/>
  <c r="J6" i="8" s="1"/>
  <c r="D5" i="8"/>
  <c r="J5" i="8" s="1"/>
  <c r="D4" i="8"/>
  <c r="D3" i="8"/>
  <c r="J3" i="8" s="1"/>
  <c r="C2" i="3"/>
  <c r="H3" i="3"/>
  <c r="I3" i="3"/>
  <c r="H4" i="3"/>
  <c r="I4" i="3"/>
  <c r="H5" i="3"/>
  <c r="I5" i="3"/>
  <c r="H6" i="3"/>
  <c r="I6" i="3"/>
  <c r="H7" i="3"/>
  <c r="I7" i="3"/>
  <c r="H8" i="3"/>
  <c r="I8" i="3"/>
  <c r="H9" i="3"/>
  <c r="I9" i="3"/>
  <c r="H10" i="3"/>
  <c r="I10" i="3"/>
  <c r="H11" i="3"/>
  <c r="I11" i="3"/>
  <c r="H12" i="3"/>
  <c r="I12" i="3"/>
  <c r="H13" i="3"/>
  <c r="I13" i="3"/>
  <c r="H14" i="3"/>
  <c r="I14" i="3"/>
  <c r="H15" i="3"/>
  <c r="I15" i="3"/>
  <c r="H16" i="3"/>
  <c r="I16" i="3"/>
  <c r="H17" i="3"/>
  <c r="I17" i="3"/>
  <c r="H18" i="3"/>
  <c r="I18" i="3"/>
  <c r="H19" i="3"/>
  <c r="I19" i="3"/>
  <c r="H20" i="3"/>
  <c r="I20" i="3"/>
  <c r="H21" i="3"/>
  <c r="I21" i="3"/>
  <c r="H22" i="3"/>
  <c r="I22" i="3"/>
  <c r="H23" i="3"/>
  <c r="I23" i="3"/>
  <c r="H24" i="3"/>
  <c r="I24" i="3"/>
  <c r="H25" i="3"/>
  <c r="I25" i="3"/>
  <c r="H26" i="3"/>
  <c r="I26" i="3"/>
  <c r="H27" i="3"/>
  <c r="I27" i="3"/>
  <c r="H28" i="3"/>
  <c r="I28" i="3"/>
  <c r="H29" i="3"/>
  <c r="I29" i="3"/>
  <c r="H30" i="3"/>
  <c r="I30" i="3"/>
  <c r="H31" i="3"/>
  <c r="I31" i="3"/>
  <c r="H32" i="3"/>
  <c r="I32" i="3"/>
  <c r="H33" i="3"/>
  <c r="I33" i="3"/>
  <c r="H34" i="3"/>
  <c r="I34" i="3"/>
  <c r="H35" i="3"/>
  <c r="I35" i="3"/>
  <c r="H36" i="3"/>
  <c r="I36" i="3"/>
  <c r="H37" i="3"/>
  <c r="I37" i="3"/>
  <c r="H38" i="3"/>
  <c r="I38" i="3"/>
  <c r="H39" i="3"/>
  <c r="I39" i="3"/>
  <c r="H40" i="3"/>
  <c r="I40" i="3"/>
  <c r="H41" i="3"/>
  <c r="I41" i="3"/>
  <c r="H42" i="3"/>
  <c r="I42" i="3"/>
  <c r="H43" i="3"/>
  <c r="I43" i="3"/>
  <c r="H44" i="3"/>
  <c r="I44" i="3"/>
  <c r="H45" i="3"/>
  <c r="I45" i="3"/>
  <c r="H46" i="3"/>
  <c r="I46" i="3"/>
  <c r="H47" i="3"/>
  <c r="I47" i="3"/>
  <c r="H48" i="3"/>
  <c r="I48" i="3"/>
  <c r="H49" i="3"/>
  <c r="I49" i="3"/>
  <c r="H50" i="3"/>
  <c r="I50" i="3"/>
  <c r="H51" i="3"/>
  <c r="I51" i="3"/>
  <c r="H52" i="3"/>
  <c r="I52" i="3"/>
  <c r="H53" i="3"/>
  <c r="I53" i="3"/>
  <c r="H54" i="3"/>
  <c r="I54" i="3"/>
  <c r="I2" i="3"/>
  <c r="H2" i="3"/>
  <c r="R3" i="3"/>
  <c r="Z3" i="3"/>
  <c r="J54" i="8" l="1"/>
  <c r="D54" i="8"/>
  <c r="E49" i="3"/>
  <c r="D49" i="3"/>
  <c r="C49" i="3"/>
  <c r="J101" i="60" l="1"/>
  <c r="J102" i="60"/>
  <c r="J103" i="60"/>
  <c r="J49" i="60"/>
  <c r="K49" i="60"/>
  <c r="K34" i="60"/>
  <c r="K35" i="60"/>
  <c r="K36" i="60"/>
  <c r="M54" i="126" l="1"/>
  <c r="M52" i="126"/>
  <c r="F54" i="126"/>
  <c r="H54" i="126" s="1"/>
  <c r="K54" i="126" s="1"/>
  <c r="F52" i="126"/>
  <c r="H52" i="126" s="1"/>
  <c r="K52" i="126" s="1"/>
  <c r="E54" i="126"/>
  <c r="E52" i="126"/>
  <c r="D54" i="126"/>
  <c r="D53" i="126"/>
  <c r="D52" i="126"/>
  <c r="D51" i="126"/>
  <c r="C54" i="126"/>
  <c r="C53" i="126"/>
  <c r="C52" i="126"/>
  <c r="C51" i="126"/>
  <c r="C50" i="126"/>
  <c r="C55" i="126"/>
  <c r="M49" i="126"/>
  <c r="F49" i="126"/>
  <c r="H49" i="126" s="1"/>
  <c r="K49" i="126" s="1"/>
  <c r="E49" i="126"/>
  <c r="D49" i="126"/>
  <c r="C49" i="126"/>
  <c r="M48" i="126"/>
  <c r="F48" i="126"/>
  <c r="H48" i="126" s="1"/>
  <c r="K48" i="126" s="1"/>
  <c r="E48" i="126"/>
  <c r="D48" i="126"/>
  <c r="C48" i="126"/>
  <c r="F47" i="126"/>
  <c r="H47" i="126" s="1"/>
  <c r="K47" i="126" s="1"/>
  <c r="E47" i="126"/>
  <c r="D47" i="126"/>
  <c r="C47" i="126"/>
  <c r="F46" i="126"/>
  <c r="H46" i="126" s="1"/>
  <c r="E46" i="126"/>
  <c r="D46" i="126"/>
  <c r="C46" i="126"/>
  <c r="M45" i="126"/>
  <c r="F45" i="126"/>
  <c r="H45" i="126" s="1"/>
  <c r="K45" i="126" s="1"/>
  <c r="E45" i="126"/>
  <c r="D45" i="126"/>
  <c r="C45" i="126"/>
  <c r="M44" i="126"/>
  <c r="F44" i="126"/>
  <c r="H44" i="126" s="1"/>
  <c r="E44" i="126"/>
  <c r="D44" i="126"/>
  <c r="C44" i="126"/>
  <c r="M43" i="126"/>
  <c r="F43" i="126"/>
  <c r="H43" i="126" s="1"/>
  <c r="E43" i="126"/>
  <c r="D43" i="126"/>
  <c r="C43" i="126"/>
  <c r="M42" i="126"/>
  <c r="E42" i="126"/>
  <c r="D42" i="126"/>
  <c r="C42" i="126"/>
  <c r="M41" i="126"/>
  <c r="E41" i="126"/>
  <c r="D41" i="126"/>
  <c r="C41" i="126"/>
  <c r="M40" i="126"/>
  <c r="F40" i="126"/>
  <c r="H40" i="126" s="1"/>
  <c r="E40" i="126"/>
  <c r="D40" i="126"/>
  <c r="C40" i="126"/>
  <c r="M39" i="126"/>
  <c r="F39" i="126"/>
  <c r="H39" i="126" s="1"/>
  <c r="E39" i="126"/>
  <c r="D39" i="126"/>
  <c r="C39" i="126"/>
  <c r="C38" i="126"/>
  <c r="M37" i="126"/>
  <c r="F37" i="126"/>
  <c r="H37" i="126" s="1"/>
  <c r="E37" i="126"/>
  <c r="D37" i="126"/>
  <c r="C37" i="126"/>
  <c r="M36" i="126"/>
  <c r="E36" i="126"/>
  <c r="D36" i="126"/>
  <c r="C36" i="126"/>
  <c r="M35" i="126"/>
  <c r="F35" i="126"/>
  <c r="H35" i="126" s="1"/>
  <c r="E35" i="126"/>
  <c r="D35" i="126"/>
  <c r="C35" i="126"/>
  <c r="M34" i="126"/>
  <c r="F34" i="126"/>
  <c r="H34" i="126" s="1"/>
  <c r="E34" i="126"/>
  <c r="D34" i="126"/>
  <c r="C34" i="126"/>
  <c r="M33" i="126"/>
  <c r="F33" i="126"/>
  <c r="H33" i="126" s="1"/>
  <c r="E33" i="126"/>
  <c r="D33" i="126"/>
  <c r="C33" i="126"/>
  <c r="M32" i="126"/>
  <c r="E32" i="126"/>
  <c r="C32" i="126"/>
  <c r="M30" i="126"/>
  <c r="E30" i="126"/>
  <c r="D30" i="126"/>
  <c r="C30" i="126"/>
  <c r="M29" i="126"/>
  <c r="F29" i="126"/>
  <c r="H29" i="126" s="1"/>
  <c r="E29" i="126"/>
  <c r="D29" i="126"/>
  <c r="C29" i="126"/>
  <c r="M28" i="126"/>
  <c r="F28" i="126"/>
  <c r="H28" i="126" s="1"/>
  <c r="E28" i="126"/>
  <c r="D28" i="126"/>
  <c r="C28" i="126"/>
  <c r="M27" i="126"/>
  <c r="F27" i="126"/>
  <c r="H27" i="126" s="1"/>
  <c r="E27" i="126"/>
  <c r="D27" i="126"/>
  <c r="C27" i="126"/>
  <c r="M25" i="126"/>
  <c r="F25" i="126"/>
  <c r="H25" i="126" s="1"/>
  <c r="E25" i="126"/>
  <c r="D25" i="126"/>
  <c r="C25" i="126"/>
  <c r="M24" i="126"/>
  <c r="F24" i="126"/>
  <c r="H24" i="126" s="1"/>
  <c r="E24" i="126"/>
  <c r="D24" i="126"/>
  <c r="C24" i="126"/>
  <c r="M23" i="126"/>
  <c r="F23" i="126"/>
  <c r="H23" i="126" s="1"/>
  <c r="E23" i="126"/>
  <c r="D23" i="126"/>
  <c r="C23" i="126"/>
  <c r="M22" i="126"/>
  <c r="F22" i="126"/>
  <c r="H22" i="126" s="1"/>
  <c r="E22" i="126"/>
  <c r="D22" i="126"/>
  <c r="C22" i="126"/>
  <c r="M21" i="126"/>
  <c r="F21" i="126"/>
  <c r="H21" i="126" s="1"/>
  <c r="E21" i="126"/>
  <c r="D21" i="126"/>
  <c r="C21" i="126"/>
  <c r="D20" i="126"/>
  <c r="C20" i="126"/>
  <c r="M19" i="126"/>
  <c r="F19" i="126"/>
  <c r="H19" i="126" s="1"/>
  <c r="E19" i="126"/>
  <c r="D19" i="126"/>
  <c r="C19" i="126"/>
  <c r="M18" i="126"/>
  <c r="F18" i="126"/>
  <c r="H18" i="126" s="1"/>
  <c r="E18" i="126"/>
  <c r="D18" i="126"/>
  <c r="C18" i="126"/>
  <c r="M17" i="126"/>
  <c r="E17" i="126"/>
  <c r="D17" i="126"/>
  <c r="C17" i="126"/>
  <c r="C16" i="126"/>
  <c r="M15" i="126"/>
  <c r="F15" i="126"/>
  <c r="H15" i="126" s="1"/>
  <c r="E15" i="126"/>
  <c r="D15" i="126"/>
  <c r="C15" i="126"/>
  <c r="M14" i="126"/>
  <c r="F14" i="126"/>
  <c r="H14" i="126" s="1"/>
  <c r="E14" i="126"/>
  <c r="D14" i="126"/>
  <c r="C14" i="126"/>
  <c r="M13" i="126"/>
  <c r="F13" i="126"/>
  <c r="H13" i="126" s="1"/>
  <c r="E13" i="126"/>
  <c r="D13" i="126"/>
  <c r="C13" i="126"/>
  <c r="M12" i="126"/>
  <c r="F12" i="126"/>
  <c r="H12" i="126" s="1"/>
  <c r="E12" i="126"/>
  <c r="D12" i="126"/>
  <c r="C12" i="126"/>
  <c r="M10" i="126"/>
  <c r="F10" i="126"/>
  <c r="H10" i="126" s="1"/>
  <c r="E10" i="126"/>
  <c r="D10" i="126"/>
  <c r="C10" i="126"/>
  <c r="M9" i="126"/>
  <c r="F9" i="126"/>
  <c r="H9" i="126" s="1"/>
  <c r="E9" i="126"/>
  <c r="D9" i="126"/>
  <c r="C9" i="126"/>
  <c r="M8" i="126"/>
  <c r="F8" i="126"/>
  <c r="H8" i="126" s="1"/>
  <c r="E8" i="126"/>
  <c r="D8" i="126"/>
  <c r="C8" i="126"/>
  <c r="M7" i="126"/>
  <c r="F7" i="126"/>
  <c r="H7" i="126" s="1"/>
  <c r="E7" i="126"/>
  <c r="D7" i="126"/>
  <c r="C7" i="126"/>
  <c r="M6" i="126"/>
  <c r="F6" i="126"/>
  <c r="H6" i="126" s="1"/>
  <c r="E6" i="126"/>
  <c r="D6" i="126"/>
  <c r="C6" i="126"/>
  <c r="M5" i="126"/>
  <c r="F5" i="126"/>
  <c r="H5" i="126" s="1"/>
  <c r="E5" i="126"/>
  <c r="D5" i="126"/>
  <c r="C5" i="126"/>
  <c r="C4" i="126"/>
  <c r="M3" i="126"/>
  <c r="F3" i="126"/>
  <c r="H3" i="126" s="1"/>
  <c r="E3" i="126"/>
  <c r="D3" i="126"/>
  <c r="C3" i="126"/>
  <c r="K46" i="126" l="1"/>
  <c r="I52" i="126"/>
  <c r="I54" i="126"/>
  <c r="I19" i="126"/>
  <c r="I27" i="126"/>
  <c r="I35" i="126"/>
  <c r="I43" i="126"/>
  <c r="I10" i="126"/>
  <c r="I7" i="126"/>
  <c r="I9" i="126"/>
  <c r="I29" i="126"/>
  <c r="I45" i="126"/>
  <c r="I6" i="126"/>
  <c r="I18" i="126"/>
  <c r="I21" i="126"/>
  <c r="I37" i="126"/>
  <c r="I15" i="126"/>
  <c r="I3" i="126"/>
  <c r="I5" i="126"/>
  <c r="I23" i="126"/>
  <c r="I25" i="126"/>
  <c r="I33" i="126"/>
  <c r="I39" i="126"/>
  <c r="I47" i="126"/>
  <c r="I49" i="126"/>
  <c r="I13" i="126"/>
  <c r="I34" i="126"/>
  <c r="I14" i="126"/>
  <c r="I22" i="126"/>
  <c r="I46" i="126"/>
  <c r="I28" i="126"/>
  <c r="I40" i="126"/>
  <c r="I8" i="126"/>
  <c r="I12" i="126"/>
  <c r="I24" i="126"/>
  <c r="I44" i="126"/>
  <c r="I48" i="126"/>
  <c r="J150" i="123"/>
  <c r="I150" i="123"/>
  <c r="H150" i="123"/>
  <c r="K148" i="123"/>
  <c r="G147" i="123"/>
  <c r="I144" i="123"/>
  <c r="J137" i="123"/>
  <c r="J149" i="123" s="1"/>
  <c r="I137" i="123"/>
  <c r="I149" i="123" s="1"/>
  <c r="H137" i="123"/>
  <c r="H149" i="123" s="1"/>
  <c r="G137" i="123"/>
  <c r="G149" i="123" s="1"/>
  <c r="F137" i="123"/>
  <c r="F149" i="123" s="1"/>
  <c r="K135" i="123"/>
  <c r="K134" i="123"/>
  <c r="K133" i="123"/>
  <c r="K132" i="123"/>
  <c r="K131" i="123"/>
  <c r="K137" i="123" s="1"/>
  <c r="K149" i="123" s="1"/>
  <c r="F119" i="123"/>
  <c r="J108" i="123"/>
  <c r="J147" i="123" s="1"/>
  <c r="H108" i="123"/>
  <c r="H147" i="123" s="1"/>
  <c r="G108" i="123"/>
  <c r="F108" i="123"/>
  <c r="F147" i="123" s="1"/>
  <c r="I106" i="123"/>
  <c r="K106" i="123" s="1"/>
  <c r="I105" i="123"/>
  <c r="K105" i="123" s="1"/>
  <c r="K104" i="123"/>
  <c r="I104" i="123"/>
  <c r="I103" i="123"/>
  <c r="K103" i="123" s="1"/>
  <c r="I102" i="123"/>
  <c r="I108" i="123" s="1"/>
  <c r="I147" i="123" s="1"/>
  <c r="J98" i="123"/>
  <c r="J146" i="123" s="1"/>
  <c r="H98" i="123"/>
  <c r="H146" i="123" s="1"/>
  <c r="G98" i="123"/>
  <c r="G146" i="123" s="1"/>
  <c r="F98" i="123"/>
  <c r="F146" i="123" s="1"/>
  <c r="K96" i="123"/>
  <c r="I96" i="123"/>
  <c r="I95" i="123"/>
  <c r="K95" i="123" s="1"/>
  <c r="I94" i="123"/>
  <c r="K94" i="123" s="1"/>
  <c r="I93" i="123"/>
  <c r="K93" i="123" s="1"/>
  <c r="K92" i="123"/>
  <c r="I92" i="123"/>
  <c r="I91" i="123"/>
  <c r="K91" i="123" s="1"/>
  <c r="I90" i="123"/>
  <c r="K90" i="123" s="1"/>
  <c r="I89" i="123"/>
  <c r="K89" i="123" s="1"/>
  <c r="K88" i="123"/>
  <c r="I88" i="123"/>
  <c r="I87" i="123"/>
  <c r="K87" i="123" s="1"/>
  <c r="I86" i="123"/>
  <c r="I98" i="123" s="1"/>
  <c r="I146" i="123" s="1"/>
  <c r="J82" i="123"/>
  <c r="J145" i="123" s="1"/>
  <c r="I82" i="123"/>
  <c r="I145" i="123" s="1"/>
  <c r="H82" i="123"/>
  <c r="H145" i="123" s="1"/>
  <c r="G82" i="123"/>
  <c r="G145" i="123" s="1"/>
  <c r="F82" i="123"/>
  <c r="F145" i="123" s="1"/>
  <c r="K80" i="123"/>
  <c r="K79" i="123"/>
  <c r="K78" i="123"/>
  <c r="K77" i="123"/>
  <c r="J74" i="123"/>
  <c r="J144" i="123" s="1"/>
  <c r="I74" i="123"/>
  <c r="H74" i="123"/>
  <c r="H144" i="123" s="1"/>
  <c r="G74" i="123"/>
  <c r="G144" i="123" s="1"/>
  <c r="F74" i="123"/>
  <c r="F144" i="123" s="1"/>
  <c r="K72" i="123"/>
  <c r="K71" i="123"/>
  <c r="K70" i="123"/>
  <c r="K69" i="123"/>
  <c r="K68" i="123"/>
  <c r="J64" i="123"/>
  <c r="J143" i="123" s="1"/>
  <c r="H64" i="123"/>
  <c r="H143" i="123" s="1"/>
  <c r="G64" i="123"/>
  <c r="G143" i="123" s="1"/>
  <c r="F64" i="123"/>
  <c r="F143" i="123" s="1"/>
  <c r="K63" i="123"/>
  <c r="K62" i="123"/>
  <c r="K61" i="123"/>
  <c r="K60" i="123"/>
  <c r="K59" i="123"/>
  <c r="I58" i="123"/>
  <c r="I64" i="123" s="1"/>
  <c r="I143" i="123" s="1"/>
  <c r="K57" i="123"/>
  <c r="K56" i="123"/>
  <c r="K55" i="123"/>
  <c r="K54" i="123"/>
  <c r="K53" i="123"/>
  <c r="J49" i="123"/>
  <c r="J142" i="123" s="1"/>
  <c r="I49" i="123"/>
  <c r="I142" i="123" s="1"/>
  <c r="H49" i="123"/>
  <c r="H142" i="123" s="1"/>
  <c r="G49" i="123"/>
  <c r="G142" i="123" s="1"/>
  <c r="F49" i="123"/>
  <c r="F142" i="123" s="1"/>
  <c r="K43" i="123"/>
  <c r="K42" i="123"/>
  <c r="K41" i="123"/>
  <c r="K40" i="123"/>
  <c r="J36" i="123"/>
  <c r="J141" i="123" s="1"/>
  <c r="H36" i="123"/>
  <c r="H141" i="123" s="1"/>
  <c r="G36" i="123"/>
  <c r="G141" i="123" s="1"/>
  <c r="F36" i="123"/>
  <c r="F141" i="123" s="1"/>
  <c r="I29" i="123"/>
  <c r="K29" i="123" s="1"/>
  <c r="I28" i="123"/>
  <c r="K28" i="123" s="1"/>
  <c r="I27" i="123"/>
  <c r="K27" i="123" s="1"/>
  <c r="K26" i="123"/>
  <c r="I26" i="123"/>
  <c r="I25" i="123"/>
  <c r="K25" i="123" s="1"/>
  <c r="I24" i="123"/>
  <c r="K24" i="123" s="1"/>
  <c r="I23" i="123"/>
  <c r="K23" i="123" s="1"/>
  <c r="K22" i="123"/>
  <c r="I22" i="123"/>
  <c r="I21" i="123"/>
  <c r="I36" i="123" s="1"/>
  <c r="I141" i="123" s="1"/>
  <c r="K18" i="123"/>
  <c r="K150" i="123" s="1"/>
  <c r="K74" i="123" l="1"/>
  <c r="K144" i="123" s="1"/>
  <c r="K82" i="123"/>
  <c r="K145" i="123" s="1"/>
  <c r="K102" i="123"/>
  <c r="K108" i="123" s="1"/>
  <c r="K147" i="123" s="1"/>
  <c r="F152" i="123"/>
  <c r="K49" i="123"/>
  <c r="K142" i="123" s="1"/>
  <c r="K86" i="123"/>
  <c r="G152" i="123"/>
  <c r="K98" i="123"/>
  <c r="K146" i="123" s="1"/>
  <c r="H152" i="123"/>
  <c r="I152" i="123"/>
  <c r="J152" i="123"/>
  <c r="K21" i="123"/>
  <c r="K36" i="123" s="1"/>
  <c r="K141" i="123" s="1"/>
  <c r="K58" i="123"/>
  <c r="K64" i="123" s="1"/>
  <c r="K143" i="123" s="1"/>
  <c r="K152" i="123" l="1"/>
  <c r="F155" i="123" l="1"/>
  <c r="F154" i="123"/>
  <c r="I150" i="122" l="1"/>
  <c r="J137" i="122"/>
  <c r="J149" i="122" s="1"/>
  <c r="H137" i="122"/>
  <c r="H149" i="122" s="1"/>
  <c r="G137" i="122"/>
  <c r="G149" i="122" s="1"/>
  <c r="F137" i="122"/>
  <c r="F149" i="122" s="1"/>
  <c r="K133" i="122"/>
  <c r="F125" i="122"/>
  <c r="F121" i="122"/>
  <c r="F118" i="122"/>
  <c r="F117" i="122"/>
  <c r="F114" i="122"/>
  <c r="I132" i="122" s="1"/>
  <c r="J100" i="60" s="1"/>
  <c r="F111" i="122"/>
  <c r="J108" i="122"/>
  <c r="J147" i="122" s="1"/>
  <c r="G108" i="122"/>
  <c r="G147" i="122" s="1"/>
  <c r="H102" i="122"/>
  <c r="H108" i="122" s="1"/>
  <c r="H147" i="122" s="1"/>
  <c r="F102" i="122"/>
  <c r="F108" i="122" s="1"/>
  <c r="F147" i="122" s="1"/>
  <c r="J98" i="122"/>
  <c r="J146" i="122" s="1"/>
  <c r="H98" i="122"/>
  <c r="H146" i="122" s="1"/>
  <c r="G146" i="122"/>
  <c r="F146" i="122"/>
  <c r="K89" i="122"/>
  <c r="K87" i="122"/>
  <c r="J82" i="122"/>
  <c r="J145" i="122" s="1"/>
  <c r="G82" i="122"/>
  <c r="G145" i="122" s="1"/>
  <c r="F82" i="122"/>
  <c r="F145" i="122" s="1"/>
  <c r="I80" i="122"/>
  <c r="K79" i="122"/>
  <c r="K78" i="122"/>
  <c r="H77" i="122"/>
  <c r="K77" i="122" s="1"/>
  <c r="I74" i="122"/>
  <c r="I144" i="122" s="1"/>
  <c r="G74" i="122"/>
  <c r="G144" i="122" s="1"/>
  <c r="F74" i="122"/>
  <c r="F144" i="122" s="1"/>
  <c r="K69" i="122"/>
  <c r="H68" i="122"/>
  <c r="J68" i="122" s="1"/>
  <c r="G64" i="122"/>
  <c r="G143" i="122" s="1"/>
  <c r="F64" i="122"/>
  <c r="F143" i="122" s="1"/>
  <c r="H61" i="122"/>
  <c r="K61" i="122" s="1"/>
  <c r="K60" i="122"/>
  <c r="H59" i="122"/>
  <c r="K59" i="122" s="1"/>
  <c r="H58" i="122"/>
  <c r="K58" i="122" s="1"/>
  <c r="H57" i="122"/>
  <c r="K57" i="122" s="1"/>
  <c r="H56" i="122"/>
  <c r="K56" i="122" s="1"/>
  <c r="J55" i="122"/>
  <c r="H55" i="122"/>
  <c r="H54" i="122"/>
  <c r="K54" i="122" s="1"/>
  <c r="J53" i="122"/>
  <c r="H53" i="122"/>
  <c r="J49" i="122"/>
  <c r="J142" i="122" s="1"/>
  <c r="G49" i="122"/>
  <c r="G142" i="122" s="1"/>
  <c r="F49" i="122"/>
  <c r="F142" i="122" s="1"/>
  <c r="I44" i="122"/>
  <c r="K44" i="122" s="1"/>
  <c r="K43" i="122"/>
  <c r="I42" i="122"/>
  <c r="K42" i="122" s="1"/>
  <c r="H41" i="122"/>
  <c r="I41" i="122" s="1"/>
  <c r="K41" i="122" s="1"/>
  <c r="I40" i="122"/>
  <c r="J36" i="122"/>
  <c r="J141" i="122" s="1"/>
  <c r="H36" i="122"/>
  <c r="H141" i="122" s="1"/>
  <c r="G36" i="122"/>
  <c r="G141" i="122" s="1"/>
  <c r="F36" i="122"/>
  <c r="F141" i="122" s="1"/>
  <c r="J150" i="122"/>
  <c r="H150" i="122"/>
  <c r="C7" i="122"/>
  <c r="F119" i="122" l="1"/>
  <c r="F123" i="122" s="1"/>
  <c r="F127" i="122" s="1"/>
  <c r="I82" i="122"/>
  <c r="I145" i="122" s="1"/>
  <c r="K148" i="122"/>
  <c r="M20" i="126"/>
  <c r="E20" i="126"/>
  <c r="K132" i="122"/>
  <c r="I30" i="122"/>
  <c r="K30" i="122" s="1"/>
  <c r="I86" i="122"/>
  <c r="K86" i="122" s="1"/>
  <c r="I93" i="122"/>
  <c r="K93" i="122" s="1"/>
  <c r="I29" i="122"/>
  <c r="K29" i="122" s="1"/>
  <c r="I91" i="122"/>
  <c r="K91" i="122" s="1"/>
  <c r="I103" i="122"/>
  <c r="K103" i="122" s="1"/>
  <c r="I21" i="122"/>
  <c r="K21" i="122" s="1"/>
  <c r="I22" i="122"/>
  <c r="K22" i="122" s="1"/>
  <c r="I25" i="122"/>
  <c r="K25" i="122" s="1"/>
  <c r="I26" i="122"/>
  <c r="K26" i="122" s="1"/>
  <c r="H74" i="122"/>
  <c r="H144" i="122" s="1"/>
  <c r="H49" i="122"/>
  <c r="H142" i="122" s="1"/>
  <c r="J74" i="122"/>
  <c r="J144" i="122" s="1"/>
  <c r="K68" i="122"/>
  <c r="K74" i="122" s="1"/>
  <c r="K144" i="122" s="1"/>
  <c r="I23" i="122"/>
  <c r="K23" i="122" s="1"/>
  <c r="I27" i="122"/>
  <c r="K27" i="122" s="1"/>
  <c r="I55" i="122"/>
  <c r="K55" i="122" s="1"/>
  <c r="I24" i="122"/>
  <c r="K24" i="122" s="1"/>
  <c r="I28" i="122"/>
  <c r="K28" i="122" s="1"/>
  <c r="H64" i="122"/>
  <c r="H143" i="122" s="1"/>
  <c r="J64" i="122"/>
  <c r="J143" i="122" s="1"/>
  <c r="J152" i="122" s="1"/>
  <c r="I49" i="122"/>
  <c r="I142" i="122" s="1"/>
  <c r="G152" i="122"/>
  <c r="F152" i="122"/>
  <c r="K18" i="122"/>
  <c r="K40" i="122"/>
  <c r="K49" i="122" s="1"/>
  <c r="K142" i="122" s="1"/>
  <c r="I53" i="122"/>
  <c r="H82" i="122"/>
  <c r="H145" i="122" s="1"/>
  <c r="K80" i="122"/>
  <c r="K82" i="122" s="1"/>
  <c r="K145" i="122" s="1"/>
  <c r="I131" i="122"/>
  <c r="J99" i="60" s="1"/>
  <c r="I90" i="122"/>
  <c r="K90" i="122" s="1"/>
  <c r="I92" i="122"/>
  <c r="K92" i="122" s="1"/>
  <c r="I102" i="122"/>
  <c r="I88" i="122"/>
  <c r="K88" i="122" s="1"/>
  <c r="K150" i="122" l="1"/>
  <c r="I108" i="122"/>
  <c r="I147" i="122" s="1"/>
  <c r="I64" i="122"/>
  <c r="I143" i="122" s="1"/>
  <c r="H152" i="122"/>
  <c r="I36" i="122"/>
  <c r="I141" i="122" s="1"/>
  <c r="K36" i="122"/>
  <c r="K141" i="122" s="1"/>
  <c r="K102" i="122"/>
  <c r="K108" i="122" s="1"/>
  <c r="K147" i="122" s="1"/>
  <c r="K53" i="122"/>
  <c r="K64" i="122" s="1"/>
  <c r="K143" i="122" s="1"/>
  <c r="K131" i="122"/>
  <c r="K137" i="122" s="1"/>
  <c r="K149" i="122" s="1"/>
  <c r="I137" i="122"/>
  <c r="I149" i="122" s="1"/>
  <c r="I98" i="122"/>
  <c r="I146" i="122" s="1"/>
  <c r="K98" i="122"/>
  <c r="K146" i="122" s="1"/>
  <c r="I152" i="122" l="1"/>
  <c r="K152" i="122"/>
  <c r="F155" i="122" l="1"/>
  <c r="F20" i="126"/>
  <c r="H20" i="126" s="1"/>
  <c r="F154" i="122"/>
  <c r="I20" i="126" l="1"/>
  <c r="K18" i="119" l="1"/>
  <c r="F21" i="119"/>
  <c r="G21" i="119"/>
  <c r="H21" i="119"/>
  <c r="I21" i="119"/>
  <c r="J21" i="119"/>
  <c r="F22" i="119"/>
  <c r="G22" i="119"/>
  <c r="H22" i="119"/>
  <c r="I22" i="119"/>
  <c r="J22" i="119"/>
  <c r="F23" i="119"/>
  <c r="G23" i="119"/>
  <c r="H23" i="119"/>
  <c r="I23" i="119"/>
  <c r="J23" i="119"/>
  <c r="F24" i="119"/>
  <c r="G24" i="119"/>
  <c r="H24" i="119"/>
  <c r="I24" i="119"/>
  <c r="J24" i="119"/>
  <c r="F25" i="119"/>
  <c r="G25" i="119"/>
  <c r="H25" i="119"/>
  <c r="I25" i="119"/>
  <c r="J25" i="119"/>
  <c r="F29" i="119"/>
  <c r="G29" i="119"/>
  <c r="H29" i="119"/>
  <c r="I29" i="119"/>
  <c r="J29" i="119"/>
  <c r="F30" i="119"/>
  <c r="G30" i="119"/>
  <c r="H30" i="119"/>
  <c r="I30" i="119"/>
  <c r="J30" i="119"/>
  <c r="K40" i="119"/>
  <c r="F41" i="119"/>
  <c r="G41" i="119"/>
  <c r="K41" i="119"/>
  <c r="F42" i="119"/>
  <c r="G42" i="119"/>
  <c r="H42" i="119"/>
  <c r="I42" i="119"/>
  <c r="I49" i="119" s="1"/>
  <c r="I142" i="119" s="1"/>
  <c r="J42" i="119"/>
  <c r="J49" i="119" s="1"/>
  <c r="J142" i="119" s="1"/>
  <c r="K43" i="119"/>
  <c r="K44" i="119"/>
  <c r="K45" i="119"/>
  <c r="K46" i="119"/>
  <c r="K47" i="119"/>
  <c r="K53" i="119"/>
  <c r="F54" i="119"/>
  <c r="G54" i="119"/>
  <c r="H54" i="119"/>
  <c r="I54" i="119"/>
  <c r="J54" i="119"/>
  <c r="K55" i="119"/>
  <c r="K56" i="119"/>
  <c r="F57" i="119"/>
  <c r="G57" i="119"/>
  <c r="H57" i="119"/>
  <c r="I57" i="119"/>
  <c r="J57" i="119"/>
  <c r="K58" i="119"/>
  <c r="K59" i="119"/>
  <c r="K60" i="119"/>
  <c r="K61" i="119"/>
  <c r="K62" i="119"/>
  <c r="F68" i="119"/>
  <c r="F74" i="119" s="1"/>
  <c r="F144" i="119" s="1"/>
  <c r="K68" i="119"/>
  <c r="K69" i="119"/>
  <c r="K70" i="119"/>
  <c r="K71" i="119"/>
  <c r="K72" i="119"/>
  <c r="G74" i="119"/>
  <c r="H74" i="119"/>
  <c r="H144" i="119" s="1"/>
  <c r="I74" i="119"/>
  <c r="I144" i="119" s="1"/>
  <c r="J74" i="119"/>
  <c r="F77" i="119"/>
  <c r="H77" i="119"/>
  <c r="I77" i="119"/>
  <c r="J77" i="119"/>
  <c r="J82" i="119" s="1"/>
  <c r="J145" i="119" s="1"/>
  <c r="F78" i="119"/>
  <c r="K78" i="119"/>
  <c r="K79" i="119"/>
  <c r="F80" i="119"/>
  <c r="K80" i="119"/>
  <c r="G82" i="119"/>
  <c r="I82" i="119"/>
  <c r="I145" i="119" s="1"/>
  <c r="H86" i="119"/>
  <c r="I86" i="119"/>
  <c r="J86" i="119"/>
  <c r="F87" i="119"/>
  <c r="G87" i="119"/>
  <c r="F88" i="119"/>
  <c r="G88" i="119"/>
  <c r="H88" i="119"/>
  <c r="I88" i="119"/>
  <c r="J88" i="119"/>
  <c r="F89" i="119"/>
  <c r="G89" i="119"/>
  <c r="F90" i="119"/>
  <c r="G90" i="119"/>
  <c r="F91" i="119"/>
  <c r="G91" i="119"/>
  <c r="H91" i="119"/>
  <c r="I91" i="119"/>
  <c r="J91" i="119"/>
  <c r="F92" i="119"/>
  <c r="G92" i="119"/>
  <c r="H92" i="119"/>
  <c r="I92" i="119"/>
  <c r="J92" i="119"/>
  <c r="F93" i="119"/>
  <c r="G93" i="119"/>
  <c r="F102" i="119"/>
  <c r="G102" i="119"/>
  <c r="H102" i="119"/>
  <c r="I102" i="119"/>
  <c r="J102" i="119"/>
  <c r="J108" i="119" s="1"/>
  <c r="J147" i="119" s="1"/>
  <c r="F104" i="119"/>
  <c r="F108" i="119" s="1"/>
  <c r="G104" i="119"/>
  <c r="H104" i="119"/>
  <c r="I104" i="119"/>
  <c r="J104" i="119"/>
  <c r="F111" i="119"/>
  <c r="M50" i="126" s="1"/>
  <c r="F114" i="119"/>
  <c r="I87" i="119" s="1"/>
  <c r="K87" i="119" s="1"/>
  <c r="F117" i="119"/>
  <c r="F118" i="119"/>
  <c r="F121" i="119"/>
  <c r="E50" i="126" s="1"/>
  <c r="F123" i="119"/>
  <c r="F125" i="119"/>
  <c r="F127" i="119"/>
  <c r="K131" i="119"/>
  <c r="K132" i="119"/>
  <c r="K133" i="119"/>
  <c r="K134" i="119"/>
  <c r="K135" i="119"/>
  <c r="F137" i="119"/>
  <c r="G137" i="119"/>
  <c r="G149" i="119" s="1"/>
  <c r="H137" i="119"/>
  <c r="I137" i="119"/>
  <c r="J137" i="119"/>
  <c r="K137" i="119"/>
  <c r="K149" i="119" s="1"/>
  <c r="G144" i="119"/>
  <c r="J144" i="119"/>
  <c r="G145" i="119"/>
  <c r="K148" i="119"/>
  <c r="F149" i="119"/>
  <c r="H149" i="119"/>
  <c r="I149" i="119"/>
  <c r="J149" i="119"/>
  <c r="H150" i="119"/>
  <c r="I150" i="119"/>
  <c r="J150" i="119"/>
  <c r="K150" i="119"/>
  <c r="G98" i="119" l="1"/>
  <c r="G146" i="119" s="1"/>
  <c r="J98" i="119"/>
  <c r="J146" i="119" s="1"/>
  <c r="G49" i="119"/>
  <c r="G142" i="119" s="1"/>
  <c r="G36" i="119"/>
  <c r="G141" i="119" s="1"/>
  <c r="G108" i="119"/>
  <c r="G147" i="119" s="1"/>
  <c r="H108" i="119"/>
  <c r="H147" i="119" s="1"/>
  <c r="I64" i="119"/>
  <c r="I143" i="119" s="1"/>
  <c r="K88" i="119"/>
  <c r="F98" i="119"/>
  <c r="F146" i="119" s="1"/>
  <c r="K30" i="119"/>
  <c r="K23" i="119"/>
  <c r="K92" i="119"/>
  <c r="J64" i="119"/>
  <c r="J143" i="119" s="1"/>
  <c r="F64" i="119"/>
  <c r="F143" i="119" s="1"/>
  <c r="F49" i="119"/>
  <c r="F142" i="119" s="1"/>
  <c r="I105" i="119"/>
  <c r="K105" i="119" s="1"/>
  <c r="I34" i="119"/>
  <c r="K34" i="119" s="1"/>
  <c r="I28" i="119"/>
  <c r="K28" i="119" s="1"/>
  <c r="K25" i="119"/>
  <c r="K21" i="119"/>
  <c r="I95" i="119"/>
  <c r="K95" i="119" s="1"/>
  <c r="K57" i="119"/>
  <c r="G64" i="119"/>
  <c r="G143" i="119" s="1"/>
  <c r="G152" i="119" s="1"/>
  <c r="I32" i="119"/>
  <c r="K32" i="119" s="1"/>
  <c r="K29" i="119"/>
  <c r="I26" i="119"/>
  <c r="K26" i="119" s="1"/>
  <c r="K24" i="119"/>
  <c r="J36" i="119"/>
  <c r="J141" i="119" s="1"/>
  <c r="F36" i="119"/>
  <c r="F141" i="119" s="1"/>
  <c r="F147" i="119"/>
  <c r="D50" i="126"/>
  <c r="K91" i="119"/>
  <c r="I90" i="119"/>
  <c r="K90" i="119" s="1"/>
  <c r="I89" i="119"/>
  <c r="K89" i="119" s="1"/>
  <c r="K104" i="119"/>
  <c r="I103" i="119"/>
  <c r="K103" i="119" s="1"/>
  <c r="I93" i="119"/>
  <c r="K93" i="119" s="1"/>
  <c r="H98" i="119"/>
  <c r="H146" i="119" s="1"/>
  <c r="F82" i="119"/>
  <c r="F145" i="119" s="1"/>
  <c r="F119" i="119"/>
  <c r="K74" i="119"/>
  <c r="K144" i="119" s="1"/>
  <c r="J152" i="119"/>
  <c r="K54" i="119"/>
  <c r="K64" i="119" s="1"/>
  <c r="K143" i="119" s="1"/>
  <c r="H64" i="119"/>
  <c r="H143" i="119" s="1"/>
  <c r="H36" i="119"/>
  <c r="H141" i="119" s="1"/>
  <c r="K77" i="119"/>
  <c r="K82" i="119" s="1"/>
  <c r="K145" i="119" s="1"/>
  <c r="H82" i="119"/>
  <c r="H145" i="119" s="1"/>
  <c r="K42" i="119"/>
  <c r="K49" i="119" s="1"/>
  <c r="K142" i="119" s="1"/>
  <c r="K22" i="119"/>
  <c r="K102" i="119"/>
  <c r="K86" i="119"/>
  <c r="I33" i="119"/>
  <c r="K33" i="119" s="1"/>
  <c r="I31" i="119"/>
  <c r="K31" i="119" s="1"/>
  <c r="I27" i="119"/>
  <c r="K27" i="119" s="1"/>
  <c r="I106" i="119"/>
  <c r="K106" i="119" s="1"/>
  <c r="I96" i="119"/>
  <c r="K96" i="119" s="1"/>
  <c r="I94" i="119"/>
  <c r="K94" i="119" s="1"/>
  <c r="H49" i="119"/>
  <c r="H142" i="119" s="1"/>
  <c r="K18" i="118"/>
  <c r="K150" i="118" s="1"/>
  <c r="I21" i="118"/>
  <c r="K21" i="118" s="1"/>
  <c r="K36" i="118" s="1"/>
  <c r="K141" i="118" s="1"/>
  <c r="I22" i="118"/>
  <c r="K22" i="118"/>
  <c r="I23" i="118"/>
  <c r="K23" i="118" s="1"/>
  <c r="I24" i="118"/>
  <c r="K24" i="118"/>
  <c r="I25" i="118"/>
  <c r="K25" i="118" s="1"/>
  <c r="I26" i="118"/>
  <c r="K26" i="118"/>
  <c r="I27" i="118"/>
  <c r="K27" i="118" s="1"/>
  <c r="I28" i="118"/>
  <c r="K28" i="118"/>
  <c r="I29" i="118"/>
  <c r="K29" i="118" s="1"/>
  <c r="I30" i="118"/>
  <c r="K30" i="118"/>
  <c r="I31" i="118"/>
  <c r="K31" i="118" s="1"/>
  <c r="I32" i="118"/>
  <c r="K32" i="118"/>
  <c r="I33" i="118"/>
  <c r="K33" i="118" s="1"/>
  <c r="I34" i="118"/>
  <c r="K34" i="118"/>
  <c r="F36" i="118"/>
  <c r="F141" i="118" s="1"/>
  <c r="G36" i="118"/>
  <c r="H36" i="118"/>
  <c r="J36" i="118"/>
  <c r="J141" i="118" s="1"/>
  <c r="I40" i="118"/>
  <c r="K40" i="118"/>
  <c r="I41" i="118"/>
  <c r="K41" i="118" s="1"/>
  <c r="I42" i="118"/>
  <c r="K42" i="118"/>
  <c r="K43" i="118"/>
  <c r="K44" i="118"/>
  <c r="K45" i="118"/>
  <c r="K46" i="118"/>
  <c r="K47" i="118"/>
  <c r="F49" i="118"/>
  <c r="G49" i="118"/>
  <c r="H49" i="118"/>
  <c r="H142" i="118" s="1"/>
  <c r="I49" i="118"/>
  <c r="I142" i="118" s="1"/>
  <c r="J49" i="118"/>
  <c r="I53" i="118"/>
  <c r="I64" i="118" s="1"/>
  <c r="I143" i="118" s="1"/>
  <c r="K53" i="118"/>
  <c r="I54" i="118"/>
  <c r="K54" i="118"/>
  <c r="K55" i="118"/>
  <c r="I56" i="118"/>
  <c r="K56" i="118" s="1"/>
  <c r="I57" i="118"/>
  <c r="K57" i="118"/>
  <c r="I58" i="118"/>
  <c r="K58" i="118" s="1"/>
  <c r="K59" i="118"/>
  <c r="K60" i="118"/>
  <c r="K61" i="118"/>
  <c r="K62" i="118"/>
  <c r="F64" i="118"/>
  <c r="G64" i="118"/>
  <c r="G143" i="118" s="1"/>
  <c r="H64" i="118"/>
  <c r="H143" i="118" s="1"/>
  <c r="J64" i="118"/>
  <c r="K68" i="118"/>
  <c r="K74" i="118" s="1"/>
  <c r="K144" i="118" s="1"/>
  <c r="I69" i="118"/>
  <c r="K69" i="118"/>
  <c r="K70" i="118"/>
  <c r="K71" i="118"/>
  <c r="K72" i="118"/>
  <c r="F74" i="118"/>
  <c r="G74" i="118"/>
  <c r="H74" i="118"/>
  <c r="H144" i="118" s="1"/>
  <c r="I74" i="118"/>
  <c r="J74" i="118"/>
  <c r="K77" i="118"/>
  <c r="K82" i="118" s="1"/>
  <c r="K145" i="118" s="1"/>
  <c r="K78" i="118"/>
  <c r="K79" i="118"/>
  <c r="K80" i="118"/>
  <c r="F82" i="118"/>
  <c r="F145" i="118" s="1"/>
  <c r="G82" i="118"/>
  <c r="H82" i="118"/>
  <c r="I82" i="118"/>
  <c r="J82" i="118"/>
  <c r="J145" i="118" s="1"/>
  <c r="I86" i="118"/>
  <c r="K86" i="118"/>
  <c r="I87" i="118"/>
  <c r="K87" i="118" s="1"/>
  <c r="I88" i="118"/>
  <c r="K88" i="118"/>
  <c r="I89" i="118"/>
  <c r="K89" i="118" s="1"/>
  <c r="I90" i="118"/>
  <c r="K90" i="118"/>
  <c r="I91" i="118"/>
  <c r="K91" i="118" s="1"/>
  <c r="I92" i="118"/>
  <c r="K92" i="118"/>
  <c r="I93" i="118"/>
  <c r="K93" i="118" s="1"/>
  <c r="I94" i="118"/>
  <c r="K94" i="118"/>
  <c r="I95" i="118"/>
  <c r="K95" i="118" s="1"/>
  <c r="I96" i="118"/>
  <c r="K96" i="118"/>
  <c r="F98" i="118"/>
  <c r="F146" i="118" s="1"/>
  <c r="G98" i="118"/>
  <c r="H98" i="118"/>
  <c r="J98" i="118"/>
  <c r="J146" i="118" s="1"/>
  <c r="I102" i="118"/>
  <c r="K102" i="118"/>
  <c r="I103" i="118"/>
  <c r="K103" i="118" s="1"/>
  <c r="I104" i="118"/>
  <c r="K104" i="118"/>
  <c r="I105" i="118"/>
  <c r="K105" i="118" s="1"/>
  <c r="I106" i="118"/>
  <c r="K106" i="118"/>
  <c r="F108" i="118"/>
  <c r="F147" i="118" s="1"/>
  <c r="G108" i="118"/>
  <c r="H108" i="118"/>
  <c r="J108" i="118"/>
  <c r="J147" i="118" s="1"/>
  <c r="F111" i="118"/>
  <c r="F119" i="118"/>
  <c r="F125" i="118"/>
  <c r="F127" i="118" s="1"/>
  <c r="K131" i="118"/>
  <c r="K132" i="118"/>
  <c r="K133" i="118"/>
  <c r="K134" i="118"/>
  <c r="K135" i="118"/>
  <c r="F137" i="118"/>
  <c r="G137" i="118"/>
  <c r="G149" i="118" s="1"/>
  <c r="H137" i="118"/>
  <c r="I137" i="118"/>
  <c r="J137" i="118"/>
  <c r="K137" i="118"/>
  <c r="K149" i="118" s="1"/>
  <c r="G141" i="118"/>
  <c r="H141" i="118"/>
  <c r="F142" i="118"/>
  <c r="G142" i="118"/>
  <c r="G152" i="118" s="1"/>
  <c r="J142" i="118"/>
  <c r="F143" i="118"/>
  <c r="J143" i="118"/>
  <c r="F144" i="118"/>
  <c r="G144" i="118"/>
  <c r="I144" i="118"/>
  <c r="J144" i="118"/>
  <c r="G145" i="118"/>
  <c r="H145" i="118"/>
  <c r="I145" i="118"/>
  <c r="G146" i="118"/>
  <c r="H146" i="118"/>
  <c r="G147" i="118"/>
  <c r="H147" i="118"/>
  <c r="K148" i="118"/>
  <c r="F149" i="118"/>
  <c r="H149" i="118"/>
  <c r="I149" i="118"/>
  <c r="J149" i="118"/>
  <c r="H150" i="118"/>
  <c r="I150" i="118"/>
  <c r="J150" i="118"/>
  <c r="F152" i="119" l="1"/>
  <c r="H152" i="119"/>
  <c r="K36" i="119"/>
  <c r="K141" i="119" s="1"/>
  <c r="K98" i="119"/>
  <c r="K146" i="119" s="1"/>
  <c r="K108" i="119"/>
  <c r="K147" i="119" s="1"/>
  <c r="I98" i="119"/>
  <c r="I146" i="119" s="1"/>
  <c r="I36" i="119"/>
  <c r="I141" i="119" s="1"/>
  <c r="I108" i="119"/>
  <c r="I147" i="119" s="1"/>
  <c r="K98" i="118"/>
  <c r="K146" i="118" s="1"/>
  <c r="K49" i="118"/>
  <c r="K142" i="118" s="1"/>
  <c r="K152" i="118" s="1"/>
  <c r="F36" i="126" s="1"/>
  <c r="H36" i="126" s="1"/>
  <c r="J152" i="118"/>
  <c r="K108" i="118"/>
  <c r="K147" i="118" s="1"/>
  <c r="K64" i="118"/>
  <c r="K143" i="118" s="1"/>
  <c r="H152" i="118"/>
  <c r="F152" i="118"/>
  <c r="I98" i="118"/>
  <c r="I146" i="118" s="1"/>
  <c r="I108" i="118"/>
  <c r="I147" i="118" s="1"/>
  <c r="I36" i="118"/>
  <c r="I141" i="118" s="1"/>
  <c r="I152" i="118" s="1"/>
  <c r="J150" i="117"/>
  <c r="I150" i="117"/>
  <c r="H150" i="117"/>
  <c r="J149" i="117"/>
  <c r="F149" i="117"/>
  <c r="K148" i="117"/>
  <c r="J147" i="117"/>
  <c r="F147" i="117"/>
  <c r="J145" i="117"/>
  <c r="I145" i="117"/>
  <c r="F145" i="117"/>
  <c r="H144" i="117"/>
  <c r="G144" i="117"/>
  <c r="J143" i="117"/>
  <c r="I143" i="117"/>
  <c r="F143" i="117"/>
  <c r="G142" i="117"/>
  <c r="J137" i="117"/>
  <c r="I137" i="117"/>
  <c r="I149" i="117" s="1"/>
  <c r="H137" i="117"/>
  <c r="H149" i="117" s="1"/>
  <c r="G137" i="117"/>
  <c r="G149" i="117" s="1"/>
  <c r="F137" i="117"/>
  <c r="K135" i="117"/>
  <c r="K134" i="117"/>
  <c r="K133" i="117"/>
  <c r="K137" i="117" s="1"/>
  <c r="K149" i="117" s="1"/>
  <c r="K132" i="117"/>
  <c r="K131" i="117"/>
  <c r="F119" i="117"/>
  <c r="J108" i="117"/>
  <c r="H108" i="117"/>
  <c r="H147" i="117" s="1"/>
  <c r="G108" i="117"/>
  <c r="G147" i="117" s="1"/>
  <c r="F108" i="117"/>
  <c r="I106" i="117"/>
  <c r="K106" i="117" s="1"/>
  <c r="K105" i="117"/>
  <c r="I105" i="117"/>
  <c r="I104" i="117"/>
  <c r="K104" i="117" s="1"/>
  <c r="K103" i="117"/>
  <c r="I103" i="117"/>
  <c r="I102" i="117"/>
  <c r="I108" i="117" s="1"/>
  <c r="I147" i="117" s="1"/>
  <c r="J98" i="117"/>
  <c r="J146" i="117" s="1"/>
  <c r="H98" i="117"/>
  <c r="H146" i="117" s="1"/>
  <c r="G98" i="117"/>
  <c r="G146" i="117" s="1"/>
  <c r="F98" i="117"/>
  <c r="F146" i="117" s="1"/>
  <c r="I96" i="117"/>
  <c r="K96" i="117" s="1"/>
  <c r="K95" i="117"/>
  <c r="I95" i="117"/>
  <c r="I94" i="117"/>
  <c r="K94" i="117" s="1"/>
  <c r="K93" i="117"/>
  <c r="I93" i="117"/>
  <c r="I92" i="117"/>
  <c r="K92" i="117" s="1"/>
  <c r="K91" i="117"/>
  <c r="I91" i="117"/>
  <c r="I90" i="117"/>
  <c r="K90" i="117" s="1"/>
  <c r="K89" i="117"/>
  <c r="I89" i="117"/>
  <c r="I88" i="117"/>
  <c r="K88" i="117" s="1"/>
  <c r="K87" i="117"/>
  <c r="I87" i="117"/>
  <c r="I86" i="117"/>
  <c r="I98" i="117" s="1"/>
  <c r="I146" i="117" s="1"/>
  <c r="J82" i="117"/>
  <c r="I82" i="117"/>
  <c r="H82" i="117"/>
  <c r="H145" i="117" s="1"/>
  <c r="G82" i="117"/>
  <c r="G145" i="117" s="1"/>
  <c r="F82" i="117"/>
  <c r="K80" i="117"/>
  <c r="K79" i="117"/>
  <c r="K78" i="117"/>
  <c r="K82" i="117" s="1"/>
  <c r="K145" i="117" s="1"/>
  <c r="K77" i="117"/>
  <c r="J74" i="117"/>
  <c r="J144" i="117" s="1"/>
  <c r="I74" i="117"/>
  <c r="I144" i="117" s="1"/>
  <c r="H74" i="117"/>
  <c r="G74" i="117"/>
  <c r="F74" i="117"/>
  <c r="F144" i="117" s="1"/>
  <c r="K72" i="117"/>
  <c r="K71" i="117"/>
  <c r="K70" i="117"/>
  <c r="K69" i="117"/>
  <c r="K68" i="117"/>
  <c r="K74" i="117" s="1"/>
  <c r="K144" i="117" s="1"/>
  <c r="J64" i="117"/>
  <c r="I64" i="117"/>
  <c r="H64" i="117"/>
  <c r="H143" i="117" s="1"/>
  <c r="G64" i="117"/>
  <c r="G143" i="117" s="1"/>
  <c r="F64" i="117"/>
  <c r="K62" i="117"/>
  <c r="K61" i="117"/>
  <c r="K60" i="117"/>
  <c r="K59" i="117"/>
  <c r="K58" i="117"/>
  <c r="K57" i="117"/>
  <c r="K56" i="117"/>
  <c r="K55" i="117"/>
  <c r="K54" i="117"/>
  <c r="K53" i="117"/>
  <c r="K64" i="117" s="1"/>
  <c r="K143" i="117" s="1"/>
  <c r="J49" i="117"/>
  <c r="J142" i="117" s="1"/>
  <c r="I49" i="117"/>
  <c r="I142" i="117" s="1"/>
  <c r="H49" i="117"/>
  <c r="H142" i="117" s="1"/>
  <c r="G49" i="117"/>
  <c r="F49" i="117"/>
  <c r="F142" i="117" s="1"/>
  <c r="K47" i="117"/>
  <c r="K46" i="117"/>
  <c r="K45" i="117"/>
  <c r="K44" i="117"/>
  <c r="K43" i="117"/>
  <c r="K42" i="117"/>
  <c r="K41" i="117"/>
  <c r="K49" i="117" s="1"/>
  <c r="K142" i="117" s="1"/>
  <c r="K40" i="117"/>
  <c r="J36" i="117"/>
  <c r="J141" i="117" s="1"/>
  <c r="H36" i="117"/>
  <c r="H141" i="117" s="1"/>
  <c r="G36" i="117"/>
  <c r="G141" i="117" s="1"/>
  <c r="F36" i="117"/>
  <c r="F141" i="117" s="1"/>
  <c r="F152" i="117" s="1"/>
  <c r="K34" i="117"/>
  <c r="I34" i="117"/>
  <c r="I33" i="117"/>
  <c r="K33" i="117" s="1"/>
  <c r="K32" i="117"/>
  <c r="I32" i="117"/>
  <c r="I31" i="117"/>
  <c r="K31" i="117" s="1"/>
  <c r="K30" i="117"/>
  <c r="I30" i="117"/>
  <c r="I29" i="117"/>
  <c r="K29" i="117" s="1"/>
  <c r="K28" i="117"/>
  <c r="I28" i="117"/>
  <c r="I27" i="117"/>
  <c r="K27" i="117" s="1"/>
  <c r="K26" i="117"/>
  <c r="I26" i="117"/>
  <c r="I25" i="117"/>
  <c r="K25" i="117" s="1"/>
  <c r="K24" i="117"/>
  <c r="I24" i="117"/>
  <c r="I23" i="117"/>
  <c r="K23" i="117" s="1"/>
  <c r="K22" i="117"/>
  <c r="I22" i="117"/>
  <c r="I21" i="117"/>
  <c r="I36" i="117" s="1"/>
  <c r="I141" i="117" s="1"/>
  <c r="K18" i="117"/>
  <c r="K150" i="117" s="1"/>
  <c r="I36" i="126" l="1"/>
  <c r="K152" i="119"/>
  <c r="F50" i="126" s="1"/>
  <c r="H50" i="126" s="1"/>
  <c r="K50" i="126" s="1"/>
  <c r="I152" i="119"/>
  <c r="F155" i="118"/>
  <c r="F154" i="118"/>
  <c r="H152" i="117"/>
  <c r="I152" i="117"/>
  <c r="J152" i="117"/>
  <c r="G152" i="117"/>
  <c r="K86" i="117"/>
  <c r="K98" i="117" s="1"/>
  <c r="K146" i="117" s="1"/>
  <c r="K102" i="117"/>
  <c r="K108" i="117" s="1"/>
  <c r="K147" i="117" s="1"/>
  <c r="K21" i="117"/>
  <c r="K36" i="117" s="1"/>
  <c r="K141" i="117" s="1"/>
  <c r="K152" i="117" s="1"/>
  <c r="F154" i="119" l="1"/>
  <c r="F155" i="119"/>
  <c r="I50" i="126"/>
  <c r="F155" i="117"/>
  <c r="F154" i="117"/>
  <c r="J150" i="116" l="1"/>
  <c r="I150" i="116"/>
  <c r="H150" i="116"/>
  <c r="H149" i="116"/>
  <c r="G147" i="116"/>
  <c r="F146" i="116"/>
  <c r="J144" i="116"/>
  <c r="I144" i="116"/>
  <c r="F144" i="116"/>
  <c r="G143" i="116"/>
  <c r="G142" i="116"/>
  <c r="F142" i="116"/>
  <c r="G141" i="116"/>
  <c r="J137" i="116"/>
  <c r="J149" i="116" s="1"/>
  <c r="I137" i="116"/>
  <c r="I149" i="116" s="1"/>
  <c r="H137" i="116"/>
  <c r="G137" i="116"/>
  <c r="G149" i="116" s="1"/>
  <c r="F137" i="116"/>
  <c r="F149" i="116" s="1"/>
  <c r="K135" i="116"/>
  <c r="K134" i="116"/>
  <c r="K133" i="116"/>
  <c r="K132" i="116"/>
  <c r="K131" i="116"/>
  <c r="K137" i="116" s="1"/>
  <c r="K149" i="116" s="1"/>
  <c r="F127" i="116"/>
  <c r="F125" i="116"/>
  <c r="F123" i="116"/>
  <c r="F121" i="116"/>
  <c r="E51" i="126" s="1"/>
  <c r="F118" i="116"/>
  <c r="F117" i="116"/>
  <c r="F114" i="116"/>
  <c r="F111" i="116"/>
  <c r="M51" i="126" s="1"/>
  <c r="G108" i="116"/>
  <c r="F108" i="116"/>
  <c r="F147" i="116" s="1"/>
  <c r="J104" i="116"/>
  <c r="I104" i="116"/>
  <c r="H104" i="116"/>
  <c r="J103" i="116"/>
  <c r="I103" i="116"/>
  <c r="H103" i="116"/>
  <c r="J102" i="116"/>
  <c r="I102" i="116"/>
  <c r="H102" i="116"/>
  <c r="G98" i="116"/>
  <c r="G146" i="116" s="1"/>
  <c r="F98" i="116"/>
  <c r="J92" i="116"/>
  <c r="I92" i="116"/>
  <c r="H92" i="116"/>
  <c r="J91" i="116"/>
  <c r="I91" i="116"/>
  <c r="H91" i="116"/>
  <c r="J90" i="116"/>
  <c r="I90" i="116"/>
  <c r="H90" i="116"/>
  <c r="J88" i="116"/>
  <c r="I88" i="116"/>
  <c r="H88" i="116"/>
  <c r="K88" i="116" s="1"/>
  <c r="J87" i="116"/>
  <c r="I87" i="116"/>
  <c r="H87" i="116"/>
  <c r="J86" i="116"/>
  <c r="I86" i="116"/>
  <c r="H86" i="116"/>
  <c r="G82" i="116"/>
  <c r="G145" i="116" s="1"/>
  <c r="F82" i="116"/>
  <c r="F145" i="116" s="1"/>
  <c r="J80" i="116"/>
  <c r="I80" i="116"/>
  <c r="H80" i="116"/>
  <c r="K79" i="116"/>
  <c r="K78" i="116"/>
  <c r="J77" i="116"/>
  <c r="I77" i="116"/>
  <c r="H77" i="116"/>
  <c r="J74" i="116"/>
  <c r="I74" i="116"/>
  <c r="H74" i="116"/>
  <c r="H144" i="116" s="1"/>
  <c r="G74" i="116"/>
  <c r="G144" i="116" s="1"/>
  <c r="F74" i="116"/>
  <c r="K72" i="116"/>
  <c r="K71" i="116"/>
  <c r="K70" i="116"/>
  <c r="K74" i="116" s="1"/>
  <c r="K144" i="116" s="1"/>
  <c r="K69" i="116"/>
  <c r="K68" i="116"/>
  <c r="G64" i="116"/>
  <c r="F64" i="116"/>
  <c r="F143" i="116" s="1"/>
  <c r="F152" i="116" s="1"/>
  <c r="K62" i="116"/>
  <c r="K61" i="116"/>
  <c r="K60" i="116"/>
  <c r="K59" i="116"/>
  <c r="K58" i="116"/>
  <c r="J57" i="116"/>
  <c r="I57" i="116"/>
  <c r="H57" i="116"/>
  <c r="K56" i="116"/>
  <c r="K55" i="116"/>
  <c r="J54" i="116"/>
  <c r="I54" i="116"/>
  <c r="I64" i="116" s="1"/>
  <c r="I143" i="116" s="1"/>
  <c r="H54" i="116"/>
  <c r="K53" i="116"/>
  <c r="G49" i="116"/>
  <c r="F49" i="116"/>
  <c r="K47" i="116"/>
  <c r="K46" i="116"/>
  <c r="K45" i="116"/>
  <c r="K44" i="116"/>
  <c r="K43" i="116"/>
  <c r="J42" i="116"/>
  <c r="J49" i="116" s="1"/>
  <c r="J142" i="116" s="1"/>
  <c r="I42" i="116"/>
  <c r="I49" i="116" s="1"/>
  <c r="I142" i="116" s="1"/>
  <c r="H42" i="116"/>
  <c r="H49" i="116" s="1"/>
  <c r="H142" i="116" s="1"/>
  <c r="K41" i="116"/>
  <c r="K40" i="116"/>
  <c r="G36" i="116"/>
  <c r="F36" i="116"/>
  <c r="F141" i="116" s="1"/>
  <c r="J30" i="116"/>
  <c r="I30" i="116"/>
  <c r="H30" i="116"/>
  <c r="J29" i="116"/>
  <c r="I29" i="116"/>
  <c r="H29" i="116"/>
  <c r="J25" i="116"/>
  <c r="I25" i="116"/>
  <c r="H25" i="116"/>
  <c r="J24" i="116"/>
  <c r="I24" i="116"/>
  <c r="H24" i="116"/>
  <c r="J23" i="116"/>
  <c r="I23" i="116"/>
  <c r="H23" i="116"/>
  <c r="J22" i="116"/>
  <c r="I22" i="116"/>
  <c r="H22" i="116"/>
  <c r="J21" i="116"/>
  <c r="I21" i="116"/>
  <c r="H21" i="116"/>
  <c r="K18" i="116"/>
  <c r="K150" i="116" s="1"/>
  <c r="F119" i="116" l="1"/>
  <c r="K29" i="116"/>
  <c r="K87" i="116"/>
  <c r="K103" i="116"/>
  <c r="J82" i="116"/>
  <c r="J145" i="116" s="1"/>
  <c r="K86" i="116"/>
  <c r="J64" i="116"/>
  <c r="J143" i="116" s="1"/>
  <c r="K92" i="116"/>
  <c r="H108" i="116"/>
  <c r="H147" i="116" s="1"/>
  <c r="K30" i="116"/>
  <c r="J108" i="116"/>
  <c r="J147" i="116" s="1"/>
  <c r="K104" i="116"/>
  <c r="K148" i="116"/>
  <c r="H36" i="116"/>
  <c r="H141" i="116" s="1"/>
  <c r="H98" i="116"/>
  <c r="H146" i="116" s="1"/>
  <c r="K21" i="116"/>
  <c r="K25" i="116"/>
  <c r="K54" i="116"/>
  <c r="K57" i="116"/>
  <c r="H82" i="116"/>
  <c r="H145" i="116" s="1"/>
  <c r="K90" i="116"/>
  <c r="K22" i="116"/>
  <c r="K77" i="116"/>
  <c r="K80" i="116"/>
  <c r="K91" i="116"/>
  <c r="K24" i="116"/>
  <c r="K42" i="116"/>
  <c r="K49" i="116" s="1"/>
  <c r="K142" i="116" s="1"/>
  <c r="H64" i="116"/>
  <c r="H143" i="116" s="1"/>
  <c r="I82" i="116"/>
  <c r="I145" i="116" s="1"/>
  <c r="J98" i="116"/>
  <c r="J146" i="116" s="1"/>
  <c r="K102" i="116"/>
  <c r="G152" i="116"/>
  <c r="J36" i="116"/>
  <c r="J141" i="116" s="1"/>
  <c r="K23" i="116"/>
  <c r="I106" i="116"/>
  <c r="K106" i="116" s="1"/>
  <c r="I95" i="116"/>
  <c r="K95" i="116" s="1"/>
  <c r="I93" i="116"/>
  <c r="K93" i="116" s="1"/>
  <c r="I34" i="116"/>
  <c r="K34" i="116" s="1"/>
  <c r="I32" i="116"/>
  <c r="K32" i="116" s="1"/>
  <c r="I28" i="116"/>
  <c r="K28" i="116" s="1"/>
  <c r="I26" i="116"/>
  <c r="K26" i="116" s="1"/>
  <c r="I105" i="116"/>
  <c r="I96" i="116"/>
  <c r="K96" i="116" s="1"/>
  <c r="I94" i="116"/>
  <c r="K94" i="116" s="1"/>
  <c r="I89" i="116"/>
  <c r="K89" i="116" s="1"/>
  <c r="I33" i="116"/>
  <c r="K33" i="116" s="1"/>
  <c r="I31" i="116"/>
  <c r="K31" i="116" s="1"/>
  <c r="I27" i="116"/>
  <c r="K27" i="116" s="1"/>
  <c r="J152" i="116" l="1"/>
  <c r="H152" i="116"/>
  <c r="K64" i="116"/>
  <c r="K143" i="116" s="1"/>
  <c r="K36" i="116"/>
  <c r="K141" i="116" s="1"/>
  <c r="K82" i="116"/>
  <c r="K145" i="116" s="1"/>
  <c r="K98" i="116"/>
  <c r="K146" i="116" s="1"/>
  <c r="K105" i="116"/>
  <c r="K108" i="116" s="1"/>
  <c r="K147" i="116" s="1"/>
  <c r="I108" i="116"/>
  <c r="I147" i="116" s="1"/>
  <c r="I36" i="116"/>
  <c r="I141" i="116" s="1"/>
  <c r="I98" i="116"/>
  <c r="I146" i="116" s="1"/>
  <c r="K152" i="116" l="1"/>
  <c r="F51" i="126" s="1"/>
  <c r="H51" i="126" s="1"/>
  <c r="K51" i="126" s="1"/>
  <c r="F155" i="116"/>
  <c r="F154" i="116"/>
  <c r="I152" i="116"/>
  <c r="I51" i="126" l="1"/>
  <c r="J150" i="115"/>
  <c r="I150" i="115"/>
  <c r="H150" i="115"/>
  <c r="J149" i="115"/>
  <c r="H149" i="115"/>
  <c r="F149" i="115"/>
  <c r="G146" i="115"/>
  <c r="I144" i="115"/>
  <c r="G144" i="115"/>
  <c r="J137" i="115"/>
  <c r="I137" i="115"/>
  <c r="I149" i="115" s="1"/>
  <c r="H137" i="115"/>
  <c r="G137" i="115"/>
  <c r="G149" i="115" s="1"/>
  <c r="F137" i="115"/>
  <c r="K135" i="115"/>
  <c r="K134" i="115"/>
  <c r="K133" i="115"/>
  <c r="K137" i="115" s="1"/>
  <c r="K149" i="115" s="1"/>
  <c r="K132" i="115"/>
  <c r="K131" i="115"/>
  <c r="F127" i="115"/>
  <c r="F125" i="115"/>
  <c r="F123" i="115"/>
  <c r="F121" i="115"/>
  <c r="E53" i="126" s="1"/>
  <c r="F118" i="115"/>
  <c r="F117" i="115"/>
  <c r="F114" i="115"/>
  <c r="I106" i="115" s="1"/>
  <c r="K106" i="115" s="1"/>
  <c r="F111" i="115"/>
  <c r="G108" i="115"/>
  <c r="G147" i="115" s="1"/>
  <c r="F108" i="115"/>
  <c r="F147" i="115" s="1"/>
  <c r="J104" i="115"/>
  <c r="I104" i="115"/>
  <c r="H104" i="115"/>
  <c r="J103" i="115"/>
  <c r="I103" i="115"/>
  <c r="H103" i="115"/>
  <c r="J102" i="115"/>
  <c r="I102" i="115"/>
  <c r="H102" i="115"/>
  <c r="G98" i="115"/>
  <c r="F98" i="115"/>
  <c r="F146" i="115" s="1"/>
  <c r="J92" i="115"/>
  <c r="I92" i="115"/>
  <c r="H92" i="115"/>
  <c r="J91" i="115"/>
  <c r="I91" i="115"/>
  <c r="H91" i="115"/>
  <c r="J90" i="115"/>
  <c r="I90" i="115"/>
  <c r="H90" i="115"/>
  <c r="J88" i="115"/>
  <c r="I88" i="115"/>
  <c r="H88" i="115"/>
  <c r="J86" i="115"/>
  <c r="I86" i="115"/>
  <c r="H86" i="115"/>
  <c r="G82" i="115"/>
  <c r="G145" i="115" s="1"/>
  <c r="F82" i="115"/>
  <c r="F145" i="115" s="1"/>
  <c r="K80" i="115"/>
  <c r="K79" i="115"/>
  <c r="K78" i="115"/>
  <c r="J77" i="115"/>
  <c r="J82" i="115" s="1"/>
  <c r="J145" i="115" s="1"/>
  <c r="I77" i="115"/>
  <c r="I82" i="115" s="1"/>
  <c r="I145" i="115" s="1"/>
  <c r="H77" i="115"/>
  <c r="H82" i="115" s="1"/>
  <c r="H145" i="115" s="1"/>
  <c r="J74" i="115"/>
  <c r="J144" i="115" s="1"/>
  <c r="I74" i="115"/>
  <c r="H74" i="115"/>
  <c r="H144" i="115" s="1"/>
  <c r="G74" i="115"/>
  <c r="F74" i="115"/>
  <c r="F144" i="115" s="1"/>
  <c r="K72" i="115"/>
  <c r="K71" i="115"/>
  <c r="K70" i="115"/>
  <c r="K69" i="115"/>
  <c r="K68" i="115"/>
  <c r="K74" i="115" s="1"/>
  <c r="K144" i="115" s="1"/>
  <c r="G64" i="115"/>
  <c r="G143" i="115" s="1"/>
  <c r="F64" i="115"/>
  <c r="F143" i="115" s="1"/>
  <c r="K62" i="115"/>
  <c r="K61" i="115"/>
  <c r="K60" i="115"/>
  <c r="K59" i="115"/>
  <c r="K58" i="115"/>
  <c r="J57" i="115"/>
  <c r="I57" i="115"/>
  <c r="H57" i="115"/>
  <c r="K56" i="115"/>
  <c r="K55" i="115"/>
  <c r="J54" i="115"/>
  <c r="I54" i="115"/>
  <c r="H54" i="115"/>
  <c r="K53" i="115"/>
  <c r="G49" i="115"/>
  <c r="G142" i="115" s="1"/>
  <c r="F49" i="115"/>
  <c r="F142" i="115" s="1"/>
  <c r="K47" i="115"/>
  <c r="K46" i="115"/>
  <c r="K45" i="115"/>
  <c r="K44" i="115"/>
  <c r="K43" i="115"/>
  <c r="J42" i="115"/>
  <c r="I42" i="115"/>
  <c r="H42" i="115"/>
  <c r="J41" i="115"/>
  <c r="I41" i="115"/>
  <c r="H41" i="115"/>
  <c r="K40" i="115"/>
  <c r="G36" i="115"/>
  <c r="G141" i="115" s="1"/>
  <c r="F36" i="115"/>
  <c r="F141" i="115" s="1"/>
  <c r="J30" i="115"/>
  <c r="I30" i="115"/>
  <c r="H30" i="115"/>
  <c r="J29" i="115"/>
  <c r="I29" i="115"/>
  <c r="H29" i="115"/>
  <c r="J25" i="115"/>
  <c r="I25" i="115"/>
  <c r="H25" i="115"/>
  <c r="J24" i="115"/>
  <c r="I24" i="115"/>
  <c r="H24" i="115"/>
  <c r="J23" i="115"/>
  <c r="I23" i="115"/>
  <c r="H23" i="115"/>
  <c r="J22" i="115"/>
  <c r="I22" i="115"/>
  <c r="H22" i="115"/>
  <c r="J21" i="115"/>
  <c r="I21" i="115"/>
  <c r="H21" i="115"/>
  <c r="K18" i="115"/>
  <c r="K150" i="115" s="1"/>
  <c r="I64" i="115" l="1"/>
  <c r="I143" i="115" s="1"/>
  <c r="K148" i="115"/>
  <c r="M53" i="126"/>
  <c r="F119" i="115"/>
  <c r="K88" i="115"/>
  <c r="K42" i="115"/>
  <c r="K57" i="115"/>
  <c r="H98" i="115"/>
  <c r="H146" i="115" s="1"/>
  <c r="K90" i="115"/>
  <c r="J64" i="115"/>
  <c r="J143" i="115" s="1"/>
  <c r="K30" i="115"/>
  <c r="K86" i="115"/>
  <c r="H108" i="115"/>
  <c r="H147" i="115" s="1"/>
  <c r="K103" i="115"/>
  <c r="K21" i="115"/>
  <c r="K25" i="115"/>
  <c r="K29" i="115"/>
  <c r="I49" i="115"/>
  <c r="I142" i="115" s="1"/>
  <c r="K92" i="115"/>
  <c r="H64" i="115"/>
  <c r="H143" i="115" s="1"/>
  <c r="K91" i="115"/>
  <c r="K24" i="115"/>
  <c r="H49" i="115"/>
  <c r="H142" i="115" s="1"/>
  <c r="J98" i="115"/>
  <c r="J146" i="115" s="1"/>
  <c r="J108" i="115"/>
  <c r="J147" i="115" s="1"/>
  <c r="J36" i="115"/>
  <c r="J141" i="115" s="1"/>
  <c r="K23" i="115"/>
  <c r="H36" i="115"/>
  <c r="H141" i="115" s="1"/>
  <c r="K22" i="115"/>
  <c r="J49" i="115"/>
  <c r="J142" i="115" s="1"/>
  <c r="K104" i="115"/>
  <c r="G152" i="115"/>
  <c r="F152" i="115"/>
  <c r="K102" i="115"/>
  <c r="I26" i="115"/>
  <c r="K26" i="115" s="1"/>
  <c r="I28" i="115"/>
  <c r="K28" i="115" s="1"/>
  <c r="I32" i="115"/>
  <c r="K32" i="115" s="1"/>
  <c r="I34" i="115"/>
  <c r="K34" i="115" s="1"/>
  <c r="K41" i="115"/>
  <c r="K54" i="115"/>
  <c r="K64" i="115" s="1"/>
  <c r="K143" i="115" s="1"/>
  <c r="K77" i="115"/>
  <c r="K82" i="115" s="1"/>
  <c r="K145" i="115" s="1"/>
  <c r="I89" i="115"/>
  <c r="K89" i="115" s="1"/>
  <c r="I94" i="115"/>
  <c r="K94" i="115" s="1"/>
  <c r="I96" i="115"/>
  <c r="K96" i="115" s="1"/>
  <c r="I105" i="115"/>
  <c r="K105" i="115" s="1"/>
  <c r="I27" i="115"/>
  <c r="K27" i="115" s="1"/>
  <c r="I31" i="115"/>
  <c r="K31" i="115" s="1"/>
  <c r="I33" i="115"/>
  <c r="K33" i="115" s="1"/>
  <c r="I87" i="115"/>
  <c r="I93" i="115"/>
  <c r="K93" i="115" s="1"/>
  <c r="I95" i="115"/>
  <c r="K95" i="115" s="1"/>
  <c r="K49" i="115" l="1"/>
  <c r="K142" i="115" s="1"/>
  <c r="H152" i="115"/>
  <c r="K36" i="115"/>
  <c r="K141" i="115" s="1"/>
  <c r="J152" i="115"/>
  <c r="I36" i="115"/>
  <c r="I141" i="115" s="1"/>
  <c r="K108" i="115"/>
  <c r="K147" i="115" s="1"/>
  <c r="I108" i="115"/>
  <c r="I147" i="115" s="1"/>
  <c r="I98" i="115"/>
  <c r="I146" i="115" s="1"/>
  <c r="K87" i="115"/>
  <c r="K98" i="115" s="1"/>
  <c r="K146" i="115" s="1"/>
  <c r="K152" i="115" l="1"/>
  <c r="I152" i="115"/>
  <c r="F155" i="115" l="1"/>
  <c r="F53" i="126"/>
  <c r="H53" i="126" s="1"/>
  <c r="K53" i="126" s="1"/>
  <c r="F154" i="115"/>
  <c r="J150" i="114"/>
  <c r="F21" i="114"/>
  <c r="G21" i="114"/>
  <c r="H21" i="114"/>
  <c r="I21" i="114"/>
  <c r="J21" i="114"/>
  <c r="F22" i="114"/>
  <c r="G22" i="114"/>
  <c r="H22" i="114"/>
  <c r="I22" i="114"/>
  <c r="J22" i="114"/>
  <c r="F23" i="114"/>
  <c r="G23" i="114"/>
  <c r="H23" i="114"/>
  <c r="I23" i="114"/>
  <c r="J23" i="114"/>
  <c r="F24" i="114"/>
  <c r="G24" i="114"/>
  <c r="H24" i="114"/>
  <c r="I24" i="114"/>
  <c r="J24" i="114"/>
  <c r="F25" i="114"/>
  <c r="G25" i="114"/>
  <c r="H25" i="114"/>
  <c r="I25" i="114"/>
  <c r="J25" i="114"/>
  <c r="K26" i="114"/>
  <c r="I27" i="114"/>
  <c r="K27" i="114" s="1"/>
  <c r="I28" i="114"/>
  <c r="K28" i="114" s="1"/>
  <c r="F29" i="114"/>
  <c r="G29" i="114"/>
  <c r="H29" i="114"/>
  <c r="I29" i="114"/>
  <c r="J29" i="114"/>
  <c r="F30" i="114"/>
  <c r="G30" i="114"/>
  <c r="H30" i="114"/>
  <c r="I30" i="114"/>
  <c r="J30" i="114"/>
  <c r="F40" i="114"/>
  <c r="G40" i="114"/>
  <c r="H40" i="114"/>
  <c r="J40" i="114"/>
  <c r="F41" i="114"/>
  <c r="G41" i="114"/>
  <c r="H41" i="114"/>
  <c r="I41" i="114"/>
  <c r="J41" i="114"/>
  <c r="F42" i="114"/>
  <c r="G42" i="114"/>
  <c r="H42" i="114"/>
  <c r="I42" i="114"/>
  <c r="J42" i="114"/>
  <c r="F43" i="114"/>
  <c r="G43" i="114"/>
  <c r="H43" i="114"/>
  <c r="J43" i="114"/>
  <c r="K44" i="114"/>
  <c r="K45" i="114"/>
  <c r="K46" i="114"/>
  <c r="K47" i="114"/>
  <c r="K53" i="114"/>
  <c r="F54" i="114"/>
  <c r="G54" i="114"/>
  <c r="H54" i="114"/>
  <c r="I54" i="114"/>
  <c r="J54" i="114"/>
  <c r="F55" i="114"/>
  <c r="G55" i="114"/>
  <c r="H55" i="114"/>
  <c r="K55" i="114" s="1"/>
  <c r="K56" i="114"/>
  <c r="F57" i="114"/>
  <c r="G57" i="114"/>
  <c r="H57" i="114"/>
  <c r="I57" i="114"/>
  <c r="J57" i="114"/>
  <c r="K58" i="114"/>
  <c r="K59" i="114"/>
  <c r="K60" i="114"/>
  <c r="K61" i="114"/>
  <c r="K62" i="114"/>
  <c r="F68" i="114"/>
  <c r="G68" i="114"/>
  <c r="H68" i="114"/>
  <c r="I68" i="114"/>
  <c r="J47" i="60" s="1"/>
  <c r="J68" i="114"/>
  <c r="F69" i="114"/>
  <c r="G69" i="114"/>
  <c r="H69" i="114"/>
  <c r="I69" i="114"/>
  <c r="J48" i="60" s="1"/>
  <c r="J69" i="114"/>
  <c r="K70" i="114"/>
  <c r="K71" i="114"/>
  <c r="K72" i="114"/>
  <c r="F77" i="114"/>
  <c r="G77" i="114"/>
  <c r="G82" i="114" s="1"/>
  <c r="G145" i="114" s="1"/>
  <c r="H77" i="114"/>
  <c r="H82" i="114" s="1"/>
  <c r="H145" i="114" s="1"/>
  <c r="I77" i="114"/>
  <c r="I82" i="114" s="1"/>
  <c r="I145" i="114" s="1"/>
  <c r="J77" i="114"/>
  <c r="J82" i="114" s="1"/>
  <c r="J145" i="114" s="1"/>
  <c r="F78" i="114"/>
  <c r="K78" i="114"/>
  <c r="K79" i="114"/>
  <c r="F80" i="114"/>
  <c r="K80" i="114"/>
  <c r="F86" i="114"/>
  <c r="G86" i="114"/>
  <c r="H86" i="114"/>
  <c r="I86" i="114"/>
  <c r="J86" i="114"/>
  <c r="F87" i="114"/>
  <c r="G87" i="114"/>
  <c r="H87" i="114"/>
  <c r="I87" i="114"/>
  <c r="J87" i="114"/>
  <c r="F88" i="114"/>
  <c r="G88" i="114"/>
  <c r="H88" i="114"/>
  <c r="I88" i="114"/>
  <c r="J88" i="114"/>
  <c r="F89" i="114"/>
  <c r="G89" i="114"/>
  <c r="H89" i="114"/>
  <c r="I89" i="114"/>
  <c r="J89" i="114"/>
  <c r="F90" i="114"/>
  <c r="G90" i="114"/>
  <c r="H90" i="114"/>
  <c r="I90" i="114"/>
  <c r="J90" i="114"/>
  <c r="F91" i="114"/>
  <c r="G91" i="114"/>
  <c r="H91" i="114"/>
  <c r="I91" i="114"/>
  <c r="J91" i="114"/>
  <c r="F92" i="114"/>
  <c r="G92" i="114"/>
  <c r="H92" i="114"/>
  <c r="I92" i="114"/>
  <c r="J92" i="114"/>
  <c r="F93" i="114"/>
  <c r="G93" i="114"/>
  <c r="H93" i="114"/>
  <c r="I93" i="114"/>
  <c r="J93" i="114"/>
  <c r="F102" i="114"/>
  <c r="G102" i="114"/>
  <c r="H102" i="114"/>
  <c r="I102" i="114"/>
  <c r="J102" i="114"/>
  <c r="F103" i="114"/>
  <c r="G103" i="114"/>
  <c r="H103" i="114"/>
  <c r="I103" i="114"/>
  <c r="J103" i="114"/>
  <c r="F104" i="114"/>
  <c r="G104" i="114"/>
  <c r="H104" i="114"/>
  <c r="I104" i="114"/>
  <c r="J104" i="114"/>
  <c r="F111" i="114"/>
  <c r="F114" i="114"/>
  <c r="I95" i="114" s="1"/>
  <c r="K95" i="114" s="1"/>
  <c r="F117" i="114"/>
  <c r="F118" i="114"/>
  <c r="F121" i="114"/>
  <c r="F123" i="114"/>
  <c r="F125" i="114"/>
  <c r="F127" i="114"/>
  <c r="K131" i="114"/>
  <c r="K137" i="114" s="1"/>
  <c r="K149" i="114" s="1"/>
  <c r="K132" i="114"/>
  <c r="K133" i="114"/>
  <c r="K134" i="114"/>
  <c r="K135" i="114"/>
  <c r="F137" i="114"/>
  <c r="G137" i="114"/>
  <c r="H137" i="114"/>
  <c r="I137" i="114"/>
  <c r="I149" i="114" s="1"/>
  <c r="J137" i="114"/>
  <c r="F149" i="114"/>
  <c r="G149" i="114"/>
  <c r="H149" i="114"/>
  <c r="J149" i="114"/>
  <c r="I150" i="114"/>
  <c r="E55" i="126" l="1"/>
  <c r="K148" i="114"/>
  <c r="M55" i="126"/>
  <c r="I53" i="126"/>
  <c r="F119" i="114"/>
  <c r="J74" i="114"/>
  <c r="J144" i="114" s="1"/>
  <c r="K104" i="114"/>
  <c r="F74" i="114"/>
  <c r="F144" i="114" s="1"/>
  <c r="I74" i="114"/>
  <c r="I144" i="114" s="1"/>
  <c r="G64" i="114"/>
  <c r="G143" i="114" s="1"/>
  <c r="K90" i="114"/>
  <c r="F82" i="114"/>
  <c r="F145" i="114" s="1"/>
  <c r="K69" i="114"/>
  <c r="K57" i="114"/>
  <c r="K42" i="114"/>
  <c r="I49" i="114"/>
  <c r="I142" i="114" s="1"/>
  <c r="K21" i="114"/>
  <c r="K18" i="114"/>
  <c r="K150" i="114" s="1"/>
  <c r="K92" i="114"/>
  <c r="K89" i="114"/>
  <c r="K40" i="114"/>
  <c r="H36" i="114"/>
  <c r="H141" i="114" s="1"/>
  <c r="H150" i="114"/>
  <c r="K88" i="114"/>
  <c r="K102" i="114"/>
  <c r="K86" i="114"/>
  <c r="K43" i="114"/>
  <c r="K25" i="114"/>
  <c r="G36" i="114"/>
  <c r="G141" i="114" s="1"/>
  <c r="H108" i="114"/>
  <c r="H147" i="114" s="1"/>
  <c r="G108" i="114"/>
  <c r="G147" i="114" s="1"/>
  <c r="K91" i="114"/>
  <c r="G74" i="114"/>
  <c r="G144" i="114" s="1"/>
  <c r="K68" i="114"/>
  <c r="I64" i="114"/>
  <c r="I143" i="114" s="1"/>
  <c r="K23" i="114"/>
  <c r="K22" i="114"/>
  <c r="J36" i="114"/>
  <c r="J141" i="114" s="1"/>
  <c r="F36" i="114"/>
  <c r="F141" i="114" s="1"/>
  <c r="K103" i="114"/>
  <c r="J108" i="114"/>
  <c r="J147" i="114" s="1"/>
  <c r="F108" i="114"/>
  <c r="K93" i="114"/>
  <c r="G98" i="114"/>
  <c r="G146" i="114" s="1"/>
  <c r="J64" i="114"/>
  <c r="J143" i="114" s="1"/>
  <c r="F64" i="114"/>
  <c r="F143" i="114" s="1"/>
  <c r="H64" i="114"/>
  <c r="H143" i="114" s="1"/>
  <c r="H49" i="114"/>
  <c r="H142" i="114" s="1"/>
  <c r="F49" i="114"/>
  <c r="F142" i="114" s="1"/>
  <c r="K30" i="114"/>
  <c r="K24" i="114"/>
  <c r="H98" i="114"/>
  <c r="H146" i="114" s="1"/>
  <c r="K87" i="114"/>
  <c r="J98" i="114"/>
  <c r="J146" i="114" s="1"/>
  <c r="F98" i="114"/>
  <c r="F146" i="114" s="1"/>
  <c r="G49" i="114"/>
  <c r="G142" i="114" s="1"/>
  <c r="K41" i="114"/>
  <c r="J49" i="114"/>
  <c r="J142" i="114" s="1"/>
  <c r="K29" i="114"/>
  <c r="I32" i="114"/>
  <c r="K32" i="114" s="1"/>
  <c r="I96" i="114"/>
  <c r="K96" i="114" s="1"/>
  <c r="K77" i="114"/>
  <c r="K82" i="114" s="1"/>
  <c r="K145" i="114" s="1"/>
  <c r="H74" i="114"/>
  <c r="H144" i="114" s="1"/>
  <c r="K54" i="114"/>
  <c r="I33" i="114"/>
  <c r="K33" i="114" s="1"/>
  <c r="I31" i="114"/>
  <c r="K31" i="114" s="1"/>
  <c r="I34" i="114"/>
  <c r="K34" i="114" s="1"/>
  <c r="I106" i="114"/>
  <c r="K106" i="114" s="1"/>
  <c r="I94" i="114"/>
  <c r="I105" i="114"/>
  <c r="I150" i="113"/>
  <c r="J149" i="113"/>
  <c r="H149" i="113"/>
  <c r="F149" i="113"/>
  <c r="I143" i="113"/>
  <c r="I142" i="113"/>
  <c r="J137" i="113"/>
  <c r="I137" i="113"/>
  <c r="I149" i="113" s="1"/>
  <c r="H137" i="113"/>
  <c r="G137" i="113"/>
  <c r="G149" i="113" s="1"/>
  <c r="F137" i="113"/>
  <c r="K135" i="113"/>
  <c r="K134" i="113"/>
  <c r="K133" i="113"/>
  <c r="K132" i="113"/>
  <c r="K131" i="113"/>
  <c r="K137" i="113" s="1"/>
  <c r="K149" i="113" s="1"/>
  <c r="F127" i="113"/>
  <c r="F125" i="113"/>
  <c r="F123" i="113"/>
  <c r="F121" i="113"/>
  <c r="F118" i="113"/>
  <c r="F117" i="113"/>
  <c r="F114" i="113"/>
  <c r="I106" i="113" s="1"/>
  <c r="K106" i="113" s="1"/>
  <c r="F111" i="113"/>
  <c r="J104" i="113"/>
  <c r="I104" i="113"/>
  <c r="H104" i="113"/>
  <c r="G104" i="113"/>
  <c r="F104" i="113"/>
  <c r="J103" i="113"/>
  <c r="I103" i="113"/>
  <c r="H103" i="113"/>
  <c r="G103" i="113"/>
  <c r="F103" i="113"/>
  <c r="J102" i="113"/>
  <c r="I102" i="113"/>
  <c r="H102" i="113"/>
  <c r="G102" i="113"/>
  <c r="F102" i="113"/>
  <c r="J93" i="113"/>
  <c r="I93" i="113"/>
  <c r="H93" i="113"/>
  <c r="G93" i="113"/>
  <c r="F93" i="113"/>
  <c r="J92" i="113"/>
  <c r="I92" i="113"/>
  <c r="H92" i="113"/>
  <c r="G92" i="113"/>
  <c r="F92" i="113"/>
  <c r="J91" i="113"/>
  <c r="I91" i="113"/>
  <c r="H91" i="113"/>
  <c r="G91" i="113"/>
  <c r="F91" i="113"/>
  <c r="J90" i="113"/>
  <c r="I90" i="113"/>
  <c r="H90" i="113"/>
  <c r="G90" i="113"/>
  <c r="F90" i="113"/>
  <c r="J89" i="113"/>
  <c r="I89" i="113"/>
  <c r="H89" i="113"/>
  <c r="G89" i="113"/>
  <c r="F89" i="113"/>
  <c r="J88" i="113"/>
  <c r="I88" i="113"/>
  <c r="H88" i="113"/>
  <c r="G88" i="113"/>
  <c r="F88" i="113"/>
  <c r="J87" i="113"/>
  <c r="I87" i="113"/>
  <c r="H87" i="113"/>
  <c r="G87" i="113"/>
  <c r="F87" i="113"/>
  <c r="J86" i="113"/>
  <c r="I86" i="113"/>
  <c r="H86" i="113"/>
  <c r="G86" i="113"/>
  <c r="F86" i="113"/>
  <c r="I82" i="113"/>
  <c r="I145" i="113" s="1"/>
  <c r="J80" i="113"/>
  <c r="H80" i="113"/>
  <c r="G80" i="113"/>
  <c r="F80" i="113"/>
  <c r="J79" i="113"/>
  <c r="H79" i="113"/>
  <c r="G79" i="113"/>
  <c r="F79" i="113"/>
  <c r="J78" i="113"/>
  <c r="H78" i="113"/>
  <c r="G78" i="113"/>
  <c r="F78" i="113"/>
  <c r="J77" i="113"/>
  <c r="H77" i="113"/>
  <c r="H82" i="113" s="1"/>
  <c r="H145" i="113" s="1"/>
  <c r="G77" i="113"/>
  <c r="G82" i="113" s="1"/>
  <c r="G145" i="113" s="1"/>
  <c r="F77" i="113"/>
  <c r="F82" i="113" s="1"/>
  <c r="F145" i="113" s="1"/>
  <c r="I74" i="113"/>
  <c r="I144" i="113" s="1"/>
  <c r="K72" i="113"/>
  <c r="K71" i="113"/>
  <c r="K70" i="113"/>
  <c r="J69" i="113"/>
  <c r="K48" i="60" s="1"/>
  <c r="H69" i="113"/>
  <c r="I48" i="60" s="1"/>
  <c r="G69" i="113"/>
  <c r="H48" i="60" s="1"/>
  <c r="F69" i="113"/>
  <c r="G48" i="60" s="1"/>
  <c r="J68" i="113"/>
  <c r="H68" i="113"/>
  <c r="G68" i="113"/>
  <c r="H47" i="60" s="1"/>
  <c r="F68" i="113"/>
  <c r="G47" i="60" s="1"/>
  <c r="I64" i="113"/>
  <c r="K62" i="113"/>
  <c r="K61" i="113"/>
  <c r="K60" i="113"/>
  <c r="K59" i="113"/>
  <c r="K58" i="113"/>
  <c r="J57" i="113"/>
  <c r="H57" i="113"/>
  <c r="G57" i="113"/>
  <c r="F57" i="113"/>
  <c r="K56" i="113"/>
  <c r="K55" i="113"/>
  <c r="J54" i="113"/>
  <c r="H54" i="113"/>
  <c r="G54" i="113"/>
  <c r="F54" i="113"/>
  <c r="K53" i="113"/>
  <c r="I49" i="113"/>
  <c r="K47" i="113"/>
  <c r="K46" i="113"/>
  <c r="K45" i="113"/>
  <c r="K44" i="113"/>
  <c r="K43" i="113"/>
  <c r="J42" i="113"/>
  <c r="H42" i="113"/>
  <c r="G42" i="113"/>
  <c r="F42" i="113"/>
  <c r="J41" i="113"/>
  <c r="H41" i="113"/>
  <c r="G41" i="113"/>
  <c r="F41" i="113"/>
  <c r="J40" i="113"/>
  <c r="K29" i="60" s="1"/>
  <c r="H40" i="113"/>
  <c r="G40" i="113"/>
  <c r="G49" i="113" s="1"/>
  <c r="G142" i="113" s="1"/>
  <c r="F40" i="113"/>
  <c r="J30" i="113"/>
  <c r="I30" i="113"/>
  <c r="H30" i="113"/>
  <c r="G30" i="113"/>
  <c r="F30" i="113"/>
  <c r="J29" i="113"/>
  <c r="I29" i="113"/>
  <c r="H29" i="113"/>
  <c r="G29" i="113"/>
  <c r="F29" i="113"/>
  <c r="J25" i="113"/>
  <c r="I25" i="113"/>
  <c r="H25" i="113"/>
  <c r="G25" i="113"/>
  <c r="F25" i="113"/>
  <c r="J24" i="113"/>
  <c r="I24" i="113"/>
  <c r="H24" i="113"/>
  <c r="G24" i="113"/>
  <c r="F24" i="113"/>
  <c r="J23" i="113"/>
  <c r="I23" i="113"/>
  <c r="H23" i="113"/>
  <c r="G23" i="113"/>
  <c r="F23" i="113"/>
  <c r="J22" i="113"/>
  <c r="I22" i="113"/>
  <c r="H22" i="113"/>
  <c r="G22" i="113"/>
  <c r="F22" i="113"/>
  <c r="J21" i="113"/>
  <c r="I21" i="113"/>
  <c r="H21" i="113"/>
  <c r="G21" i="113"/>
  <c r="F21" i="113"/>
  <c r="J150" i="113"/>
  <c r="F74" i="113" l="1"/>
  <c r="F144" i="113" s="1"/>
  <c r="K148" i="113"/>
  <c r="M16" i="126"/>
  <c r="E16" i="126"/>
  <c r="F147" i="114"/>
  <c r="D55" i="126"/>
  <c r="F49" i="113"/>
  <c r="F142" i="113" s="1"/>
  <c r="K74" i="114"/>
  <c r="K144" i="114" s="1"/>
  <c r="K49" i="114"/>
  <c r="K142" i="114" s="1"/>
  <c r="I28" i="113"/>
  <c r="K28" i="113" s="1"/>
  <c r="K64" i="114"/>
  <c r="K143" i="114" s="1"/>
  <c r="J152" i="114"/>
  <c r="K41" i="113"/>
  <c r="F152" i="114"/>
  <c r="K42" i="113"/>
  <c r="J64" i="113"/>
  <c r="J143" i="113" s="1"/>
  <c r="K90" i="113"/>
  <c r="H152" i="114"/>
  <c r="I32" i="113"/>
  <c r="K32" i="113" s="1"/>
  <c r="J74" i="113"/>
  <c r="J144" i="113" s="1"/>
  <c r="J82" i="113"/>
  <c r="J145" i="113" s="1"/>
  <c r="K36" i="114"/>
  <c r="K141" i="114" s="1"/>
  <c r="K68" i="113"/>
  <c r="K69" i="113"/>
  <c r="L48" i="60" s="1"/>
  <c r="K78" i="113"/>
  <c r="K79" i="113"/>
  <c r="K80" i="113"/>
  <c r="K91" i="113"/>
  <c r="K92" i="113"/>
  <c r="G152" i="114"/>
  <c r="I108" i="114"/>
  <c r="I147" i="114" s="1"/>
  <c r="K105" i="114"/>
  <c r="K108" i="114" s="1"/>
  <c r="K147" i="114" s="1"/>
  <c r="K94" i="114"/>
  <c r="K98" i="114" s="1"/>
  <c r="K146" i="114" s="1"/>
  <c r="I98" i="114"/>
  <c r="I146" i="114" s="1"/>
  <c r="I36" i="114"/>
  <c r="I141" i="114" s="1"/>
  <c r="I33" i="113"/>
  <c r="K33" i="113" s="1"/>
  <c r="K88" i="113"/>
  <c r="G36" i="113"/>
  <c r="G141" i="113" s="1"/>
  <c r="K24" i="113"/>
  <c r="I26" i="113"/>
  <c r="K26" i="113" s="1"/>
  <c r="I34" i="113"/>
  <c r="K34" i="113" s="1"/>
  <c r="K40" i="113"/>
  <c r="F64" i="113"/>
  <c r="F143" i="113" s="1"/>
  <c r="H64" i="113"/>
  <c r="H143" i="113" s="1"/>
  <c r="K86" i="113"/>
  <c r="K104" i="113"/>
  <c r="K18" i="113"/>
  <c r="K150" i="113" s="1"/>
  <c r="K21" i="113"/>
  <c r="K25" i="113"/>
  <c r="I27" i="113"/>
  <c r="K27" i="113" s="1"/>
  <c r="K29" i="113"/>
  <c r="I31" i="113"/>
  <c r="K31" i="113" s="1"/>
  <c r="K102" i="113"/>
  <c r="G74" i="113"/>
  <c r="G144" i="113" s="1"/>
  <c r="J49" i="113"/>
  <c r="J142" i="113" s="1"/>
  <c r="F98" i="113"/>
  <c r="F146" i="113" s="1"/>
  <c r="J98" i="113"/>
  <c r="J146" i="113" s="1"/>
  <c r="K89" i="113"/>
  <c r="F108" i="113"/>
  <c r="J108" i="113"/>
  <c r="J147" i="113" s="1"/>
  <c r="F119" i="113"/>
  <c r="H150" i="113"/>
  <c r="K22" i="113"/>
  <c r="K30" i="113"/>
  <c r="G64" i="113"/>
  <c r="G143" i="113" s="1"/>
  <c r="G98" i="113"/>
  <c r="G146" i="113" s="1"/>
  <c r="K87" i="113"/>
  <c r="G108" i="113"/>
  <c r="G147" i="113" s="1"/>
  <c r="K103" i="113"/>
  <c r="F36" i="113"/>
  <c r="F141" i="113" s="1"/>
  <c r="J36" i="113"/>
  <c r="J141" i="113" s="1"/>
  <c r="K23" i="113"/>
  <c r="H49" i="113"/>
  <c r="H142" i="113" s="1"/>
  <c r="K54" i="113"/>
  <c r="K57" i="113"/>
  <c r="H98" i="113"/>
  <c r="H146" i="113" s="1"/>
  <c r="K93" i="113"/>
  <c r="H108" i="113"/>
  <c r="H147" i="113" s="1"/>
  <c r="H36" i="113"/>
  <c r="H141" i="113" s="1"/>
  <c r="H74" i="113"/>
  <c r="H144" i="113" s="1"/>
  <c r="K77" i="113"/>
  <c r="I95" i="113"/>
  <c r="K95" i="113" s="1"/>
  <c r="I105" i="113"/>
  <c r="K105" i="113" s="1"/>
  <c r="I94" i="113"/>
  <c r="K94" i="113" s="1"/>
  <c r="I96" i="113"/>
  <c r="K96" i="113" s="1"/>
  <c r="F147" i="113" l="1"/>
  <c r="D16" i="126"/>
  <c r="I152" i="114"/>
  <c r="K64" i="113"/>
  <c r="K143" i="113" s="1"/>
  <c r="I36" i="113"/>
  <c r="I141" i="113" s="1"/>
  <c r="K74" i="113"/>
  <c r="K144" i="113" s="1"/>
  <c r="K82" i="113"/>
  <c r="K145" i="113" s="1"/>
  <c r="K49" i="113"/>
  <c r="K142" i="113" s="1"/>
  <c r="K152" i="114"/>
  <c r="G152" i="113"/>
  <c r="K108" i="113"/>
  <c r="K147" i="113" s="1"/>
  <c r="J152" i="113"/>
  <c r="K36" i="113"/>
  <c r="K141" i="113" s="1"/>
  <c r="F152" i="113"/>
  <c r="H152" i="113"/>
  <c r="K98" i="113"/>
  <c r="K146" i="113" s="1"/>
  <c r="I108" i="113"/>
  <c r="I147" i="113" s="1"/>
  <c r="I98" i="113"/>
  <c r="I146" i="113" s="1"/>
  <c r="F155" i="114" l="1"/>
  <c r="F55" i="126"/>
  <c r="H55" i="126" s="1"/>
  <c r="K55" i="126" s="1"/>
  <c r="F154" i="114"/>
  <c r="I152" i="113"/>
  <c r="K152" i="113"/>
  <c r="F155" i="113" l="1"/>
  <c r="F16" i="126"/>
  <c r="H16" i="126" s="1"/>
  <c r="I55" i="126"/>
  <c r="F154" i="113"/>
  <c r="I157" i="112"/>
  <c r="G156" i="112"/>
  <c r="J154" i="112"/>
  <c r="G154" i="112"/>
  <c r="J152" i="112"/>
  <c r="G152" i="112"/>
  <c r="F152" i="112"/>
  <c r="J148" i="112"/>
  <c r="G148" i="112"/>
  <c r="F148" i="112"/>
  <c r="J144" i="112"/>
  <c r="J156" i="112" s="1"/>
  <c r="H144" i="112"/>
  <c r="H156" i="112" s="1"/>
  <c r="G144" i="112"/>
  <c r="F144" i="112"/>
  <c r="F156" i="112" s="1"/>
  <c r="K140" i="112"/>
  <c r="F132" i="112"/>
  <c r="F128" i="112"/>
  <c r="F125" i="112"/>
  <c r="F124" i="112"/>
  <c r="F121" i="112"/>
  <c r="I139" i="112" s="1"/>
  <c r="K139" i="112" s="1"/>
  <c r="F118" i="112"/>
  <c r="K155" i="112" s="1"/>
  <c r="J115" i="112"/>
  <c r="H115" i="112"/>
  <c r="H154" i="112" s="1"/>
  <c r="G115" i="112"/>
  <c r="H109" i="112"/>
  <c r="F109" i="112"/>
  <c r="F115" i="112" s="1"/>
  <c r="F154" i="112" s="1"/>
  <c r="J105" i="112"/>
  <c r="J153" i="112" s="1"/>
  <c r="H105" i="112"/>
  <c r="H153" i="112" s="1"/>
  <c r="G105" i="112"/>
  <c r="G153" i="112" s="1"/>
  <c r="F105" i="112"/>
  <c r="F153" i="112" s="1"/>
  <c r="K96" i="112"/>
  <c r="K94" i="112"/>
  <c r="J89" i="112"/>
  <c r="G89" i="112"/>
  <c r="F89" i="112"/>
  <c r="I87" i="112"/>
  <c r="I89" i="112" s="1"/>
  <c r="I152" i="112" s="1"/>
  <c r="K86" i="112"/>
  <c r="K85" i="112"/>
  <c r="H84" i="112"/>
  <c r="K84" i="112" s="1"/>
  <c r="I81" i="112"/>
  <c r="I151" i="112" s="1"/>
  <c r="G81" i="112"/>
  <c r="G151" i="112" s="1"/>
  <c r="F81" i="112"/>
  <c r="F151" i="112" s="1"/>
  <c r="K76" i="112"/>
  <c r="H75" i="112"/>
  <c r="J75" i="112" s="1"/>
  <c r="G71" i="112"/>
  <c r="G150" i="112" s="1"/>
  <c r="F71" i="112"/>
  <c r="F150" i="112" s="1"/>
  <c r="J69" i="112"/>
  <c r="H69" i="112"/>
  <c r="H68" i="112"/>
  <c r="K68" i="112" s="1"/>
  <c r="K67" i="112"/>
  <c r="H66" i="112"/>
  <c r="K66" i="112" s="1"/>
  <c r="H65" i="112"/>
  <c r="K65" i="112" s="1"/>
  <c r="H64" i="112"/>
  <c r="K64" i="112" s="1"/>
  <c r="H63" i="112"/>
  <c r="K63" i="112" s="1"/>
  <c r="H62" i="112"/>
  <c r="K62" i="112" s="1"/>
  <c r="H61" i="112"/>
  <c r="K61" i="112" s="1"/>
  <c r="K60" i="112"/>
  <c r="H59" i="112"/>
  <c r="K59" i="112" s="1"/>
  <c r="H58" i="112"/>
  <c r="K58" i="112" s="1"/>
  <c r="H57" i="112"/>
  <c r="K57" i="112" s="1"/>
  <c r="H56" i="112"/>
  <c r="K56" i="112" s="1"/>
  <c r="J55" i="112"/>
  <c r="H55" i="112"/>
  <c r="H54" i="112"/>
  <c r="K54" i="112" s="1"/>
  <c r="J53" i="112"/>
  <c r="H53" i="112"/>
  <c r="J49" i="112"/>
  <c r="J149" i="112" s="1"/>
  <c r="H49" i="112"/>
  <c r="H149" i="112" s="1"/>
  <c r="G49" i="112"/>
  <c r="G149" i="112" s="1"/>
  <c r="F49" i="112"/>
  <c r="F149" i="112" s="1"/>
  <c r="I44" i="112"/>
  <c r="K44" i="112" s="1"/>
  <c r="K43" i="112"/>
  <c r="I42" i="112"/>
  <c r="K42" i="112" s="1"/>
  <c r="H41" i="112"/>
  <c r="I41" i="112" s="1"/>
  <c r="K41" i="112" s="1"/>
  <c r="I40" i="112"/>
  <c r="J36" i="112"/>
  <c r="H36" i="112"/>
  <c r="H148" i="112" s="1"/>
  <c r="G36" i="112"/>
  <c r="F36" i="112"/>
  <c r="I29" i="112"/>
  <c r="K29" i="112" s="1"/>
  <c r="J18" i="112"/>
  <c r="J157" i="112" s="1"/>
  <c r="H18" i="112"/>
  <c r="H157" i="112" s="1"/>
  <c r="C7" i="112"/>
  <c r="I25" i="112" l="1"/>
  <c r="K25" i="112" s="1"/>
  <c r="I16" i="126"/>
  <c r="I21" i="112"/>
  <c r="K21" i="112" s="1"/>
  <c r="J71" i="112"/>
  <c r="J150" i="112" s="1"/>
  <c r="F126" i="112"/>
  <c r="F130" i="112" s="1"/>
  <c r="F134" i="112" s="1"/>
  <c r="I30" i="112"/>
  <c r="K30" i="112" s="1"/>
  <c r="I49" i="112"/>
  <c r="I149" i="112" s="1"/>
  <c r="I55" i="112"/>
  <c r="K55" i="112" s="1"/>
  <c r="I93" i="112"/>
  <c r="K93" i="112" s="1"/>
  <c r="I22" i="112"/>
  <c r="I26" i="112"/>
  <c r="K26" i="112" s="1"/>
  <c r="I100" i="112"/>
  <c r="K100" i="112" s="1"/>
  <c r="I23" i="112"/>
  <c r="K23" i="112" s="1"/>
  <c r="I27" i="112"/>
  <c r="K27" i="112" s="1"/>
  <c r="I24" i="112"/>
  <c r="K24" i="112" s="1"/>
  <c r="I28" i="112"/>
  <c r="K28" i="112" s="1"/>
  <c r="K69" i="112"/>
  <c r="H81" i="112"/>
  <c r="H151" i="112" s="1"/>
  <c r="I98" i="112"/>
  <c r="K98" i="112" s="1"/>
  <c r="I110" i="112"/>
  <c r="K110" i="112" s="1"/>
  <c r="H71" i="112"/>
  <c r="H150" i="112" s="1"/>
  <c r="K75" i="112"/>
  <c r="K81" i="112" s="1"/>
  <c r="K151" i="112" s="1"/>
  <c r="J81" i="112"/>
  <c r="J151" i="112" s="1"/>
  <c r="F159" i="112"/>
  <c r="G159" i="112"/>
  <c r="K18" i="112"/>
  <c r="K157" i="112" s="1"/>
  <c r="K40" i="112"/>
  <c r="K49" i="112" s="1"/>
  <c r="K149" i="112" s="1"/>
  <c r="I53" i="112"/>
  <c r="I71" i="112" s="1"/>
  <c r="I150" i="112" s="1"/>
  <c r="H89" i="112"/>
  <c r="H152" i="112" s="1"/>
  <c r="K87" i="112"/>
  <c r="K89" i="112" s="1"/>
  <c r="K152" i="112" s="1"/>
  <c r="I138" i="112"/>
  <c r="I97" i="112"/>
  <c r="K97" i="112" s="1"/>
  <c r="I99" i="112"/>
  <c r="K99" i="112" s="1"/>
  <c r="I109" i="112"/>
  <c r="I95" i="112"/>
  <c r="K95" i="112" s="1"/>
  <c r="J159" i="112" l="1"/>
  <c r="I36" i="112"/>
  <c r="I148" i="112" s="1"/>
  <c r="K22" i="112"/>
  <c r="K36" i="112" s="1"/>
  <c r="K148" i="112" s="1"/>
  <c r="H159" i="112"/>
  <c r="I105" i="112"/>
  <c r="I153" i="112" s="1"/>
  <c r="I115" i="112"/>
  <c r="I154" i="112" s="1"/>
  <c r="K53" i="112"/>
  <c r="K71" i="112" s="1"/>
  <c r="K150" i="112" s="1"/>
  <c r="K105" i="112"/>
  <c r="K153" i="112" s="1"/>
  <c r="K138" i="112"/>
  <c r="K144" i="112" s="1"/>
  <c r="K156" i="112" s="1"/>
  <c r="I144" i="112"/>
  <c r="I156" i="112" s="1"/>
  <c r="K109" i="112"/>
  <c r="K115" i="112" s="1"/>
  <c r="K154" i="112" s="1"/>
  <c r="I159" i="112" l="1"/>
  <c r="K159" i="112"/>
  <c r="F161" i="112" s="1"/>
  <c r="F162" i="112" l="1"/>
  <c r="J150" i="111"/>
  <c r="I150" i="111"/>
  <c r="H150" i="111"/>
  <c r="G149" i="111"/>
  <c r="K148" i="111"/>
  <c r="J147" i="111"/>
  <c r="G147" i="111"/>
  <c r="F147" i="111"/>
  <c r="J145" i="111"/>
  <c r="G145" i="111"/>
  <c r="F145" i="111"/>
  <c r="I144" i="111"/>
  <c r="H144" i="111"/>
  <c r="J143" i="111"/>
  <c r="G143" i="111"/>
  <c r="F143" i="111"/>
  <c r="I142" i="111"/>
  <c r="H142" i="111"/>
  <c r="J141" i="111"/>
  <c r="G141" i="111"/>
  <c r="F141" i="111"/>
  <c r="J137" i="111"/>
  <c r="J149" i="111" s="1"/>
  <c r="I137" i="111"/>
  <c r="I149" i="111" s="1"/>
  <c r="H137" i="111"/>
  <c r="H149" i="111" s="1"/>
  <c r="G137" i="111"/>
  <c r="F137" i="111"/>
  <c r="F149" i="111" s="1"/>
  <c r="K135" i="111"/>
  <c r="K134" i="111"/>
  <c r="K133" i="111"/>
  <c r="K132" i="111"/>
  <c r="K131" i="111"/>
  <c r="K137" i="111" s="1"/>
  <c r="K149" i="111" s="1"/>
  <c r="F119" i="111"/>
  <c r="J108" i="111"/>
  <c r="H108" i="111"/>
  <c r="H147" i="111" s="1"/>
  <c r="G108" i="111"/>
  <c r="F108" i="111"/>
  <c r="I106" i="111"/>
  <c r="K106" i="111" s="1"/>
  <c r="I105" i="111"/>
  <c r="K105" i="111" s="1"/>
  <c r="I104" i="111"/>
  <c r="K104" i="111" s="1"/>
  <c r="I103" i="111"/>
  <c r="K103" i="111" s="1"/>
  <c r="I102" i="111"/>
  <c r="I108" i="111" s="1"/>
  <c r="I147" i="111" s="1"/>
  <c r="J98" i="111"/>
  <c r="J146" i="111" s="1"/>
  <c r="H98" i="111"/>
  <c r="H146" i="111" s="1"/>
  <c r="G98" i="111"/>
  <c r="G146" i="111" s="1"/>
  <c r="F98" i="111"/>
  <c r="F146" i="111" s="1"/>
  <c r="I96" i="111"/>
  <c r="K96" i="111" s="1"/>
  <c r="I95" i="111"/>
  <c r="K95" i="111" s="1"/>
  <c r="I94" i="111"/>
  <c r="K94" i="111" s="1"/>
  <c r="I93" i="111"/>
  <c r="K93" i="111" s="1"/>
  <c r="I92" i="111"/>
  <c r="K92" i="111" s="1"/>
  <c r="I91" i="111"/>
  <c r="K91" i="111" s="1"/>
  <c r="I90" i="111"/>
  <c r="K90" i="111" s="1"/>
  <c r="I89" i="111"/>
  <c r="K89" i="111" s="1"/>
  <c r="I88" i="111"/>
  <c r="K88" i="111" s="1"/>
  <c r="I87" i="111"/>
  <c r="K87" i="111" s="1"/>
  <c r="I86" i="111"/>
  <c r="I98" i="111" s="1"/>
  <c r="I146" i="111" s="1"/>
  <c r="J82" i="111"/>
  <c r="I82" i="111"/>
  <c r="I145" i="111" s="1"/>
  <c r="H82" i="111"/>
  <c r="H145" i="111" s="1"/>
  <c r="G82" i="111"/>
  <c r="F82" i="111"/>
  <c r="K80" i="111"/>
  <c r="K79" i="111"/>
  <c r="K78" i="111"/>
  <c r="K77" i="111"/>
  <c r="K82" i="111" s="1"/>
  <c r="K145" i="111" s="1"/>
  <c r="J74" i="111"/>
  <c r="J144" i="111" s="1"/>
  <c r="I74" i="111"/>
  <c r="H74" i="111"/>
  <c r="G74" i="111"/>
  <c r="G144" i="111" s="1"/>
  <c r="F74" i="111"/>
  <c r="F144" i="111" s="1"/>
  <c r="K72" i="111"/>
  <c r="K71" i="111"/>
  <c r="K70" i="111"/>
  <c r="K69" i="111"/>
  <c r="K74" i="111" s="1"/>
  <c r="K144" i="111" s="1"/>
  <c r="K68" i="111"/>
  <c r="J64" i="111"/>
  <c r="I64" i="111"/>
  <c r="I143" i="111" s="1"/>
  <c r="H64" i="111"/>
  <c r="H143" i="111" s="1"/>
  <c r="G64" i="111"/>
  <c r="F64" i="111"/>
  <c r="K62" i="111"/>
  <c r="I62" i="111"/>
  <c r="I61" i="111"/>
  <c r="K61" i="111" s="1"/>
  <c r="K60" i="111"/>
  <c r="I60" i="111"/>
  <c r="I59" i="111"/>
  <c r="K59" i="111" s="1"/>
  <c r="K58" i="111"/>
  <c r="I58" i="111"/>
  <c r="I57" i="111"/>
  <c r="K57" i="111" s="1"/>
  <c r="K56" i="111"/>
  <c r="I56" i="111"/>
  <c r="I55" i="111"/>
  <c r="K55" i="111" s="1"/>
  <c r="K54" i="111"/>
  <c r="I54" i="111"/>
  <c r="I53" i="111"/>
  <c r="K53" i="111" s="1"/>
  <c r="J49" i="111"/>
  <c r="J142" i="111" s="1"/>
  <c r="I49" i="111"/>
  <c r="H49" i="111"/>
  <c r="G49" i="111"/>
  <c r="G142" i="111" s="1"/>
  <c r="F49" i="111"/>
  <c r="F142" i="111" s="1"/>
  <c r="K47" i="111"/>
  <c r="K46" i="111"/>
  <c r="K45" i="111"/>
  <c r="K44" i="111"/>
  <c r="K43" i="111"/>
  <c r="K42" i="111"/>
  <c r="K41" i="111"/>
  <c r="K49" i="111" s="1"/>
  <c r="K142" i="111" s="1"/>
  <c r="K40" i="111"/>
  <c r="J36" i="111"/>
  <c r="I36" i="111"/>
  <c r="I141" i="111" s="1"/>
  <c r="H36" i="111"/>
  <c r="H141" i="111" s="1"/>
  <c r="H152" i="111" s="1"/>
  <c r="G36" i="111"/>
  <c r="F36" i="111"/>
  <c r="K34" i="111"/>
  <c r="I34" i="111"/>
  <c r="I33" i="111"/>
  <c r="K33" i="111" s="1"/>
  <c r="K32" i="111"/>
  <c r="I32" i="111"/>
  <c r="I31" i="111"/>
  <c r="K31" i="111" s="1"/>
  <c r="K30" i="111"/>
  <c r="I30" i="111"/>
  <c r="I29" i="111"/>
  <c r="K29" i="111" s="1"/>
  <c r="K28" i="111"/>
  <c r="I28" i="111"/>
  <c r="I27" i="111"/>
  <c r="K27" i="111" s="1"/>
  <c r="K26" i="111"/>
  <c r="I26" i="111"/>
  <c r="I25" i="111"/>
  <c r="K25" i="111" s="1"/>
  <c r="K24" i="111"/>
  <c r="I24" i="111"/>
  <c r="I23" i="111"/>
  <c r="K23" i="111" s="1"/>
  <c r="K22" i="111"/>
  <c r="I22" i="111"/>
  <c r="I21" i="111"/>
  <c r="K21" i="111" s="1"/>
  <c r="K18" i="111"/>
  <c r="K150" i="111" s="1"/>
  <c r="F152" i="111" l="1"/>
  <c r="G152" i="111"/>
  <c r="K64" i="111"/>
  <c r="K143" i="111" s="1"/>
  <c r="J152" i="111"/>
  <c r="K36" i="111"/>
  <c r="K141" i="111" s="1"/>
  <c r="K152" i="111" s="1"/>
  <c r="F41" i="126" s="1"/>
  <c r="H41" i="126" s="1"/>
  <c r="I152" i="111"/>
  <c r="K102" i="111"/>
  <c r="K108" i="111" s="1"/>
  <c r="K147" i="111" s="1"/>
  <c r="K86" i="111"/>
  <c r="K98" i="111" s="1"/>
  <c r="K146" i="111" s="1"/>
  <c r="I41" i="126" l="1"/>
  <c r="F154" i="111"/>
  <c r="F155" i="111"/>
  <c r="J150" i="110" l="1"/>
  <c r="I150" i="110"/>
  <c r="H150" i="110"/>
  <c r="H149" i="110"/>
  <c r="K148" i="110"/>
  <c r="G147" i="110"/>
  <c r="G145" i="110"/>
  <c r="I144" i="110"/>
  <c r="G143" i="110"/>
  <c r="I142" i="110"/>
  <c r="G141" i="110"/>
  <c r="J137" i="110"/>
  <c r="J149" i="110" s="1"/>
  <c r="I137" i="110"/>
  <c r="I149" i="110" s="1"/>
  <c r="H137" i="110"/>
  <c r="G137" i="110"/>
  <c r="G149" i="110" s="1"/>
  <c r="F137" i="110"/>
  <c r="F149" i="110" s="1"/>
  <c r="K135" i="110"/>
  <c r="K134" i="110"/>
  <c r="K133" i="110"/>
  <c r="K132" i="110"/>
  <c r="K131" i="110"/>
  <c r="K137" i="110" s="1"/>
  <c r="K149" i="110" s="1"/>
  <c r="F119" i="110"/>
  <c r="J108" i="110"/>
  <c r="J147" i="110" s="1"/>
  <c r="I108" i="110"/>
  <c r="I147" i="110" s="1"/>
  <c r="H108" i="110"/>
  <c r="H147" i="110" s="1"/>
  <c r="G108" i="110"/>
  <c r="F108" i="110"/>
  <c r="F147" i="110" s="1"/>
  <c r="K106" i="110"/>
  <c r="I106" i="110"/>
  <c r="I105" i="110"/>
  <c r="K105" i="110" s="1"/>
  <c r="K104" i="110"/>
  <c r="I104" i="110"/>
  <c r="I103" i="110"/>
  <c r="K103" i="110" s="1"/>
  <c r="K102" i="110"/>
  <c r="K108" i="110" s="1"/>
  <c r="K147" i="110" s="1"/>
  <c r="I102" i="110"/>
  <c r="J98" i="110"/>
  <c r="J146" i="110" s="1"/>
  <c r="I98" i="110"/>
  <c r="I146" i="110" s="1"/>
  <c r="H98" i="110"/>
  <c r="H146" i="110" s="1"/>
  <c r="G98" i="110"/>
  <c r="G146" i="110" s="1"/>
  <c r="F98" i="110"/>
  <c r="F146" i="110" s="1"/>
  <c r="K96" i="110"/>
  <c r="I96" i="110"/>
  <c r="I95" i="110"/>
  <c r="K95" i="110" s="1"/>
  <c r="K94" i="110"/>
  <c r="I94" i="110"/>
  <c r="I93" i="110"/>
  <c r="K93" i="110" s="1"/>
  <c r="K92" i="110"/>
  <c r="I92" i="110"/>
  <c r="I91" i="110"/>
  <c r="K91" i="110" s="1"/>
  <c r="K90" i="110"/>
  <c r="I90" i="110"/>
  <c r="I89" i="110"/>
  <c r="K89" i="110" s="1"/>
  <c r="K88" i="110"/>
  <c r="I88" i="110"/>
  <c r="I87" i="110"/>
  <c r="K87" i="110" s="1"/>
  <c r="K86" i="110"/>
  <c r="I86" i="110"/>
  <c r="J82" i="110"/>
  <c r="J145" i="110" s="1"/>
  <c r="I82" i="110"/>
  <c r="I145" i="110" s="1"/>
  <c r="H82" i="110"/>
  <c r="H145" i="110" s="1"/>
  <c r="G82" i="110"/>
  <c r="F82" i="110"/>
  <c r="F145" i="110" s="1"/>
  <c r="K80" i="110"/>
  <c r="K79" i="110"/>
  <c r="K78" i="110"/>
  <c r="K77" i="110"/>
  <c r="K82" i="110" s="1"/>
  <c r="K145" i="110" s="1"/>
  <c r="J74" i="110"/>
  <c r="J144" i="110" s="1"/>
  <c r="I74" i="110"/>
  <c r="H74" i="110"/>
  <c r="H144" i="110" s="1"/>
  <c r="G74" i="110"/>
  <c r="G144" i="110" s="1"/>
  <c r="F74" i="110"/>
  <c r="F144" i="110" s="1"/>
  <c r="K72" i="110"/>
  <c r="K71" i="110"/>
  <c r="K70" i="110"/>
  <c r="K74" i="110" s="1"/>
  <c r="K144" i="110" s="1"/>
  <c r="K69" i="110"/>
  <c r="K68" i="110"/>
  <c r="J64" i="110"/>
  <c r="J143" i="110" s="1"/>
  <c r="H64" i="110"/>
  <c r="H143" i="110" s="1"/>
  <c r="G64" i="110"/>
  <c r="F64" i="110"/>
  <c r="F143" i="110" s="1"/>
  <c r="I62" i="110"/>
  <c r="K62" i="110" s="1"/>
  <c r="I61" i="110"/>
  <c r="K61" i="110" s="1"/>
  <c r="I60" i="110"/>
  <c r="K60" i="110" s="1"/>
  <c r="I59" i="110"/>
  <c r="K59" i="110" s="1"/>
  <c r="I58" i="110"/>
  <c r="K58" i="110" s="1"/>
  <c r="I57" i="110"/>
  <c r="K57" i="110" s="1"/>
  <c r="I56" i="110"/>
  <c r="K56" i="110" s="1"/>
  <c r="I55" i="110"/>
  <c r="K55" i="110" s="1"/>
  <c r="I54" i="110"/>
  <c r="K54" i="110" s="1"/>
  <c r="I53" i="110"/>
  <c r="I64" i="110" s="1"/>
  <c r="I143" i="110" s="1"/>
  <c r="J49" i="110"/>
  <c r="J142" i="110" s="1"/>
  <c r="I49" i="110"/>
  <c r="H49" i="110"/>
  <c r="H142" i="110" s="1"/>
  <c r="G49" i="110"/>
  <c r="G142" i="110" s="1"/>
  <c r="F49" i="110"/>
  <c r="F142" i="110" s="1"/>
  <c r="K47" i="110"/>
  <c r="K46" i="110"/>
  <c r="K45" i="110"/>
  <c r="K44" i="110"/>
  <c r="K43" i="110"/>
  <c r="K42" i="110"/>
  <c r="K41" i="110"/>
  <c r="K40" i="110"/>
  <c r="K49" i="110" s="1"/>
  <c r="K142" i="110" s="1"/>
  <c r="J36" i="110"/>
  <c r="J141" i="110" s="1"/>
  <c r="J152" i="110" s="1"/>
  <c r="H36" i="110"/>
  <c r="H141" i="110" s="1"/>
  <c r="G36" i="110"/>
  <c r="F36" i="110"/>
  <c r="F141" i="110" s="1"/>
  <c r="I34" i="110"/>
  <c r="K34" i="110" s="1"/>
  <c r="I33" i="110"/>
  <c r="K33" i="110" s="1"/>
  <c r="I32" i="110"/>
  <c r="K32" i="110" s="1"/>
  <c r="I31" i="110"/>
  <c r="K31" i="110" s="1"/>
  <c r="I30" i="110"/>
  <c r="K30" i="110" s="1"/>
  <c r="I29" i="110"/>
  <c r="K29" i="110" s="1"/>
  <c r="I28" i="110"/>
  <c r="K28" i="110" s="1"/>
  <c r="I27" i="110"/>
  <c r="K27" i="110" s="1"/>
  <c r="I26" i="110"/>
  <c r="K26" i="110" s="1"/>
  <c r="I25" i="110"/>
  <c r="K25" i="110" s="1"/>
  <c r="K24" i="110"/>
  <c r="K23" i="110"/>
  <c r="I23" i="110"/>
  <c r="K22" i="110"/>
  <c r="I22" i="110"/>
  <c r="K21" i="110"/>
  <c r="I21" i="110"/>
  <c r="I36" i="110" s="1"/>
  <c r="I141" i="110" s="1"/>
  <c r="I152" i="110" s="1"/>
  <c r="K18" i="110"/>
  <c r="K150" i="110" s="1"/>
  <c r="K98" i="110" l="1"/>
  <c r="K146" i="110" s="1"/>
  <c r="K36" i="110"/>
  <c r="K141" i="110" s="1"/>
  <c r="F152" i="110"/>
  <c r="G152" i="110"/>
  <c r="H152" i="110"/>
  <c r="K53" i="110"/>
  <c r="K64" i="110" s="1"/>
  <c r="K143" i="110" s="1"/>
  <c r="K152" i="110" l="1"/>
  <c r="F155" i="110" l="1"/>
  <c r="F154" i="110"/>
  <c r="I160" i="109" l="1"/>
  <c r="G160" i="109"/>
  <c r="F160" i="109"/>
  <c r="B158" i="109"/>
  <c r="I150" i="109"/>
  <c r="F149" i="109"/>
  <c r="I137" i="109"/>
  <c r="I149" i="109" s="1"/>
  <c r="G137" i="109"/>
  <c r="G149" i="109" s="1"/>
  <c r="F137" i="109"/>
  <c r="K135" i="109"/>
  <c r="K134" i="109"/>
  <c r="J133" i="109"/>
  <c r="K133" i="109" s="1"/>
  <c r="J132" i="109"/>
  <c r="H132" i="109"/>
  <c r="J131" i="109"/>
  <c r="H131" i="109"/>
  <c r="F125" i="109"/>
  <c r="F121" i="109"/>
  <c r="F118" i="109"/>
  <c r="F117" i="109"/>
  <c r="F119" i="109" s="1"/>
  <c r="F114" i="109"/>
  <c r="I34" i="109" s="1"/>
  <c r="K34" i="109" s="1"/>
  <c r="F111" i="109"/>
  <c r="J103" i="109"/>
  <c r="I103" i="109"/>
  <c r="H103" i="109"/>
  <c r="G103" i="109"/>
  <c r="F103" i="109"/>
  <c r="J102" i="109"/>
  <c r="I102" i="109"/>
  <c r="H102" i="109"/>
  <c r="G102" i="109"/>
  <c r="F102" i="109"/>
  <c r="I93" i="109"/>
  <c r="H93" i="109"/>
  <c r="G93" i="109"/>
  <c r="F93" i="109"/>
  <c r="I92" i="109"/>
  <c r="H92" i="109"/>
  <c r="G92" i="109"/>
  <c r="F92" i="109"/>
  <c r="I91" i="109"/>
  <c r="H91" i="109"/>
  <c r="G91" i="109"/>
  <c r="F91" i="109"/>
  <c r="K90" i="109"/>
  <c r="K89" i="109"/>
  <c r="I88" i="109"/>
  <c r="H88" i="109"/>
  <c r="G88" i="109"/>
  <c r="F88" i="109"/>
  <c r="I87" i="109"/>
  <c r="H87" i="109"/>
  <c r="G87" i="109"/>
  <c r="F87" i="109"/>
  <c r="K80" i="109"/>
  <c r="J79" i="109"/>
  <c r="I79" i="109"/>
  <c r="H79" i="109"/>
  <c r="G79" i="109"/>
  <c r="F79" i="109"/>
  <c r="J78" i="109"/>
  <c r="I78" i="109"/>
  <c r="J56" i="60" s="1"/>
  <c r="H78" i="109"/>
  <c r="G78" i="109"/>
  <c r="F78" i="109"/>
  <c r="J77" i="109"/>
  <c r="I77" i="109"/>
  <c r="H77" i="109"/>
  <c r="G77" i="109"/>
  <c r="F77" i="109"/>
  <c r="J74" i="109"/>
  <c r="J144" i="109" s="1"/>
  <c r="I74" i="109"/>
  <c r="I144" i="109" s="1"/>
  <c r="H74" i="109"/>
  <c r="H144" i="109" s="1"/>
  <c r="G74" i="109"/>
  <c r="G144" i="109" s="1"/>
  <c r="F74" i="109"/>
  <c r="F144" i="109" s="1"/>
  <c r="K72" i="109"/>
  <c r="K71" i="109"/>
  <c r="K70" i="109"/>
  <c r="K74" i="109" s="1"/>
  <c r="K144" i="109" s="1"/>
  <c r="K69" i="109"/>
  <c r="K68" i="109"/>
  <c r="J62" i="109"/>
  <c r="I62" i="109"/>
  <c r="H62" i="109"/>
  <c r="G62" i="109"/>
  <c r="F62" i="109"/>
  <c r="H61" i="109"/>
  <c r="H60" i="109"/>
  <c r="K60" i="109" s="1"/>
  <c r="K59" i="109"/>
  <c r="H58" i="109"/>
  <c r="K58" i="109" s="1"/>
  <c r="H57" i="109"/>
  <c r="K57" i="109" s="1"/>
  <c r="H56" i="109"/>
  <c r="K56" i="109" s="1"/>
  <c r="H55" i="109"/>
  <c r="K55" i="109" s="1"/>
  <c r="G55" i="109"/>
  <c r="F55" i="109"/>
  <c r="H54" i="109"/>
  <c r="K54" i="109" s="1"/>
  <c r="G54" i="109"/>
  <c r="F54" i="109"/>
  <c r="J53" i="109"/>
  <c r="I53" i="109"/>
  <c r="H53" i="109"/>
  <c r="G53" i="109"/>
  <c r="F53" i="109"/>
  <c r="K47" i="109"/>
  <c r="K46" i="109"/>
  <c r="K45" i="109"/>
  <c r="J44" i="109"/>
  <c r="K33" i="60" s="1"/>
  <c r="I44" i="109"/>
  <c r="H44" i="109"/>
  <c r="G44" i="109"/>
  <c r="F44" i="109"/>
  <c r="K43" i="109"/>
  <c r="J42" i="109"/>
  <c r="I42" i="109"/>
  <c r="H42" i="109"/>
  <c r="G42" i="109"/>
  <c r="F42" i="109"/>
  <c r="J41" i="109"/>
  <c r="I41" i="109"/>
  <c r="H41" i="109"/>
  <c r="G41" i="109"/>
  <c r="F41" i="109"/>
  <c r="K40" i="109"/>
  <c r="J30" i="109"/>
  <c r="I30" i="109"/>
  <c r="H30" i="109"/>
  <c r="G30" i="109"/>
  <c r="F30" i="109"/>
  <c r="J29" i="109"/>
  <c r="I29" i="109"/>
  <c r="H29" i="109"/>
  <c r="G29" i="109"/>
  <c r="F29" i="109"/>
  <c r="K28" i="109"/>
  <c r="K27" i="109"/>
  <c r="K26" i="109"/>
  <c r="J25" i="109"/>
  <c r="I25" i="109"/>
  <c r="H25" i="109"/>
  <c r="G25" i="109"/>
  <c r="F25" i="109"/>
  <c r="J24" i="109"/>
  <c r="I24" i="109"/>
  <c r="H24" i="109"/>
  <c r="G24" i="109"/>
  <c r="F24" i="109"/>
  <c r="J23" i="109"/>
  <c r="I23" i="109"/>
  <c r="H23" i="109"/>
  <c r="G23" i="109"/>
  <c r="F23" i="109"/>
  <c r="J22" i="109"/>
  <c r="I22" i="109"/>
  <c r="H22" i="109"/>
  <c r="G22" i="109"/>
  <c r="F22" i="109"/>
  <c r="J21" i="109"/>
  <c r="I21" i="109"/>
  <c r="H21" i="109"/>
  <c r="G21" i="109"/>
  <c r="F21" i="109"/>
  <c r="J160" i="109"/>
  <c r="H160" i="109"/>
  <c r="C7" i="109"/>
  <c r="K41" i="109" l="1"/>
  <c r="F82" i="109"/>
  <c r="F145" i="109" s="1"/>
  <c r="J137" i="109"/>
  <c r="J149" i="109" s="1"/>
  <c r="K44" i="109"/>
  <c r="K91" i="109"/>
  <c r="K132" i="109"/>
  <c r="K22" i="109"/>
  <c r="K30" i="109"/>
  <c r="I61" i="109"/>
  <c r="K61" i="109" s="1"/>
  <c r="J82" i="109"/>
  <c r="J145" i="109" s="1"/>
  <c r="K79" i="109"/>
  <c r="G108" i="109"/>
  <c r="G147" i="109" s="1"/>
  <c r="K131" i="109"/>
  <c r="K137" i="109" s="1"/>
  <c r="K149" i="109" s="1"/>
  <c r="K148" i="109"/>
  <c r="K161" i="109" s="1"/>
  <c r="M31" i="126"/>
  <c r="C31" i="126"/>
  <c r="G49" i="109"/>
  <c r="G142" i="109" s="1"/>
  <c r="H64" i="109"/>
  <c r="H143" i="109" s="1"/>
  <c r="H108" i="109"/>
  <c r="H147" i="109" s="1"/>
  <c r="F123" i="109"/>
  <c r="F127" i="109" s="1"/>
  <c r="E31" i="126"/>
  <c r="K23" i="109"/>
  <c r="I31" i="109"/>
  <c r="K31" i="109" s="1"/>
  <c r="I82" i="109"/>
  <c r="I145" i="109" s="1"/>
  <c r="K78" i="109"/>
  <c r="F36" i="109"/>
  <c r="F141" i="109" s="1"/>
  <c r="J36" i="109"/>
  <c r="J141" i="109" s="1"/>
  <c r="K25" i="109"/>
  <c r="I33" i="109"/>
  <c r="K33" i="109" s="1"/>
  <c r="H82" i="109"/>
  <c r="H145" i="109" s="1"/>
  <c r="G82" i="109"/>
  <c r="G145" i="109" s="1"/>
  <c r="H98" i="109"/>
  <c r="H146" i="109" s="1"/>
  <c r="I94" i="109"/>
  <c r="K94" i="109" s="1"/>
  <c r="I104" i="109"/>
  <c r="K104" i="109" s="1"/>
  <c r="G36" i="109"/>
  <c r="G141" i="109" s="1"/>
  <c r="K24" i="109"/>
  <c r="H49" i="109"/>
  <c r="H142" i="109" s="1"/>
  <c r="F64" i="109"/>
  <c r="F143" i="109" s="1"/>
  <c r="J64" i="109"/>
  <c r="J143" i="109" s="1"/>
  <c r="K62" i="109"/>
  <c r="F98" i="109"/>
  <c r="F146" i="109" s="1"/>
  <c r="K87" i="109"/>
  <c r="K93" i="109"/>
  <c r="I96" i="109"/>
  <c r="K96" i="109" s="1"/>
  <c r="I106" i="109"/>
  <c r="K106" i="109" s="1"/>
  <c r="H36" i="109"/>
  <c r="H141" i="109" s="1"/>
  <c r="K29" i="109"/>
  <c r="F49" i="109"/>
  <c r="F142" i="109" s="1"/>
  <c r="I49" i="109"/>
  <c r="I142" i="109" s="1"/>
  <c r="G64" i="109"/>
  <c r="G143" i="109" s="1"/>
  <c r="G98" i="109"/>
  <c r="G146" i="109" s="1"/>
  <c r="K92" i="109"/>
  <c r="F108" i="109"/>
  <c r="K102" i="109"/>
  <c r="J150" i="109"/>
  <c r="K21" i="109"/>
  <c r="J49" i="109"/>
  <c r="J142" i="109" s="1"/>
  <c r="K77" i="109"/>
  <c r="I86" i="109"/>
  <c r="I95" i="109"/>
  <c r="K95" i="109" s="1"/>
  <c r="J98" i="109"/>
  <c r="J146" i="109" s="1"/>
  <c r="I105" i="109"/>
  <c r="K105" i="109" s="1"/>
  <c r="J108" i="109"/>
  <c r="J147" i="109" s="1"/>
  <c r="H150" i="109"/>
  <c r="K53" i="109"/>
  <c r="H137" i="109"/>
  <c r="H149" i="109" s="1"/>
  <c r="K18" i="109"/>
  <c r="I32" i="109"/>
  <c r="K32" i="109" s="1"/>
  <c r="K42" i="109"/>
  <c r="K88" i="109"/>
  <c r="K103" i="109"/>
  <c r="K49" i="109" l="1"/>
  <c r="K142" i="109" s="1"/>
  <c r="I64" i="109"/>
  <c r="I143" i="109" s="1"/>
  <c r="F147" i="109"/>
  <c r="D31" i="126"/>
  <c r="J152" i="109"/>
  <c r="J163" i="109" s="1"/>
  <c r="H152" i="109"/>
  <c r="H158" i="109" s="1"/>
  <c r="K82" i="109"/>
  <c r="K145" i="109" s="1"/>
  <c r="K64" i="109"/>
  <c r="K143" i="109" s="1"/>
  <c r="G152" i="109"/>
  <c r="K108" i="109"/>
  <c r="K147" i="109" s="1"/>
  <c r="F152" i="109"/>
  <c r="K150" i="109"/>
  <c r="K160" i="109"/>
  <c r="K86" i="109"/>
  <c r="K98" i="109" s="1"/>
  <c r="K146" i="109" s="1"/>
  <c r="I98" i="109"/>
  <c r="I146" i="109" s="1"/>
  <c r="I108" i="109"/>
  <c r="I147" i="109" s="1"/>
  <c r="K36" i="109"/>
  <c r="K141" i="109" s="1"/>
  <c r="I36" i="109"/>
  <c r="I141" i="109" s="1"/>
  <c r="H163" i="109" l="1"/>
  <c r="H166" i="109" s="1"/>
  <c r="K152" i="109"/>
  <c r="F155" i="109" s="1"/>
  <c r="J158" i="109"/>
  <c r="F158" i="109"/>
  <c r="F163" i="109"/>
  <c r="G163" i="109"/>
  <c r="G158" i="109"/>
  <c r="I152" i="109"/>
  <c r="J166" i="109"/>
  <c r="J165" i="109"/>
  <c r="H165" i="109" l="1"/>
  <c r="F154" i="109"/>
  <c r="K163" i="109"/>
  <c r="K166" i="109" s="1"/>
  <c r="F31" i="126"/>
  <c r="H31" i="126" s="1"/>
  <c r="K158" i="109"/>
  <c r="I163" i="109"/>
  <c r="I158" i="109"/>
  <c r="I31" i="126" l="1"/>
  <c r="K165" i="109"/>
  <c r="I166" i="109"/>
  <c r="I165" i="109"/>
  <c r="I160" i="108" l="1"/>
  <c r="G160" i="108"/>
  <c r="F160" i="108"/>
  <c r="B158" i="108"/>
  <c r="I150" i="108"/>
  <c r="H149" i="108"/>
  <c r="H145" i="108"/>
  <c r="G145" i="108"/>
  <c r="J144" i="108"/>
  <c r="I144" i="108"/>
  <c r="F144" i="108"/>
  <c r="J137" i="108"/>
  <c r="J149" i="108" s="1"/>
  <c r="I137" i="108"/>
  <c r="I149" i="108" s="1"/>
  <c r="H137" i="108"/>
  <c r="G137" i="108"/>
  <c r="G149" i="108" s="1"/>
  <c r="F137" i="108"/>
  <c r="F149" i="108" s="1"/>
  <c r="K135" i="108"/>
  <c r="K134" i="108"/>
  <c r="K133" i="108"/>
  <c r="K132" i="108"/>
  <c r="K131" i="108"/>
  <c r="K137" i="108" s="1"/>
  <c r="K149" i="108" s="1"/>
  <c r="F125" i="108"/>
  <c r="F121" i="108"/>
  <c r="F118" i="108"/>
  <c r="F117" i="108"/>
  <c r="F114" i="108"/>
  <c r="F111" i="108"/>
  <c r="J103" i="108"/>
  <c r="I103" i="108"/>
  <c r="H103" i="108"/>
  <c r="G103" i="108"/>
  <c r="F103" i="108"/>
  <c r="J102" i="108"/>
  <c r="I102" i="108"/>
  <c r="H102" i="108"/>
  <c r="G102" i="108"/>
  <c r="F102" i="108"/>
  <c r="J82" i="108"/>
  <c r="J145" i="108" s="1"/>
  <c r="I82" i="108"/>
  <c r="I145" i="108" s="1"/>
  <c r="H82" i="108"/>
  <c r="G82" i="108"/>
  <c r="F82" i="108"/>
  <c r="F145" i="108" s="1"/>
  <c r="K80" i="108"/>
  <c r="K79" i="108"/>
  <c r="K78" i="108"/>
  <c r="K77" i="108"/>
  <c r="J74" i="108"/>
  <c r="I74" i="108"/>
  <c r="H74" i="108"/>
  <c r="H144" i="108" s="1"/>
  <c r="G74" i="108"/>
  <c r="G144" i="108" s="1"/>
  <c r="F74" i="108"/>
  <c r="K72" i="108"/>
  <c r="K71" i="108"/>
  <c r="K70" i="108"/>
  <c r="K74" i="108" s="1"/>
  <c r="K144" i="108" s="1"/>
  <c r="K69" i="108"/>
  <c r="K68" i="108"/>
  <c r="K62" i="108"/>
  <c r="K61" i="108"/>
  <c r="K60" i="108"/>
  <c r="H59" i="108"/>
  <c r="K59" i="108" s="1"/>
  <c r="J58" i="108"/>
  <c r="I58" i="108"/>
  <c r="H58" i="108"/>
  <c r="J57" i="108"/>
  <c r="I57" i="108"/>
  <c r="H57" i="108"/>
  <c r="H56" i="108"/>
  <c r="H55" i="108"/>
  <c r="K55" i="108" s="1"/>
  <c r="J54" i="108"/>
  <c r="H54" i="108"/>
  <c r="G54" i="108"/>
  <c r="F54" i="108"/>
  <c r="J53" i="108"/>
  <c r="H53" i="108"/>
  <c r="G53" i="108"/>
  <c r="F53" i="108"/>
  <c r="F64" i="108" s="1"/>
  <c r="F143" i="108" s="1"/>
  <c r="K47" i="108"/>
  <c r="K46" i="108"/>
  <c r="K45" i="108"/>
  <c r="K44" i="108"/>
  <c r="K43" i="108"/>
  <c r="J42" i="108"/>
  <c r="K31" i="60" s="1"/>
  <c r="I42" i="108"/>
  <c r="H42" i="108"/>
  <c r="G42" i="108"/>
  <c r="F42" i="108"/>
  <c r="I41" i="108"/>
  <c r="I49" i="108" s="1"/>
  <c r="I142" i="108" s="1"/>
  <c r="H41" i="108"/>
  <c r="G41" i="108"/>
  <c r="G49" i="108" s="1"/>
  <c r="G142" i="108" s="1"/>
  <c r="F41" i="108"/>
  <c r="F49" i="108" s="1"/>
  <c r="F142" i="108" s="1"/>
  <c r="K40" i="108"/>
  <c r="I30" i="108"/>
  <c r="K30" i="108" s="1"/>
  <c r="J29" i="108"/>
  <c r="I29" i="108"/>
  <c r="H29" i="108"/>
  <c r="G29" i="108"/>
  <c r="F29" i="108"/>
  <c r="I28" i="108"/>
  <c r="K28" i="108" s="1"/>
  <c r="K25" i="108"/>
  <c r="I22" i="108"/>
  <c r="J21" i="108"/>
  <c r="J36" i="108" s="1"/>
  <c r="J141" i="108" s="1"/>
  <c r="I21" i="108"/>
  <c r="H21" i="108"/>
  <c r="H36" i="108" s="1"/>
  <c r="H141" i="108" s="1"/>
  <c r="G21" i="108"/>
  <c r="G36" i="108" s="1"/>
  <c r="G141" i="108" s="1"/>
  <c r="F21" i="108"/>
  <c r="F36" i="108" s="1"/>
  <c r="F141" i="108" s="1"/>
  <c r="C7" i="108"/>
  <c r="J49" i="108" l="1"/>
  <c r="J142" i="108" s="1"/>
  <c r="H108" i="108"/>
  <c r="H147" i="108" s="1"/>
  <c r="K148" i="108"/>
  <c r="K161" i="108" s="1"/>
  <c r="M11" i="126"/>
  <c r="E11" i="126"/>
  <c r="C11" i="126"/>
  <c r="I34" i="108"/>
  <c r="K34" i="108" s="1"/>
  <c r="K41" i="108"/>
  <c r="K49" i="108" s="1"/>
  <c r="K142" i="108" s="1"/>
  <c r="K42" i="108"/>
  <c r="K53" i="108"/>
  <c r="K54" i="108"/>
  <c r="K57" i="108"/>
  <c r="H64" i="108"/>
  <c r="H143" i="108" s="1"/>
  <c r="F98" i="108"/>
  <c r="F146" i="108" s="1"/>
  <c r="J98" i="108"/>
  <c r="J146" i="108" s="1"/>
  <c r="F119" i="108"/>
  <c r="F123" i="108" s="1"/>
  <c r="F127" i="108" s="1"/>
  <c r="J64" i="108"/>
  <c r="J143" i="108" s="1"/>
  <c r="K18" i="108"/>
  <c r="K150" i="108" s="1"/>
  <c r="K29" i="108"/>
  <c r="G64" i="108"/>
  <c r="G143" i="108" s="1"/>
  <c r="H98" i="108"/>
  <c r="H146" i="108" s="1"/>
  <c r="G108" i="108"/>
  <c r="G147" i="108" s="1"/>
  <c r="F108" i="108"/>
  <c r="J108" i="108"/>
  <c r="J147" i="108" s="1"/>
  <c r="I56" i="108"/>
  <c r="I64" i="108" s="1"/>
  <c r="I143" i="108" s="1"/>
  <c r="I105" i="108"/>
  <c r="K105" i="108" s="1"/>
  <c r="K22" i="108"/>
  <c r="K21" i="108"/>
  <c r="I24" i="108"/>
  <c r="K24" i="108" s="1"/>
  <c r="I32" i="108"/>
  <c r="K32" i="108" s="1"/>
  <c r="H49" i="108"/>
  <c r="H142" i="108" s="1"/>
  <c r="K58" i="108"/>
  <c r="K102" i="108"/>
  <c r="K103" i="108"/>
  <c r="I106" i="108"/>
  <c r="K106" i="108" s="1"/>
  <c r="I104" i="108"/>
  <c r="K104" i="108" s="1"/>
  <c r="I33" i="108"/>
  <c r="K33" i="108" s="1"/>
  <c r="I31" i="108"/>
  <c r="K31" i="108" s="1"/>
  <c r="I27" i="108"/>
  <c r="K27" i="108" s="1"/>
  <c r="H150" i="108"/>
  <c r="H160" i="108"/>
  <c r="J160" i="108"/>
  <c r="J150" i="108"/>
  <c r="I23" i="108"/>
  <c r="K23" i="108" s="1"/>
  <c r="I26" i="108"/>
  <c r="K26" i="108" s="1"/>
  <c r="K82" i="108"/>
  <c r="K145" i="108" s="1"/>
  <c r="G98" i="108"/>
  <c r="G146" i="108" s="1"/>
  <c r="J152" i="108" l="1"/>
  <c r="J158" i="108" s="1"/>
  <c r="F147" i="108"/>
  <c r="F152" i="108" s="1"/>
  <c r="D11" i="126"/>
  <c r="G152" i="108"/>
  <c r="G163" i="108" s="1"/>
  <c r="H152" i="108"/>
  <c r="H163" i="108" s="1"/>
  <c r="K160" i="108"/>
  <c r="K56" i="108"/>
  <c r="K64" i="108" s="1"/>
  <c r="K143" i="108" s="1"/>
  <c r="K36" i="108"/>
  <c r="K141" i="108" s="1"/>
  <c r="K108" i="108"/>
  <c r="K147" i="108" s="1"/>
  <c r="I36" i="108"/>
  <c r="I141" i="108" s="1"/>
  <c r="I98" i="108"/>
  <c r="I146" i="108" s="1"/>
  <c r="K98" i="108"/>
  <c r="K146" i="108" s="1"/>
  <c r="I108" i="108"/>
  <c r="I147" i="108" s="1"/>
  <c r="F158" i="108" l="1"/>
  <c r="F163" i="108"/>
  <c r="J163" i="108"/>
  <c r="J166" i="108" s="1"/>
  <c r="G158" i="108"/>
  <c r="H158" i="108"/>
  <c r="I152" i="108"/>
  <c r="I158" i="108" s="1"/>
  <c r="K152" i="108"/>
  <c r="I163" i="108"/>
  <c r="H166" i="108"/>
  <c r="H165" i="108"/>
  <c r="J165" i="108" l="1"/>
  <c r="F11" i="126"/>
  <c r="H11" i="126" s="1"/>
  <c r="I166" i="108"/>
  <c r="I165" i="108"/>
  <c r="K163" i="108"/>
  <c r="F155" i="108"/>
  <c r="K158" i="108"/>
  <c r="F154" i="108"/>
  <c r="I11" i="126" l="1"/>
  <c r="K166" i="108"/>
  <c r="K165" i="108"/>
  <c r="I160" i="107" l="1"/>
  <c r="G160" i="107"/>
  <c r="F160" i="107"/>
  <c r="B158" i="107"/>
  <c r="I150" i="107"/>
  <c r="J149" i="107"/>
  <c r="F149" i="107"/>
  <c r="G144" i="107"/>
  <c r="J137" i="107"/>
  <c r="I137" i="107"/>
  <c r="I149" i="107" s="1"/>
  <c r="H137" i="107"/>
  <c r="H149" i="107" s="1"/>
  <c r="G137" i="107"/>
  <c r="G149" i="107" s="1"/>
  <c r="F137" i="107"/>
  <c r="K135" i="107"/>
  <c r="K134" i="107"/>
  <c r="K133" i="107"/>
  <c r="K137" i="107" s="1"/>
  <c r="K149" i="107" s="1"/>
  <c r="K132" i="107"/>
  <c r="K131" i="107"/>
  <c r="F125" i="107"/>
  <c r="F121" i="107"/>
  <c r="F118" i="107"/>
  <c r="F117" i="107"/>
  <c r="F114" i="107"/>
  <c r="I105" i="107" s="1"/>
  <c r="K105" i="107" s="1"/>
  <c r="F111" i="107"/>
  <c r="J103" i="107"/>
  <c r="I103" i="107"/>
  <c r="K103" i="107" s="1"/>
  <c r="H103" i="107"/>
  <c r="G103" i="107"/>
  <c r="F103" i="107"/>
  <c r="J102" i="107"/>
  <c r="J108" i="107" s="1"/>
  <c r="J147" i="107" s="1"/>
  <c r="I102" i="107"/>
  <c r="H102" i="107"/>
  <c r="H108" i="107" s="1"/>
  <c r="H147" i="107" s="1"/>
  <c r="G102" i="107"/>
  <c r="F102" i="107"/>
  <c r="F108" i="107" s="1"/>
  <c r="K93" i="107"/>
  <c r="J92" i="107"/>
  <c r="I92" i="107"/>
  <c r="H92" i="107"/>
  <c r="G92" i="107"/>
  <c r="F92" i="107"/>
  <c r="J91" i="107"/>
  <c r="I91" i="107"/>
  <c r="H91" i="107"/>
  <c r="G91" i="107"/>
  <c r="F91" i="107"/>
  <c r="K90" i="107"/>
  <c r="K89" i="107"/>
  <c r="J88" i="107"/>
  <c r="I88" i="107"/>
  <c r="H88" i="107"/>
  <c r="G88" i="107"/>
  <c r="F88" i="107"/>
  <c r="J87" i="107"/>
  <c r="I87" i="107"/>
  <c r="H87" i="107"/>
  <c r="G87" i="107"/>
  <c r="F87" i="107"/>
  <c r="K80" i="107"/>
  <c r="J79" i="107"/>
  <c r="K79" i="107" s="1"/>
  <c r="I79" i="107"/>
  <c r="H79" i="107"/>
  <c r="G79" i="107"/>
  <c r="F79" i="107"/>
  <c r="K78" i="107"/>
  <c r="J77" i="107"/>
  <c r="I77" i="107"/>
  <c r="H77" i="107"/>
  <c r="H82" i="107" s="1"/>
  <c r="H145" i="107" s="1"/>
  <c r="G77" i="107"/>
  <c r="F77" i="107"/>
  <c r="J74" i="107"/>
  <c r="J144" i="107" s="1"/>
  <c r="I74" i="107"/>
  <c r="I144" i="107" s="1"/>
  <c r="H74" i="107"/>
  <c r="H144" i="107" s="1"/>
  <c r="G74" i="107"/>
  <c r="F74" i="107"/>
  <c r="F144" i="107" s="1"/>
  <c r="K72" i="107"/>
  <c r="K71" i="107"/>
  <c r="K70" i="107"/>
  <c r="K69" i="107"/>
  <c r="K68" i="107"/>
  <c r="K74" i="107" s="1"/>
  <c r="K144" i="107" s="1"/>
  <c r="H61" i="107"/>
  <c r="H60" i="107"/>
  <c r="G60" i="107"/>
  <c r="F60" i="107"/>
  <c r="H58" i="107"/>
  <c r="H57" i="107"/>
  <c r="I57" i="107" s="1"/>
  <c r="H56" i="107"/>
  <c r="J55" i="107"/>
  <c r="H55" i="107"/>
  <c r="G55" i="107"/>
  <c r="F55" i="107"/>
  <c r="H54" i="107"/>
  <c r="J53" i="107"/>
  <c r="I53" i="107"/>
  <c r="H53" i="107"/>
  <c r="G53" i="107"/>
  <c r="F53" i="107"/>
  <c r="K47" i="107"/>
  <c r="K46" i="107"/>
  <c r="K45" i="107"/>
  <c r="K44" i="107"/>
  <c r="J43" i="107"/>
  <c r="K32" i="60" s="1"/>
  <c r="I43" i="107"/>
  <c r="H43" i="107"/>
  <c r="G43" i="107"/>
  <c r="F43" i="107"/>
  <c r="K42" i="107"/>
  <c r="J41" i="107"/>
  <c r="K30" i="60" s="1"/>
  <c r="I41" i="107"/>
  <c r="H41" i="107"/>
  <c r="G41" i="107"/>
  <c r="F41" i="107"/>
  <c r="K40" i="107"/>
  <c r="I34" i="107"/>
  <c r="K34" i="107" s="1"/>
  <c r="K33" i="107"/>
  <c r="K32" i="107"/>
  <c r="K31" i="107"/>
  <c r="K30" i="107"/>
  <c r="K29" i="107"/>
  <c r="K28" i="107"/>
  <c r="K27" i="107"/>
  <c r="K26" i="107"/>
  <c r="K25" i="107"/>
  <c r="J24" i="107"/>
  <c r="I24" i="107"/>
  <c r="H24" i="107"/>
  <c r="G24" i="107"/>
  <c r="F24" i="107"/>
  <c r="K23" i="107"/>
  <c r="J22" i="107"/>
  <c r="I22" i="107"/>
  <c r="H22" i="107"/>
  <c r="G22" i="107"/>
  <c r="F22" i="107"/>
  <c r="J21" i="107"/>
  <c r="I21" i="107"/>
  <c r="H21" i="107"/>
  <c r="G21" i="107"/>
  <c r="F21" i="107"/>
  <c r="J160" i="107"/>
  <c r="H160" i="107"/>
  <c r="C7" i="107"/>
  <c r="I58" i="107" l="1"/>
  <c r="I86" i="107"/>
  <c r="K86" i="107" s="1"/>
  <c r="I94" i="107"/>
  <c r="K94" i="107" s="1"/>
  <c r="I104" i="107"/>
  <c r="K104" i="107" s="1"/>
  <c r="I59" i="107"/>
  <c r="K59" i="107" s="1"/>
  <c r="I61" i="107"/>
  <c r="K61" i="107" s="1"/>
  <c r="F98" i="107"/>
  <c r="F146" i="107" s="1"/>
  <c r="J98" i="107"/>
  <c r="J146" i="107" s="1"/>
  <c r="I95" i="107"/>
  <c r="K95" i="107" s="1"/>
  <c r="I106" i="107"/>
  <c r="K106" i="107" s="1"/>
  <c r="G64" i="107"/>
  <c r="G143" i="107" s="1"/>
  <c r="F82" i="107"/>
  <c r="F145" i="107" s="1"/>
  <c r="J82" i="107"/>
  <c r="J145" i="107" s="1"/>
  <c r="G108" i="107"/>
  <c r="G147" i="107" s="1"/>
  <c r="F36" i="107"/>
  <c r="F141" i="107" s="1"/>
  <c r="J36" i="107"/>
  <c r="J141" i="107" s="1"/>
  <c r="I36" i="107"/>
  <c r="I141" i="107" s="1"/>
  <c r="K43" i="107"/>
  <c r="K49" i="107" s="1"/>
  <c r="K142" i="107" s="1"/>
  <c r="I56" i="107"/>
  <c r="K56" i="107" s="1"/>
  <c r="I62" i="107"/>
  <c r="K62" i="107" s="1"/>
  <c r="H98" i="107"/>
  <c r="H146" i="107" s="1"/>
  <c r="I96" i="107"/>
  <c r="K96" i="107" s="1"/>
  <c r="I49" i="107"/>
  <c r="I142" i="107" s="1"/>
  <c r="G49" i="107"/>
  <c r="G142" i="107" s="1"/>
  <c r="K148" i="107"/>
  <c r="K161" i="107" s="1"/>
  <c r="M26" i="126"/>
  <c r="E26" i="126"/>
  <c r="F49" i="107"/>
  <c r="F142" i="107" s="1"/>
  <c r="J49" i="107"/>
  <c r="J142" i="107" s="1"/>
  <c r="J64" i="107"/>
  <c r="J143" i="107" s="1"/>
  <c r="I82" i="107"/>
  <c r="I145" i="107" s="1"/>
  <c r="F147" i="107"/>
  <c r="D26" i="126"/>
  <c r="C26" i="126"/>
  <c r="G36" i="107"/>
  <c r="G141" i="107" s="1"/>
  <c r="H64" i="107"/>
  <c r="H143" i="107" s="1"/>
  <c r="G98" i="107"/>
  <c r="G146" i="107" s="1"/>
  <c r="K21" i="107"/>
  <c r="H36" i="107"/>
  <c r="H141" i="107" s="1"/>
  <c r="K24" i="107"/>
  <c r="F64" i="107"/>
  <c r="F143" i="107" s="1"/>
  <c r="G82" i="107"/>
  <c r="G145" i="107" s="1"/>
  <c r="K91" i="107"/>
  <c r="K41" i="107"/>
  <c r="K53" i="107"/>
  <c r="K57" i="107"/>
  <c r="I60" i="107"/>
  <c r="K60" i="107" s="1"/>
  <c r="K77" i="107"/>
  <c r="K82" i="107" s="1"/>
  <c r="K145" i="107" s="1"/>
  <c r="K88" i="107"/>
  <c r="K92" i="107"/>
  <c r="F119" i="107"/>
  <c r="I54" i="107"/>
  <c r="K54" i="107" s="1"/>
  <c r="I108" i="107"/>
  <c r="I147" i="107" s="1"/>
  <c r="F123" i="107"/>
  <c r="F127" i="107" s="1"/>
  <c r="J150" i="107"/>
  <c r="K18" i="107"/>
  <c r="K22" i="107"/>
  <c r="K36" i="107" s="1"/>
  <c r="K141" i="107" s="1"/>
  <c r="K58" i="107"/>
  <c r="K102" i="107"/>
  <c r="H150" i="107"/>
  <c r="H49" i="107"/>
  <c r="H142" i="107" s="1"/>
  <c r="I55" i="107"/>
  <c r="K55" i="107" s="1"/>
  <c r="K87" i="107"/>
  <c r="K108" i="107" l="1"/>
  <c r="K147" i="107" s="1"/>
  <c r="F152" i="107"/>
  <c r="F158" i="107" s="1"/>
  <c r="I98" i="107"/>
  <c r="I146" i="107" s="1"/>
  <c r="H152" i="107"/>
  <c r="H158" i="107" s="1"/>
  <c r="G152" i="107"/>
  <c r="G163" i="107" s="1"/>
  <c r="J152" i="107"/>
  <c r="J158" i="107" s="1"/>
  <c r="J163" i="107"/>
  <c r="J166" i="107" s="1"/>
  <c r="K98" i="107"/>
  <c r="K146" i="107" s="1"/>
  <c r="C58" i="126"/>
  <c r="C56" i="126"/>
  <c r="K64" i="107"/>
  <c r="K143" i="107" s="1"/>
  <c r="F163" i="107"/>
  <c r="I64" i="107"/>
  <c r="I143" i="107" s="1"/>
  <c r="I152" i="107" s="1"/>
  <c r="K150" i="107"/>
  <c r="K160" i="107"/>
  <c r="G158" i="107" l="1"/>
  <c r="H163" i="107"/>
  <c r="H165" i="107" s="1"/>
  <c r="J165" i="107"/>
  <c r="K152" i="107"/>
  <c r="K158" i="107" s="1"/>
  <c r="F26" i="126"/>
  <c r="H26" i="126" s="1"/>
  <c r="I163" i="107"/>
  <c r="I158" i="107"/>
  <c r="K163" i="107"/>
  <c r="F155" i="107"/>
  <c r="F154" i="107" l="1"/>
  <c r="H166" i="107"/>
  <c r="I26" i="126"/>
  <c r="K166" i="107"/>
  <c r="K165" i="107"/>
  <c r="I166" i="107"/>
  <c r="I165" i="107"/>
  <c r="J150" i="106" l="1"/>
  <c r="I150" i="106"/>
  <c r="H150" i="106"/>
  <c r="J149" i="106"/>
  <c r="H149" i="106"/>
  <c r="F149" i="106"/>
  <c r="K148" i="106"/>
  <c r="I143" i="106"/>
  <c r="G143" i="106"/>
  <c r="I142" i="106"/>
  <c r="G142" i="106"/>
  <c r="G141" i="106"/>
  <c r="J137" i="106"/>
  <c r="I137" i="106"/>
  <c r="I149" i="106" s="1"/>
  <c r="H137" i="106"/>
  <c r="G137" i="106"/>
  <c r="G149" i="106" s="1"/>
  <c r="F137" i="106"/>
  <c r="K135" i="106"/>
  <c r="K134" i="106"/>
  <c r="K133" i="106"/>
  <c r="K132" i="106"/>
  <c r="K131" i="106"/>
  <c r="K137" i="106" s="1"/>
  <c r="K149" i="106" s="1"/>
  <c r="F119" i="106"/>
  <c r="J108" i="106"/>
  <c r="J147" i="106" s="1"/>
  <c r="I108" i="106"/>
  <c r="I147" i="106" s="1"/>
  <c r="H108" i="106"/>
  <c r="H147" i="106" s="1"/>
  <c r="G108" i="106"/>
  <c r="G147" i="106" s="1"/>
  <c r="F108" i="106"/>
  <c r="F147" i="106" s="1"/>
  <c r="K106" i="106"/>
  <c r="I106" i="106"/>
  <c r="K105" i="106"/>
  <c r="I105" i="106"/>
  <c r="K104" i="106"/>
  <c r="I104" i="106"/>
  <c r="K103" i="106"/>
  <c r="K108" i="106" s="1"/>
  <c r="K147" i="106" s="1"/>
  <c r="K102" i="106"/>
  <c r="J98" i="106"/>
  <c r="J146" i="106" s="1"/>
  <c r="I98" i="106"/>
  <c r="I146" i="106" s="1"/>
  <c r="H98" i="106"/>
  <c r="H146" i="106" s="1"/>
  <c r="G98" i="106"/>
  <c r="G146" i="106" s="1"/>
  <c r="F98" i="106"/>
  <c r="F146" i="106" s="1"/>
  <c r="K96" i="106"/>
  <c r="I96" i="106"/>
  <c r="K95" i="106"/>
  <c r="I95" i="106"/>
  <c r="K94" i="106"/>
  <c r="I94" i="106"/>
  <c r="K93" i="106"/>
  <c r="I93" i="106"/>
  <c r="K92" i="106"/>
  <c r="I92" i="106"/>
  <c r="K91" i="106"/>
  <c r="I91" i="106"/>
  <c r="K90" i="106"/>
  <c r="I90" i="106"/>
  <c r="K89" i="106"/>
  <c r="I89" i="106"/>
  <c r="K88" i="106"/>
  <c r="I88" i="106"/>
  <c r="K87" i="106"/>
  <c r="I87" i="106"/>
  <c r="K86" i="106"/>
  <c r="K98" i="106" s="1"/>
  <c r="K146" i="106" s="1"/>
  <c r="I86" i="106"/>
  <c r="J82" i="106"/>
  <c r="J145" i="106" s="1"/>
  <c r="I82" i="106"/>
  <c r="I145" i="106" s="1"/>
  <c r="H82" i="106"/>
  <c r="H145" i="106" s="1"/>
  <c r="G82" i="106"/>
  <c r="G145" i="106" s="1"/>
  <c r="F82" i="106"/>
  <c r="F145" i="106" s="1"/>
  <c r="K80" i="106"/>
  <c r="K79" i="106"/>
  <c r="K78" i="106"/>
  <c r="K82" i="106" s="1"/>
  <c r="K145" i="106" s="1"/>
  <c r="K77" i="106"/>
  <c r="J74" i="106"/>
  <c r="J144" i="106" s="1"/>
  <c r="I74" i="106"/>
  <c r="I144" i="106" s="1"/>
  <c r="H74" i="106"/>
  <c r="H144" i="106" s="1"/>
  <c r="G74" i="106"/>
  <c r="G144" i="106" s="1"/>
  <c r="F74" i="106"/>
  <c r="F144" i="106" s="1"/>
  <c r="K72" i="106"/>
  <c r="K71" i="106"/>
  <c r="K70" i="106"/>
  <c r="K69" i="106"/>
  <c r="K68" i="106"/>
  <c r="K74" i="106" s="1"/>
  <c r="K144" i="106" s="1"/>
  <c r="J64" i="106"/>
  <c r="J143" i="106" s="1"/>
  <c r="I64" i="106"/>
  <c r="H64" i="106"/>
  <c r="H143" i="106" s="1"/>
  <c r="G64" i="106"/>
  <c r="F64" i="106"/>
  <c r="F143" i="106" s="1"/>
  <c r="K62" i="106"/>
  <c r="K61" i="106"/>
  <c r="K60" i="106"/>
  <c r="K59" i="106"/>
  <c r="K58" i="106"/>
  <c r="K57" i="106"/>
  <c r="K56" i="106"/>
  <c r="K55" i="106"/>
  <c r="K54" i="106"/>
  <c r="K53" i="106"/>
  <c r="K64" i="106" s="1"/>
  <c r="K143" i="106" s="1"/>
  <c r="J49" i="106"/>
  <c r="J142" i="106" s="1"/>
  <c r="I49" i="106"/>
  <c r="H49" i="106"/>
  <c r="H142" i="106" s="1"/>
  <c r="G49" i="106"/>
  <c r="F49" i="106"/>
  <c r="F142" i="106" s="1"/>
  <c r="K47" i="106"/>
  <c r="K46" i="106"/>
  <c r="K45" i="106"/>
  <c r="K44" i="106"/>
  <c r="K43" i="106"/>
  <c r="K42" i="106"/>
  <c r="K41" i="106"/>
  <c r="K40" i="106"/>
  <c r="K49" i="106" s="1"/>
  <c r="K142" i="106" s="1"/>
  <c r="J36" i="106"/>
  <c r="J141" i="106" s="1"/>
  <c r="J152" i="106" s="1"/>
  <c r="H36" i="106"/>
  <c r="H141" i="106" s="1"/>
  <c r="G36" i="106"/>
  <c r="F36" i="106"/>
  <c r="F141" i="106" s="1"/>
  <c r="I34" i="106"/>
  <c r="K34" i="106" s="1"/>
  <c r="I33" i="106"/>
  <c r="K33" i="106" s="1"/>
  <c r="I32" i="106"/>
  <c r="K32" i="106" s="1"/>
  <c r="I31" i="106"/>
  <c r="K31" i="106" s="1"/>
  <c r="I30" i="106"/>
  <c r="K30" i="106" s="1"/>
  <c r="I29" i="106"/>
  <c r="K29" i="106" s="1"/>
  <c r="I28" i="106"/>
  <c r="K28" i="106" s="1"/>
  <c r="I27" i="106"/>
  <c r="K27" i="106" s="1"/>
  <c r="I26" i="106"/>
  <c r="K26" i="106" s="1"/>
  <c r="I25" i="106"/>
  <c r="K25" i="106" s="1"/>
  <c r="I24" i="106"/>
  <c r="K24" i="106" s="1"/>
  <c r="I23" i="106"/>
  <c r="K23" i="106" s="1"/>
  <c r="I22" i="106"/>
  <c r="I36" i="106" s="1"/>
  <c r="I141" i="106" s="1"/>
  <c r="I152" i="106" s="1"/>
  <c r="K21" i="106"/>
  <c r="K18" i="106"/>
  <c r="K150" i="106" s="1"/>
  <c r="H152" i="106" l="1"/>
  <c r="G152" i="106"/>
  <c r="F152" i="106"/>
  <c r="K22" i="106"/>
  <c r="K36" i="106" s="1"/>
  <c r="K141" i="106" s="1"/>
  <c r="K152" i="106" s="1"/>
  <c r="F155" i="106" l="1"/>
  <c r="F154" i="106"/>
  <c r="K150" i="105" l="1"/>
  <c r="J150" i="105"/>
  <c r="I150" i="105"/>
  <c r="H150" i="105"/>
  <c r="G149" i="105"/>
  <c r="K148" i="105"/>
  <c r="J147" i="105"/>
  <c r="G147" i="105"/>
  <c r="F147" i="105"/>
  <c r="J145" i="105"/>
  <c r="G145" i="105"/>
  <c r="F145" i="105"/>
  <c r="I144" i="105"/>
  <c r="H144" i="105"/>
  <c r="J143" i="105"/>
  <c r="H143" i="105"/>
  <c r="G143" i="105"/>
  <c r="F143" i="105"/>
  <c r="H142" i="105"/>
  <c r="J141" i="105"/>
  <c r="J152" i="105" s="1"/>
  <c r="F141" i="105"/>
  <c r="J137" i="105"/>
  <c r="J149" i="105" s="1"/>
  <c r="I137" i="105"/>
  <c r="I149" i="105" s="1"/>
  <c r="H137" i="105"/>
  <c r="H149" i="105" s="1"/>
  <c r="G137" i="105"/>
  <c r="F137" i="105"/>
  <c r="F149" i="105" s="1"/>
  <c r="K135" i="105"/>
  <c r="K134" i="105"/>
  <c r="K133" i="105"/>
  <c r="K132" i="105"/>
  <c r="K131" i="105"/>
  <c r="K137" i="105" s="1"/>
  <c r="K149" i="105" s="1"/>
  <c r="F119" i="105"/>
  <c r="J108" i="105"/>
  <c r="H108" i="105"/>
  <c r="H147" i="105" s="1"/>
  <c r="G108" i="105"/>
  <c r="F108" i="105"/>
  <c r="I106" i="105"/>
  <c r="K106" i="105" s="1"/>
  <c r="I105" i="105"/>
  <c r="K105" i="105" s="1"/>
  <c r="I104" i="105"/>
  <c r="K104" i="105" s="1"/>
  <c r="I103" i="105"/>
  <c r="K103" i="105" s="1"/>
  <c r="I102" i="105"/>
  <c r="I108" i="105" s="1"/>
  <c r="I147" i="105" s="1"/>
  <c r="J98" i="105"/>
  <c r="J146" i="105" s="1"/>
  <c r="H98" i="105"/>
  <c r="H146" i="105" s="1"/>
  <c r="G98" i="105"/>
  <c r="G146" i="105" s="1"/>
  <c r="F98" i="105"/>
  <c r="F146" i="105" s="1"/>
  <c r="I96" i="105"/>
  <c r="K96" i="105" s="1"/>
  <c r="I95" i="105"/>
  <c r="K95" i="105" s="1"/>
  <c r="I94" i="105"/>
  <c r="K94" i="105" s="1"/>
  <c r="I93" i="105"/>
  <c r="K93" i="105" s="1"/>
  <c r="I92" i="105"/>
  <c r="K92" i="105" s="1"/>
  <c r="I91" i="105"/>
  <c r="K91" i="105" s="1"/>
  <c r="I90" i="105"/>
  <c r="K90" i="105" s="1"/>
  <c r="I89" i="105"/>
  <c r="K89" i="105" s="1"/>
  <c r="I88" i="105"/>
  <c r="K88" i="105" s="1"/>
  <c r="I87" i="105"/>
  <c r="K87" i="105" s="1"/>
  <c r="I86" i="105"/>
  <c r="I98" i="105" s="1"/>
  <c r="I146" i="105" s="1"/>
  <c r="J82" i="105"/>
  <c r="I82" i="105"/>
  <c r="I145" i="105" s="1"/>
  <c r="H82" i="105"/>
  <c r="H145" i="105" s="1"/>
  <c r="G82" i="105"/>
  <c r="F82" i="105"/>
  <c r="K80" i="105"/>
  <c r="K79" i="105"/>
  <c r="K78" i="105"/>
  <c r="K77" i="105"/>
  <c r="K82" i="105" s="1"/>
  <c r="K145" i="105" s="1"/>
  <c r="J74" i="105"/>
  <c r="J144" i="105" s="1"/>
  <c r="I74" i="105"/>
  <c r="H74" i="105"/>
  <c r="G74" i="105"/>
  <c r="G144" i="105" s="1"/>
  <c r="F74" i="105"/>
  <c r="F144" i="105" s="1"/>
  <c r="K72" i="105"/>
  <c r="K71" i="105"/>
  <c r="K70" i="105"/>
  <c r="K69" i="105"/>
  <c r="K74" i="105" s="1"/>
  <c r="K144" i="105" s="1"/>
  <c r="K68" i="105"/>
  <c r="J64" i="105"/>
  <c r="I64" i="105"/>
  <c r="I143" i="105" s="1"/>
  <c r="H64" i="105"/>
  <c r="G64" i="105"/>
  <c r="F64" i="105"/>
  <c r="K62" i="105"/>
  <c r="K61" i="105"/>
  <c r="K60" i="105"/>
  <c r="K59" i="105"/>
  <c r="K58" i="105"/>
  <c r="K57" i="105"/>
  <c r="K56" i="105"/>
  <c r="K55" i="105"/>
  <c r="K54" i="105"/>
  <c r="K64" i="105" s="1"/>
  <c r="K143" i="105" s="1"/>
  <c r="K53" i="105"/>
  <c r="J49" i="105"/>
  <c r="J142" i="105" s="1"/>
  <c r="I49" i="105"/>
  <c r="I142" i="105" s="1"/>
  <c r="H49" i="105"/>
  <c r="G49" i="105"/>
  <c r="G142" i="105" s="1"/>
  <c r="F49" i="105"/>
  <c r="F142" i="105" s="1"/>
  <c r="K47" i="105"/>
  <c r="K46" i="105"/>
  <c r="K45" i="105"/>
  <c r="K44" i="105"/>
  <c r="K43" i="105"/>
  <c r="K42" i="105"/>
  <c r="K41" i="105"/>
  <c r="K40" i="105"/>
  <c r="K49" i="105" s="1"/>
  <c r="K142" i="105" s="1"/>
  <c r="J36" i="105"/>
  <c r="H36" i="105"/>
  <c r="H141" i="105" s="1"/>
  <c r="H152" i="105" s="1"/>
  <c r="G36" i="105"/>
  <c r="G141" i="105" s="1"/>
  <c r="F36" i="105"/>
  <c r="I34" i="105"/>
  <c r="K34" i="105" s="1"/>
  <c r="K33" i="105"/>
  <c r="I33" i="105"/>
  <c r="K32" i="105"/>
  <c r="I31" i="105"/>
  <c r="K31" i="105" s="1"/>
  <c r="I30" i="105"/>
  <c r="K30" i="105" s="1"/>
  <c r="I29" i="105"/>
  <c r="K29" i="105" s="1"/>
  <c r="I28" i="105"/>
  <c r="K28" i="105" s="1"/>
  <c r="I27" i="105"/>
  <c r="K27" i="105" s="1"/>
  <c r="I26" i="105"/>
  <c r="K26" i="105" s="1"/>
  <c r="I25" i="105"/>
  <c r="K25" i="105" s="1"/>
  <c r="I24" i="105"/>
  <c r="K24" i="105" s="1"/>
  <c r="I23" i="105"/>
  <c r="K23" i="105" s="1"/>
  <c r="I22" i="105"/>
  <c r="K22" i="105" s="1"/>
  <c r="I21" i="105"/>
  <c r="I36" i="105" s="1"/>
  <c r="I141" i="105" s="1"/>
  <c r="K18" i="105"/>
  <c r="F152" i="105" l="1"/>
  <c r="I152" i="105"/>
  <c r="G152" i="105"/>
  <c r="K21" i="105"/>
  <c r="K36" i="105" s="1"/>
  <c r="K141" i="105" s="1"/>
  <c r="K86" i="105"/>
  <c r="K98" i="105" s="1"/>
  <c r="K146" i="105" s="1"/>
  <c r="K102" i="105"/>
  <c r="K108" i="105" s="1"/>
  <c r="K147" i="105" s="1"/>
  <c r="K152" i="105" l="1"/>
  <c r="F154" i="105" l="1"/>
  <c r="F155" i="105"/>
  <c r="K18" i="104" l="1"/>
  <c r="I21" i="104"/>
  <c r="K21" i="104"/>
  <c r="I22" i="104"/>
  <c r="K22" i="104" s="1"/>
  <c r="I23" i="104"/>
  <c r="K23" i="104"/>
  <c r="I24" i="104"/>
  <c r="K24" i="104" s="1"/>
  <c r="I25" i="104"/>
  <c r="K25" i="104"/>
  <c r="I26" i="104"/>
  <c r="K26" i="104" s="1"/>
  <c r="I27" i="104"/>
  <c r="K27" i="104"/>
  <c r="I28" i="104"/>
  <c r="K28" i="104" s="1"/>
  <c r="I29" i="104"/>
  <c r="K29" i="104"/>
  <c r="I30" i="104"/>
  <c r="K30" i="104" s="1"/>
  <c r="I31" i="104"/>
  <c r="K31" i="104"/>
  <c r="I32" i="104"/>
  <c r="K32" i="104" s="1"/>
  <c r="I33" i="104"/>
  <c r="K33" i="104"/>
  <c r="I34" i="104"/>
  <c r="K34" i="104" s="1"/>
  <c r="F36" i="104"/>
  <c r="G36" i="104"/>
  <c r="G141" i="104" s="1"/>
  <c r="G152" i="104" s="1"/>
  <c r="H36" i="104"/>
  <c r="I36" i="104"/>
  <c r="J36" i="104"/>
  <c r="K40" i="104"/>
  <c r="K41" i="104"/>
  <c r="I42" i="104"/>
  <c r="K42" i="104"/>
  <c r="K49" i="104" s="1"/>
  <c r="K142" i="104" s="1"/>
  <c r="K43" i="104"/>
  <c r="K44" i="104"/>
  <c r="K45" i="104"/>
  <c r="K46" i="104"/>
  <c r="K47" i="104"/>
  <c r="F49" i="104"/>
  <c r="G49" i="104"/>
  <c r="H49" i="104"/>
  <c r="H142" i="104" s="1"/>
  <c r="I49" i="104"/>
  <c r="J49" i="104"/>
  <c r="I53" i="104"/>
  <c r="I64" i="104" s="1"/>
  <c r="I143" i="104" s="1"/>
  <c r="K54" i="104"/>
  <c r="K55" i="104"/>
  <c r="K56" i="104"/>
  <c r="K57" i="104"/>
  <c r="K58" i="104"/>
  <c r="K59" i="104"/>
  <c r="K60" i="104"/>
  <c r="K61" i="104"/>
  <c r="K62" i="104"/>
  <c r="F64" i="104"/>
  <c r="G64" i="104"/>
  <c r="G143" i="104" s="1"/>
  <c r="H64" i="104"/>
  <c r="J64" i="104"/>
  <c r="K68" i="104"/>
  <c r="K69" i="104"/>
  <c r="K70" i="104"/>
  <c r="K71" i="104"/>
  <c r="K74" i="104" s="1"/>
  <c r="K144" i="104" s="1"/>
  <c r="K72" i="104"/>
  <c r="F74" i="104"/>
  <c r="G74" i="104"/>
  <c r="H74" i="104"/>
  <c r="H144" i="104" s="1"/>
  <c r="I74" i="104"/>
  <c r="J74" i="104"/>
  <c r="K77" i="104"/>
  <c r="K78" i="104"/>
  <c r="I79" i="104"/>
  <c r="K79" i="104" s="1"/>
  <c r="K80" i="104"/>
  <c r="F82" i="104"/>
  <c r="G82" i="104"/>
  <c r="H82" i="104"/>
  <c r="I82" i="104"/>
  <c r="J82" i="104"/>
  <c r="I86" i="104"/>
  <c r="K86" i="104"/>
  <c r="K98" i="104" s="1"/>
  <c r="K146" i="104" s="1"/>
  <c r="I87" i="104"/>
  <c r="K87" i="104"/>
  <c r="I88" i="104"/>
  <c r="K88" i="104"/>
  <c r="I89" i="104"/>
  <c r="K89" i="104"/>
  <c r="I90" i="104"/>
  <c r="K90" i="104"/>
  <c r="I91" i="104"/>
  <c r="K91" i="104"/>
  <c r="I92" i="104"/>
  <c r="K92" i="104"/>
  <c r="I93" i="104"/>
  <c r="K93" i="104"/>
  <c r="I94" i="104"/>
  <c r="K94" i="104"/>
  <c r="I95" i="104"/>
  <c r="K95" i="104"/>
  <c r="I96" i="104"/>
  <c r="K96" i="104"/>
  <c r="F98" i="104"/>
  <c r="G98" i="104"/>
  <c r="H98" i="104"/>
  <c r="I98" i="104"/>
  <c r="I146" i="104" s="1"/>
  <c r="J98" i="104"/>
  <c r="I102" i="104"/>
  <c r="K102" i="104"/>
  <c r="K108" i="104" s="1"/>
  <c r="K147" i="104" s="1"/>
  <c r="I103" i="104"/>
  <c r="K103" i="104"/>
  <c r="I104" i="104"/>
  <c r="K104" i="104"/>
  <c r="I105" i="104"/>
  <c r="K105" i="104"/>
  <c r="I106" i="104"/>
  <c r="K106" i="104"/>
  <c r="F108" i="104"/>
  <c r="G108" i="104"/>
  <c r="H108" i="104"/>
  <c r="I108" i="104"/>
  <c r="J108" i="104"/>
  <c r="F119" i="104"/>
  <c r="F123" i="104"/>
  <c r="F127" i="104" s="1"/>
  <c r="K131" i="104"/>
  <c r="K132" i="104"/>
  <c r="K133" i="104"/>
  <c r="K134" i="104"/>
  <c r="K135" i="104"/>
  <c r="F137" i="104"/>
  <c r="G137" i="104"/>
  <c r="G149" i="104" s="1"/>
  <c r="H137" i="104"/>
  <c r="I137" i="104"/>
  <c r="J137" i="104"/>
  <c r="K137" i="104"/>
  <c r="K149" i="104" s="1"/>
  <c r="F141" i="104"/>
  <c r="H141" i="104"/>
  <c r="I141" i="104"/>
  <c r="I152" i="104" s="1"/>
  <c r="J141" i="104"/>
  <c r="F142" i="104"/>
  <c r="G142" i="104"/>
  <c r="I142" i="104"/>
  <c r="J142" i="104"/>
  <c r="F143" i="104"/>
  <c r="H143" i="104"/>
  <c r="J143" i="104"/>
  <c r="F144" i="104"/>
  <c r="G144" i="104"/>
  <c r="I144" i="104"/>
  <c r="J144" i="104"/>
  <c r="F145" i="104"/>
  <c r="G145" i="104"/>
  <c r="H145" i="104"/>
  <c r="I145" i="104"/>
  <c r="J145" i="104"/>
  <c r="F146" i="104"/>
  <c r="G146" i="104"/>
  <c r="H146" i="104"/>
  <c r="J146" i="104"/>
  <c r="F147" i="104"/>
  <c r="G147" i="104"/>
  <c r="H147" i="104"/>
  <c r="I147" i="104"/>
  <c r="J147" i="104"/>
  <c r="K148" i="104"/>
  <c r="F149" i="104"/>
  <c r="F152" i="104" s="1"/>
  <c r="H149" i="104"/>
  <c r="I149" i="104"/>
  <c r="J149" i="104"/>
  <c r="J152" i="104" s="1"/>
  <c r="H150" i="104"/>
  <c r="I150" i="104"/>
  <c r="J150" i="104"/>
  <c r="K150" i="104"/>
  <c r="K36" i="104" l="1"/>
  <c r="K141" i="104" s="1"/>
  <c r="K152" i="104" s="1"/>
  <c r="K82" i="104"/>
  <c r="K145" i="104" s="1"/>
  <c r="H152" i="104"/>
  <c r="K53" i="104"/>
  <c r="K64" i="104" s="1"/>
  <c r="K143" i="104" s="1"/>
  <c r="J150" i="103"/>
  <c r="I150" i="103"/>
  <c r="H150" i="103"/>
  <c r="J149" i="103"/>
  <c r="F149" i="103"/>
  <c r="K148" i="103"/>
  <c r="I143" i="103"/>
  <c r="J141" i="103"/>
  <c r="F141" i="103"/>
  <c r="J137" i="103"/>
  <c r="I137" i="103"/>
  <c r="I149" i="103" s="1"/>
  <c r="H137" i="103"/>
  <c r="H149" i="103" s="1"/>
  <c r="G137" i="103"/>
  <c r="G149" i="103" s="1"/>
  <c r="F137" i="103"/>
  <c r="K135" i="103"/>
  <c r="K134" i="103"/>
  <c r="K133" i="103"/>
  <c r="K137" i="103" s="1"/>
  <c r="K149" i="103" s="1"/>
  <c r="K132" i="103"/>
  <c r="K131" i="103"/>
  <c r="F123" i="103"/>
  <c r="F127" i="103" s="1"/>
  <c r="F119" i="103"/>
  <c r="J108" i="103"/>
  <c r="J147" i="103" s="1"/>
  <c r="I108" i="103"/>
  <c r="I147" i="103" s="1"/>
  <c r="H108" i="103"/>
  <c r="H147" i="103" s="1"/>
  <c r="G108" i="103"/>
  <c r="G147" i="103" s="1"/>
  <c r="F108" i="103"/>
  <c r="F147" i="103" s="1"/>
  <c r="K106" i="103"/>
  <c r="I106" i="103"/>
  <c r="I105" i="103"/>
  <c r="K105" i="103" s="1"/>
  <c r="K104" i="103"/>
  <c r="K103" i="103"/>
  <c r="I103" i="103"/>
  <c r="K102" i="103"/>
  <c r="K108" i="103" s="1"/>
  <c r="K147" i="103" s="1"/>
  <c r="J98" i="103"/>
  <c r="J146" i="103" s="1"/>
  <c r="H98" i="103"/>
  <c r="H146" i="103" s="1"/>
  <c r="G98" i="103"/>
  <c r="G146" i="103" s="1"/>
  <c r="F98" i="103"/>
  <c r="F146" i="103" s="1"/>
  <c r="I96" i="103"/>
  <c r="K96" i="103" s="1"/>
  <c r="K95" i="103"/>
  <c r="I95" i="103"/>
  <c r="I94" i="103"/>
  <c r="K94" i="103" s="1"/>
  <c r="K93" i="103"/>
  <c r="K92" i="103"/>
  <c r="I91" i="103"/>
  <c r="K91" i="103" s="1"/>
  <c r="K90" i="103"/>
  <c r="I90" i="103"/>
  <c r="I89" i="103"/>
  <c r="K89" i="103" s="1"/>
  <c r="K88" i="103"/>
  <c r="I88" i="103"/>
  <c r="I87" i="103"/>
  <c r="K87" i="103" s="1"/>
  <c r="K86" i="103"/>
  <c r="I86" i="103"/>
  <c r="I98" i="103" s="1"/>
  <c r="I146" i="103" s="1"/>
  <c r="J82" i="103"/>
  <c r="J145" i="103" s="1"/>
  <c r="I82" i="103"/>
  <c r="I145" i="103" s="1"/>
  <c r="H82" i="103"/>
  <c r="H145" i="103" s="1"/>
  <c r="G82" i="103"/>
  <c r="G145" i="103" s="1"/>
  <c r="F82" i="103"/>
  <c r="F145" i="103" s="1"/>
  <c r="K80" i="103"/>
  <c r="K79" i="103"/>
  <c r="K78" i="103"/>
  <c r="K77" i="103"/>
  <c r="K82" i="103" s="1"/>
  <c r="K145" i="103" s="1"/>
  <c r="J74" i="103"/>
  <c r="J144" i="103" s="1"/>
  <c r="I74" i="103"/>
  <c r="I144" i="103" s="1"/>
  <c r="H74" i="103"/>
  <c r="H144" i="103" s="1"/>
  <c r="G74" i="103"/>
  <c r="G144" i="103" s="1"/>
  <c r="F74" i="103"/>
  <c r="F144" i="103" s="1"/>
  <c r="K72" i="103"/>
  <c r="K71" i="103"/>
  <c r="K70" i="103"/>
  <c r="K74" i="103" s="1"/>
  <c r="K144" i="103" s="1"/>
  <c r="K69" i="103"/>
  <c r="K68" i="103"/>
  <c r="J64" i="103"/>
  <c r="J143" i="103" s="1"/>
  <c r="I64" i="103"/>
  <c r="H64" i="103"/>
  <c r="H143" i="103" s="1"/>
  <c r="G64" i="103"/>
  <c r="G143" i="103" s="1"/>
  <c r="F64" i="103"/>
  <c r="F143" i="103" s="1"/>
  <c r="K62" i="103"/>
  <c r="K61" i="103"/>
  <c r="K60" i="103"/>
  <c r="K59" i="103"/>
  <c r="K58" i="103"/>
  <c r="K57" i="103"/>
  <c r="K56" i="103"/>
  <c r="K55" i="103"/>
  <c r="K64" i="103" s="1"/>
  <c r="K143" i="103" s="1"/>
  <c r="K54" i="103"/>
  <c r="K53" i="103"/>
  <c r="F53" i="103"/>
  <c r="J49" i="103"/>
  <c r="J142" i="103" s="1"/>
  <c r="H49" i="103"/>
  <c r="H142" i="103" s="1"/>
  <c r="G49" i="103"/>
  <c r="G142" i="103" s="1"/>
  <c r="F49" i="103"/>
  <c r="F142" i="103" s="1"/>
  <c r="K47" i="103"/>
  <c r="I46" i="103"/>
  <c r="K46" i="103" s="1"/>
  <c r="I45" i="103"/>
  <c r="K45" i="103" s="1"/>
  <c r="K44" i="103"/>
  <c r="K43" i="103"/>
  <c r="K42" i="103"/>
  <c r="G42" i="103"/>
  <c r="K41" i="103"/>
  <c r="K40" i="103"/>
  <c r="K49" i="103" s="1"/>
  <c r="K142" i="103" s="1"/>
  <c r="J36" i="103"/>
  <c r="H36" i="103"/>
  <c r="H141" i="103" s="1"/>
  <c r="G36" i="103"/>
  <c r="G141" i="103" s="1"/>
  <c r="F36" i="103"/>
  <c r="I34" i="103"/>
  <c r="K34" i="103" s="1"/>
  <c r="I33" i="103"/>
  <c r="K33" i="103" s="1"/>
  <c r="I32" i="103"/>
  <c r="K32" i="103" s="1"/>
  <c r="I31" i="103"/>
  <c r="K31" i="103" s="1"/>
  <c r="K30" i="103"/>
  <c r="K29" i="103"/>
  <c r="I28" i="103"/>
  <c r="K28" i="103" s="1"/>
  <c r="I27" i="103"/>
  <c r="K27" i="103" s="1"/>
  <c r="I26" i="103"/>
  <c r="K26" i="103" s="1"/>
  <c r="I25" i="103"/>
  <c r="K25" i="103" s="1"/>
  <c r="K24" i="103"/>
  <c r="I23" i="103"/>
  <c r="K23" i="103" s="1"/>
  <c r="K22" i="103"/>
  <c r="I22" i="103"/>
  <c r="K21" i="103"/>
  <c r="K18" i="103"/>
  <c r="K150" i="103" s="1"/>
  <c r="F155" i="104" l="1"/>
  <c r="F154" i="104"/>
  <c r="J152" i="103"/>
  <c r="K36" i="103"/>
  <c r="K141" i="103" s="1"/>
  <c r="K152" i="103" s="1"/>
  <c r="G152" i="103"/>
  <c r="H152" i="103"/>
  <c r="K98" i="103"/>
  <c r="K146" i="103" s="1"/>
  <c r="F152" i="103"/>
  <c r="I36" i="103"/>
  <c r="I141" i="103" s="1"/>
  <c r="I49" i="103"/>
  <c r="I142" i="103" s="1"/>
  <c r="I152" i="103" l="1"/>
  <c r="F155" i="103"/>
  <c r="F154" i="103"/>
  <c r="J150" i="102" l="1"/>
  <c r="I150" i="102"/>
  <c r="H150" i="102"/>
  <c r="H149" i="102"/>
  <c r="K148" i="102"/>
  <c r="G145" i="102"/>
  <c r="I144" i="102"/>
  <c r="G143" i="102"/>
  <c r="I142" i="102"/>
  <c r="G141" i="102"/>
  <c r="J137" i="102"/>
  <c r="J149" i="102" s="1"/>
  <c r="I137" i="102"/>
  <c r="I149" i="102" s="1"/>
  <c r="H137" i="102"/>
  <c r="G137" i="102"/>
  <c r="G149" i="102" s="1"/>
  <c r="F137" i="102"/>
  <c r="F149" i="102" s="1"/>
  <c r="K135" i="102"/>
  <c r="K134" i="102"/>
  <c r="K133" i="102"/>
  <c r="K132" i="102"/>
  <c r="K131" i="102"/>
  <c r="K137" i="102" s="1"/>
  <c r="K149" i="102" s="1"/>
  <c r="F119" i="102"/>
  <c r="F123" i="102" s="1"/>
  <c r="F127" i="102" s="1"/>
  <c r="J108" i="102"/>
  <c r="J147" i="102" s="1"/>
  <c r="G108" i="102"/>
  <c r="G147" i="102" s="1"/>
  <c r="F108" i="102"/>
  <c r="F147" i="102" s="1"/>
  <c r="I106" i="102"/>
  <c r="K106" i="102" s="1"/>
  <c r="K105" i="102"/>
  <c r="I105" i="102"/>
  <c r="I104" i="102"/>
  <c r="K104" i="102" s="1"/>
  <c r="K103" i="102"/>
  <c r="I103" i="102"/>
  <c r="H102" i="102"/>
  <c r="J98" i="102"/>
  <c r="J146" i="102" s="1"/>
  <c r="H98" i="102"/>
  <c r="H146" i="102" s="1"/>
  <c r="G98" i="102"/>
  <c r="G146" i="102" s="1"/>
  <c r="F98" i="102"/>
  <c r="F146" i="102" s="1"/>
  <c r="I96" i="102"/>
  <c r="K96" i="102" s="1"/>
  <c r="I95" i="102"/>
  <c r="K95" i="102" s="1"/>
  <c r="I94" i="102"/>
  <c r="K94" i="102" s="1"/>
  <c r="I93" i="102"/>
  <c r="K93" i="102" s="1"/>
  <c r="I92" i="102"/>
  <c r="K92" i="102" s="1"/>
  <c r="I91" i="102"/>
  <c r="K91" i="102" s="1"/>
  <c r="I90" i="102"/>
  <c r="K90" i="102" s="1"/>
  <c r="I89" i="102"/>
  <c r="K89" i="102" s="1"/>
  <c r="I88" i="102"/>
  <c r="K88" i="102" s="1"/>
  <c r="I87" i="102"/>
  <c r="K87" i="102" s="1"/>
  <c r="I86" i="102"/>
  <c r="I98" i="102" s="1"/>
  <c r="I146" i="102" s="1"/>
  <c r="J82" i="102"/>
  <c r="J145" i="102" s="1"/>
  <c r="I82" i="102"/>
  <c r="I145" i="102" s="1"/>
  <c r="H82" i="102"/>
  <c r="H145" i="102" s="1"/>
  <c r="G82" i="102"/>
  <c r="F82" i="102"/>
  <c r="F145" i="102" s="1"/>
  <c r="K80" i="102"/>
  <c r="K79" i="102"/>
  <c r="K78" i="102"/>
  <c r="K77" i="102"/>
  <c r="K82" i="102" s="1"/>
  <c r="K145" i="102" s="1"/>
  <c r="J74" i="102"/>
  <c r="J144" i="102" s="1"/>
  <c r="I74" i="102"/>
  <c r="H74" i="102"/>
  <c r="H144" i="102" s="1"/>
  <c r="G74" i="102"/>
  <c r="G144" i="102" s="1"/>
  <c r="F74" i="102"/>
  <c r="F144" i="102" s="1"/>
  <c r="K72" i="102"/>
  <c r="K71" i="102"/>
  <c r="K70" i="102"/>
  <c r="K69" i="102"/>
  <c r="K68" i="102"/>
  <c r="K74" i="102" s="1"/>
  <c r="K144" i="102" s="1"/>
  <c r="J64" i="102"/>
  <c r="J143" i="102" s="1"/>
  <c r="I64" i="102"/>
  <c r="I143" i="102" s="1"/>
  <c r="G64" i="102"/>
  <c r="F64" i="102"/>
  <c r="F143" i="102" s="1"/>
  <c r="K62" i="102"/>
  <c r="K61" i="102"/>
  <c r="K60" i="102"/>
  <c r="K59" i="102"/>
  <c r="K58" i="102"/>
  <c r="K57" i="102"/>
  <c r="K56" i="102"/>
  <c r="K55" i="102"/>
  <c r="K54" i="102"/>
  <c r="H53" i="102"/>
  <c r="H64" i="102" s="1"/>
  <c r="H143" i="102" s="1"/>
  <c r="J49" i="102"/>
  <c r="J142" i="102" s="1"/>
  <c r="I49" i="102"/>
  <c r="G49" i="102"/>
  <c r="G142" i="102" s="1"/>
  <c r="F49" i="102"/>
  <c r="F142" i="102" s="1"/>
  <c r="K47" i="102"/>
  <c r="K46" i="102"/>
  <c r="K45" i="102"/>
  <c r="K44" i="102"/>
  <c r="K43" i="102"/>
  <c r="K42" i="102"/>
  <c r="K41" i="102"/>
  <c r="K40" i="102"/>
  <c r="K49" i="102" s="1"/>
  <c r="K142" i="102" s="1"/>
  <c r="H40" i="102"/>
  <c r="H49" i="102" s="1"/>
  <c r="H142" i="102" s="1"/>
  <c r="J36" i="102"/>
  <c r="J141" i="102" s="1"/>
  <c r="I36" i="102"/>
  <c r="I141" i="102" s="1"/>
  <c r="H36" i="102"/>
  <c r="H141" i="102" s="1"/>
  <c r="G36" i="102"/>
  <c r="F36" i="102"/>
  <c r="F141" i="102" s="1"/>
  <c r="K34" i="102"/>
  <c r="I34" i="102"/>
  <c r="I33" i="102"/>
  <c r="K33" i="102" s="1"/>
  <c r="K32" i="102"/>
  <c r="I32" i="102"/>
  <c r="I31" i="102"/>
  <c r="K31" i="102" s="1"/>
  <c r="K30" i="102"/>
  <c r="I30" i="102"/>
  <c r="I29" i="102"/>
  <c r="K29" i="102" s="1"/>
  <c r="K28" i="102"/>
  <c r="I28" i="102"/>
  <c r="I27" i="102"/>
  <c r="K27" i="102" s="1"/>
  <c r="K26" i="102"/>
  <c r="I26" i="102"/>
  <c r="I25" i="102"/>
  <c r="K25" i="102" s="1"/>
  <c r="K24" i="102"/>
  <c r="I24" i="102"/>
  <c r="I23" i="102"/>
  <c r="K23" i="102" s="1"/>
  <c r="K22" i="102"/>
  <c r="I22" i="102"/>
  <c r="I21" i="102"/>
  <c r="K21" i="102" s="1"/>
  <c r="K18" i="102"/>
  <c r="K150" i="102" s="1"/>
  <c r="K36" i="102" l="1"/>
  <c r="K141" i="102" s="1"/>
  <c r="G152" i="102"/>
  <c r="F152" i="102"/>
  <c r="J152" i="102"/>
  <c r="K86" i="102"/>
  <c r="K98" i="102" s="1"/>
  <c r="K146" i="102" s="1"/>
  <c r="I102" i="102"/>
  <c r="I108" i="102" s="1"/>
  <c r="I147" i="102" s="1"/>
  <c r="I152" i="102" s="1"/>
  <c r="H108" i="102"/>
  <c r="H147" i="102" s="1"/>
  <c r="H152" i="102" s="1"/>
  <c r="K53" i="102"/>
  <c r="K64" i="102" s="1"/>
  <c r="K143" i="102" s="1"/>
  <c r="K152" i="102" l="1"/>
  <c r="K102" i="102"/>
  <c r="K108" i="102" s="1"/>
  <c r="K147" i="102" s="1"/>
  <c r="F155" i="102" l="1"/>
  <c r="F154" i="102"/>
  <c r="J150" i="101" l="1"/>
  <c r="I150" i="101"/>
  <c r="H150" i="101"/>
  <c r="G149" i="101"/>
  <c r="K148" i="101"/>
  <c r="J147" i="101"/>
  <c r="G147" i="101"/>
  <c r="F147" i="101"/>
  <c r="J145" i="101"/>
  <c r="G145" i="101"/>
  <c r="F145" i="101"/>
  <c r="I144" i="101"/>
  <c r="H144" i="101"/>
  <c r="J143" i="101"/>
  <c r="H143" i="101"/>
  <c r="G143" i="101"/>
  <c r="F143" i="101"/>
  <c r="J141" i="101"/>
  <c r="G141" i="101"/>
  <c r="F141" i="101"/>
  <c r="J137" i="101"/>
  <c r="J149" i="101" s="1"/>
  <c r="I137" i="101"/>
  <c r="I149" i="101" s="1"/>
  <c r="H137" i="101"/>
  <c r="H149" i="101" s="1"/>
  <c r="G137" i="101"/>
  <c r="F137" i="101"/>
  <c r="F149" i="101" s="1"/>
  <c r="K135" i="101"/>
  <c r="K134" i="101"/>
  <c r="K133" i="101"/>
  <c r="K132" i="101"/>
  <c r="K131" i="101"/>
  <c r="F119" i="101"/>
  <c r="J108" i="101"/>
  <c r="H108" i="101"/>
  <c r="H147" i="101" s="1"/>
  <c r="G108" i="101"/>
  <c r="F108" i="101"/>
  <c r="I106" i="101"/>
  <c r="K106" i="101" s="1"/>
  <c r="I105" i="101"/>
  <c r="K105" i="101" s="1"/>
  <c r="I104" i="101"/>
  <c r="K104" i="101" s="1"/>
  <c r="I103" i="101"/>
  <c r="K103" i="101" s="1"/>
  <c r="I102" i="101"/>
  <c r="J98" i="101"/>
  <c r="J146" i="101" s="1"/>
  <c r="H98" i="101"/>
  <c r="H146" i="101" s="1"/>
  <c r="G98" i="101"/>
  <c r="G146" i="101" s="1"/>
  <c r="F98" i="101"/>
  <c r="F146" i="101" s="1"/>
  <c r="I96" i="101"/>
  <c r="K96" i="101" s="1"/>
  <c r="I95" i="101"/>
  <c r="K95" i="101" s="1"/>
  <c r="I94" i="101"/>
  <c r="K94" i="101" s="1"/>
  <c r="I93" i="101"/>
  <c r="K93" i="101" s="1"/>
  <c r="I92" i="101"/>
  <c r="K92" i="101" s="1"/>
  <c r="I91" i="101"/>
  <c r="K91" i="101" s="1"/>
  <c r="I90" i="101"/>
  <c r="K90" i="101" s="1"/>
  <c r="I89" i="101"/>
  <c r="K89" i="101" s="1"/>
  <c r="I88" i="101"/>
  <c r="K88" i="101" s="1"/>
  <c r="I87" i="101"/>
  <c r="K87" i="101" s="1"/>
  <c r="I86" i="101"/>
  <c r="J82" i="101"/>
  <c r="I82" i="101"/>
  <c r="I145" i="101" s="1"/>
  <c r="H82" i="101"/>
  <c r="H145" i="101" s="1"/>
  <c r="G82" i="101"/>
  <c r="F82" i="101"/>
  <c r="K80" i="101"/>
  <c r="K79" i="101"/>
  <c r="K78" i="101"/>
  <c r="K77" i="101"/>
  <c r="K82" i="101" s="1"/>
  <c r="K145" i="101" s="1"/>
  <c r="J74" i="101"/>
  <c r="J144" i="101" s="1"/>
  <c r="I74" i="101"/>
  <c r="H74" i="101"/>
  <c r="G74" i="101"/>
  <c r="G144" i="101" s="1"/>
  <c r="F74" i="101"/>
  <c r="F144" i="101" s="1"/>
  <c r="K72" i="101"/>
  <c r="K71" i="101"/>
  <c r="K70" i="101"/>
  <c r="K69" i="101"/>
  <c r="K74" i="101" s="1"/>
  <c r="K144" i="101" s="1"/>
  <c r="K68" i="101"/>
  <c r="J64" i="101"/>
  <c r="I64" i="101"/>
  <c r="I143" i="101" s="1"/>
  <c r="H64" i="101"/>
  <c r="G64" i="101"/>
  <c r="F64" i="101"/>
  <c r="K62" i="101"/>
  <c r="K61" i="101"/>
  <c r="K60" i="101"/>
  <c r="K59" i="101"/>
  <c r="K58" i="101"/>
  <c r="K57" i="101"/>
  <c r="K56" i="101"/>
  <c r="K55" i="101"/>
  <c r="K54" i="101"/>
  <c r="K64" i="101" s="1"/>
  <c r="K143" i="101" s="1"/>
  <c r="K53" i="101"/>
  <c r="J49" i="101"/>
  <c r="J142" i="101" s="1"/>
  <c r="G49" i="101"/>
  <c r="G142" i="101" s="1"/>
  <c r="F49" i="101"/>
  <c r="F142" i="101" s="1"/>
  <c r="K47" i="101"/>
  <c r="K46" i="101"/>
  <c r="K45" i="101"/>
  <c r="K44" i="101"/>
  <c r="K43" i="101"/>
  <c r="H42" i="101"/>
  <c r="K41" i="101"/>
  <c r="H41" i="101"/>
  <c r="I41" i="101" s="1"/>
  <c r="I40" i="101"/>
  <c r="K40" i="101" s="1"/>
  <c r="H40" i="101"/>
  <c r="H49" i="101" s="1"/>
  <c r="H142" i="101" s="1"/>
  <c r="J36" i="101"/>
  <c r="G36" i="101"/>
  <c r="F36" i="101"/>
  <c r="K34" i="101"/>
  <c r="I34" i="101"/>
  <c r="I33" i="101"/>
  <c r="K33" i="101" s="1"/>
  <c r="K32" i="101"/>
  <c r="I31" i="101"/>
  <c r="K31" i="101" s="1"/>
  <c r="H30" i="101"/>
  <c r="K30" i="101" s="1"/>
  <c r="I29" i="101"/>
  <c r="K29" i="101" s="1"/>
  <c r="I28" i="101"/>
  <c r="K28" i="101" s="1"/>
  <c r="H27" i="101"/>
  <c r="K26" i="101"/>
  <c r="I26" i="101"/>
  <c r="K25" i="101"/>
  <c r="I24" i="101"/>
  <c r="K24" i="101" s="1"/>
  <c r="I23" i="101"/>
  <c r="K23" i="101" s="1"/>
  <c r="I22" i="101"/>
  <c r="K22" i="101" s="1"/>
  <c r="H21" i="101"/>
  <c r="H36" i="101" s="1"/>
  <c r="H141" i="101" s="1"/>
  <c r="H152" i="101" s="1"/>
  <c r="K18" i="101"/>
  <c r="K150" i="101" s="1"/>
  <c r="J150" i="100"/>
  <c r="I150" i="100"/>
  <c r="H150" i="100"/>
  <c r="I149" i="100"/>
  <c r="K148" i="100"/>
  <c r="J146" i="100"/>
  <c r="F146" i="100"/>
  <c r="H143" i="100"/>
  <c r="J142" i="100"/>
  <c r="F142" i="100"/>
  <c r="H141" i="100"/>
  <c r="J137" i="100"/>
  <c r="J149" i="100" s="1"/>
  <c r="I137" i="100"/>
  <c r="H137" i="100"/>
  <c r="H149" i="100" s="1"/>
  <c r="G137" i="100"/>
  <c r="G149" i="100" s="1"/>
  <c r="F137" i="100"/>
  <c r="F149" i="100" s="1"/>
  <c r="K135" i="100"/>
  <c r="K134" i="100"/>
  <c r="K133" i="100"/>
  <c r="K132" i="100"/>
  <c r="K131" i="100"/>
  <c r="K137" i="100" s="1"/>
  <c r="K149" i="100" s="1"/>
  <c r="F119" i="100"/>
  <c r="F123" i="100" s="1"/>
  <c r="F127" i="100" s="1"/>
  <c r="J108" i="100"/>
  <c r="J147" i="100" s="1"/>
  <c r="H108" i="100"/>
  <c r="H147" i="100" s="1"/>
  <c r="G108" i="100"/>
  <c r="G147" i="100" s="1"/>
  <c r="F108" i="100"/>
  <c r="F147" i="100" s="1"/>
  <c r="I106" i="100"/>
  <c r="K106" i="100" s="1"/>
  <c r="I105" i="100"/>
  <c r="K105" i="100" s="1"/>
  <c r="I104" i="100"/>
  <c r="K104" i="100" s="1"/>
  <c r="I103" i="100"/>
  <c r="I108" i="100" s="1"/>
  <c r="I147" i="100" s="1"/>
  <c r="K102" i="100"/>
  <c r="J98" i="100"/>
  <c r="H98" i="100"/>
  <c r="H146" i="100" s="1"/>
  <c r="G98" i="100"/>
  <c r="G146" i="100" s="1"/>
  <c r="F98" i="100"/>
  <c r="K96" i="100"/>
  <c r="I96" i="100"/>
  <c r="K95" i="100"/>
  <c r="I95" i="100"/>
  <c r="K94" i="100"/>
  <c r="I94" i="100"/>
  <c r="K93" i="100"/>
  <c r="K92" i="100"/>
  <c r="K91" i="100"/>
  <c r="I91" i="100"/>
  <c r="K90" i="100"/>
  <c r="I90" i="100"/>
  <c r="K89" i="100"/>
  <c r="I89" i="100"/>
  <c r="K88" i="100"/>
  <c r="I87" i="100"/>
  <c r="K87" i="100" s="1"/>
  <c r="I86" i="100"/>
  <c r="I98" i="100" s="1"/>
  <c r="I146" i="100" s="1"/>
  <c r="J82" i="100"/>
  <c r="J145" i="100" s="1"/>
  <c r="I82" i="100"/>
  <c r="I145" i="100" s="1"/>
  <c r="H82" i="100"/>
  <c r="H145" i="100" s="1"/>
  <c r="G82" i="100"/>
  <c r="G145" i="100" s="1"/>
  <c r="F82" i="100"/>
  <c r="F145" i="100" s="1"/>
  <c r="K80" i="100"/>
  <c r="K79" i="100"/>
  <c r="K78" i="100"/>
  <c r="K77" i="100"/>
  <c r="K82" i="100" s="1"/>
  <c r="K145" i="100" s="1"/>
  <c r="J74" i="100"/>
  <c r="J144" i="100" s="1"/>
  <c r="I74" i="100"/>
  <c r="I144" i="100" s="1"/>
  <c r="H74" i="100"/>
  <c r="H144" i="100" s="1"/>
  <c r="G74" i="100"/>
  <c r="G144" i="100" s="1"/>
  <c r="F74" i="100"/>
  <c r="F144" i="100" s="1"/>
  <c r="K72" i="100"/>
  <c r="K71" i="100"/>
  <c r="K70" i="100"/>
  <c r="K69" i="100"/>
  <c r="K68" i="100"/>
  <c r="K74" i="100" s="1"/>
  <c r="K144" i="100" s="1"/>
  <c r="J64" i="100"/>
  <c r="J143" i="100" s="1"/>
  <c r="I64" i="100"/>
  <c r="I143" i="100" s="1"/>
  <c r="H64" i="100"/>
  <c r="G64" i="100"/>
  <c r="G143" i="100" s="1"/>
  <c r="F64" i="100"/>
  <c r="F143" i="100" s="1"/>
  <c r="K62" i="100"/>
  <c r="K61" i="100"/>
  <c r="K60" i="100"/>
  <c r="K59" i="100"/>
  <c r="K58" i="100"/>
  <c r="K57" i="100"/>
  <c r="K56" i="100"/>
  <c r="K55" i="100"/>
  <c r="K54" i="100"/>
  <c r="K64" i="100" s="1"/>
  <c r="K143" i="100" s="1"/>
  <c r="K53" i="100"/>
  <c r="J49" i="100"/>
  <c r="I49" i="100"/>
  <c r="I142" i="100" s="1"/>
  <c r="H49" i="100"/>
  <c r="H142" i="100" s="1"/>
  <c r="G49" i="100"/>
  <c r="G142" i="100" s="1"/>
  <c r="F49" i="100"/>
  <c r="K47" i="100"/>
  <c r="K46" i="100"/>
  <c r="K45" i="100"/>
  <c r="K44" i="100"/>
  <c r="K43" i="100"/>
  <c r="K42" i="100"/>
  <c r="K41" i="100"/>
  <c r="K40" i="100"/>
  <c r="K49" i="100" s="1"/>
  <c r="K142" i="100" s="1"/>
  <c r="J36" i="100"/>
  <c r="J141" i="100" s="1"/>
  <c r="H36" i="100"/>
  <c r="G36" i="100"/>
  <c r="G141" i="100" s="1"/>
  <c r="F36" i="100"/>
  <c r="F141" i="100" s="1"/>
  <c r="F152" i="100" s="1"/>
  <c r="I34" i="100"/>
  <c r="K34" i="100" s="1"/>
  <c r="K33" i="100"/>
  <c r="I33" i="100"/>
  <c r="I32" i="100"/>
  <c r="K32" i="100" s="1"/>
  <c r="K31" i="100"/>
  <c r="I31" i="100"/>
  <c r="I30" i="100"/>
  <c r="K30" i="100" s="1"/>
  <c r="K29" i="100"/>
  <c r="I28" i="100"/>
  <c r="K28" i="100" s="1"/>
  <c r="I27" i="100"/>
  <c r="K27" i="100" s="1"/>
  <c r="I26" i="100"/>
  <c r="K26" i="100" s="1"/>
  <c r="K25" i="100"/>
  <c r="K24" i="100"/>
  <c r="K23" i="100"/>
  <c r="I22" i="100"/>
  <c r="I36" i="100" s="1"/>
  <c r="I141" i="100" s="1"/>
  <c r="K21" i="100"/>
  <c r="K18" i="100"/>
  <c r="K150" i="100" s="1"/>
  <c r="G152" i="101" l="1"/>
  <c r="K137" i="101"/>
  <c r="K149" i="101" s="1"/>
  <c r="J152" i="101"/>
  <c r="I108" i="101"/>
  <c r="I147" i="101" s="1"/>
  <c r="K102" i="101"/>
  <c r="K108" i="101" s="1"/>
  <c r="K147" i="101" s="1"/>
  <c r="F152" i="101"/>
  <c r="I98" i="101"/>
  <c r="I146" i="101" s="1"/>
  <c r="K86" i="101"/>
  <c r="K98" i="101" s="1"/>
  <c r="K146" i="101" s="1"/>
  <c r="I21" i="101"/>
  <c r="I36" i="101" s="1"/>
  <c r="I141" i="101" s="1"/>
  <c r="I152" i="101" s="1"/>
  <c r="I27" i="101"/>
  <c r="K27" i="101" s="1"/>
  <c r="I42" i="101"/>
  <c r="I49" i="101" s="1"/>
  <c r="I142" i="101" s="1"/>
  <c r="J152" i="100"/>
  <c r="I152" i="100"/>
  <c r="G152" i="100"/>
  <c r="H152" i="100"/>
  <c r="K103" i="100"/>
  <c r="K108" i="100" s="1"/>
  <c r="K147" i="100" s="1"/>
  <c r="K86" i="100"/>
  <c r="K98" i="100" s="1"/>
  <c r="K146" i="100" s="1"/>
  <c r="K22" i="100"/>
  <c r="K36" i="100" s="1"/>
  <c r="K141" i="100" s="1"/>
  <c r="K152" i="100" s="1"/>
  <c r="K21" i="101" l="1"/>
  <c r="K36" i="101" s="1"/>
  <c r="K141" i="101" s="1"/>
  <c r="K42" i="101"/>
  <c r="K49" i="101" s="1"/>
  <c r="K142" i="101" s="1"/>
  <c r="F155" i="100"/>
  <c r="F154" i="100"/>
  <c r="K152" i="101" l="1"/>
  <c r="F42" i="126" s="1"/>
  <c r="H42" i="126" s="1"/>
  <c r="J150" i="99"/>
  <c r="I150" i="99"/>
  <c r="H150" i="99"/>
  <c r="I149" i="99"/>
  <c r="K148" i="99"/>
  <c r="H147" i="99"/>
  <c r="H145" i="99"/>
  <c r="J144" i="99"/>
  <c r="G144" i="99"/>
  <c r="F144" i="99"/>
  <c r="J142" i="99"/>
  <c r="G142" i="99"/>
  <c r="F142" i="99"/>
  <c r="J137" i="99"/>
  <c r="J149" i="99" s="1"/>
  <c r="I137" i="99"/>
  <c r="H137" i="99"/>
  <c r="H149" i="99" s="1"/>
  <c r="G137" i="99"/>
  <c r="G149" i="99" s="1"/>
  <c r="F137" i="99"/>
  <c r="F149" i="99" s="1"/>
  <c r="K135" i="99"/>
  <c r="K134" i="99"/>
  <c r="K133" i="99"/>
  <c r="K132" i="99"/>
  <c r="K137" i="99" s="1"/>
  <c r="K149" i="99" s="1"/>
  <c r="K131" i="99"/>
  <c r="F119" i="99"/>
  <c r="J108" i="99"/>
  <c r="J147" i="99" s="1"/>
  <c r="H108" i="99"/>
  <c r="G108" i="99"/>
  <c r="G147" i="99" s="1"/>
  <c r="F108" i="99"/>
  <c r="F147" i="99" s="1"/>
  <c r="I106" i="99"/>
  <c r="K106" i="99" s="1"/>
  <c r="I105" i="99"/>
  <c r="K105" i="99" s="1"/>
  <c r="I104" i="99"/>
  <c r="K104" i="99" s="1"/>
  <c r="I103" i="99"/>
  <c r="K103" i="99" s="1"/>
  <c r="I102" i="99"/>
  <c r="I108" i="99" s="1"/>
  <c r="I147" i="99" s="1"/>
  <c r="J98" i="99"/>
  <c r="J146" i="99" s="1"/>
  <c r="H98" i="99"/>
  <c r="H146" i="99" s="1"/>
  <c r="G98" i="99"/>
  <c r="G146" i="99" s="1"/>
  <c r="F98" i="99"/>
  <c r="F146" i="99" s="1"/>
  <c r="I96" i="99"/>
  <c r="K96" i="99" s="1"/>
  <c r="I95" i="99"/>
  <c r="K95" i="99" s="1"/>
  <c r="I94" i="99"/>
  <c r="K94" i="99" s="1"/>
  <c r="I93" i="99"/>
  <c r="K93" i="99" s="1"/>
  <c r="I92" i="99"/>
  <c r="K92" i="99" s="1"/>
  <c r="I91" i="99"/>
  <c r="K91" i="99" s="1"/>
  <c r="I90" i="99"/>
  <c r="K90" i="99" s="1"/>
  <c r="I89" i="99"/>
  <c r="K89" i="99" s="1"/>
  <c r="I88" i="99"/>
  <c r="K88" i="99" s="1"/>
  <c r="I87" i="99"/>
  <c r="K87" i="99" s="1"/>
  <c r="I86" i="99"/>
  <c r="I98" i="99" s="1"/>
  <c r="I146" i="99" s="1"/>
  <c r="J82" i="99"/>
  <c r="J145" i="99" s="1"/>
  <c r="H82" i="99"/>
  <c r="G82" i="99"/>
  <c r="G145" i="99" s="1"/>
  <c r="F82" i="99"/>
  <c r="F145" i="99" s="1"/>
  <c r="K80" i="99"/>
  <c r="I79" i="99"/>
  <c r="K79" i="99" s="1"/>
  <c r="K78" i="99"/>
  <c r="K82" i="99" s="1"/>
  <c r="K145" i="99" s="1"/>
  <c r="K77" i="99"/>
  <c r="J74" i="99"/>
  <c r="I74" i="99"/>
  <c r="I144" i="99" s="1"/>
  <c r="H74" i="99"/>
  <c r="H144" i="99" s="1"/>
  <c r="G74" i="99"/>
  <c r="F74" i="99"/>
  <c r="K72" i="99"/>
  <c r="K71" i="99"/>
  <c r="K70" i="99"/>
  <c r="K69" i="99"/>
  <c r="K68" i="99"/>
  <c r="K74" i="99" s="1"/>
  <c r="K144" i="99" s="1"/>
  <c r="J64" i="99"/>
  <c r="J143" i="99" s="1"/>
  <c r="I64" i="99"/>
  <c r="I143" i="99" s="1"/>
  <c r="H64" i="99"/>
  <c r="H143" i="99" s="1"/>
  <c r="G64" i="99"/>
  <c r="G143" i="99" s="1"/>
  <c r="F64" i="99"/>
  <c r="F143" i="99" s="1"/>
  <c r="K62" i="99"/>
  <c r="K61" i="99"/>
  <c r="K60" i="99"/>
  <c r="K59" i="99"/>
  <c r="K58" i="99"/>
  <c r="K57" i="99"/>
  <c r="K56" i="99"/>
  <c r="K55" i="99"/>
  <c r="K54" i="99"/>
  <c r="K53" i="99"/>
  <c r="K64" i="99" s="1"/>
  <c r="K143" i="99" s="1"/>
  <c r="J49" i="99"/>
  <c r="H49" i="99"/>
  <c r="H142" i="99" s="1"/>
  <c r="G49" i="99"/>
  <c r="F49" i="99"/>
  <c r="K47" i="99"/>
  <c r="K46" i="99"/>
  <c r="K45" i="99"/>
  <c r="K44" i="99"/>
  <c r="K43" i="99"/>
  <c r="K42" i="99"/>
  <c r="I42" i="99"/>
  <c r="I41" i="99"/>
  <c r="K41" i="99" s="1"/>
  <c r="K40" i="99"/>
  <c r="K49" i="99" s="1"/>
  <c r="K142" i="99" s="1"/>
  <c r="J36" i="99"/>
  <c r="J141" i="99" s="1"/>
  <c r="J152" i="99" s="1"/>
  <c r="H36" i="99"/>
  <c r="H141" i="99" s="1"/>
  <c r="G36" i="99"/>
  <c r="G141" i="99" s="1"/>
  <c r="F36" i="99"/>
  <c r="F141" i="99" s="1"/>
  <c r="I34" i="99"/>
  <c r="K34" i="99" s="1"/>
  <c r="I33" i="99"/>
  <c r="K33" i="99" s="1"/>
  <c r="I32" i="99"/>
  <c r="K32" i="99" s="1"/>
  <c r="I31" i="99"/>
  <c r="K31" i="99" s="1"/>
  <c r="I30" i="99"/>
  <c r="K30" i="99" s="1"/>
  <c r="I29" i="99"/>
  <c r="K29" i="99" s="1"/>
  <c r="I28" i="99"/>
  <c r="K28" i="99" s="1"/>
  <c r="I27" i="99"/>
  <c r="K27" i="99" s="1"/>
  <c r="I26" i="99"/>
  <c r="K26" i="99" s="1"/>
  <c r="I25" i="99"/>
  <c r="K25" i="99" s="1"/>
  <c r="I24" i="99"/>
  <c r="K24" i="99" s="1"/>
  <c r="I23" i="99"/>
  <c r="K23" i="99" s="1"/>
  <c r="I22" i="99"/>
  <c r="I36" i="99" s="1"/>
  <c r="I141" i="99" s="1"/>
  <c r="I21" i="99"/>
  <c r="K21" i="99" s="1"/>
  <c r="K18" i="99"/>
  <c r="K150" i="99" s="1"/>
  <c r="I42" i="126" l="1"/>
  <c r="F154" i="101"/>
  <c r="F155" i="101"/>
  <c r="F152" i="99"/>
  <c r="K36" i="99"/>
  <c r="K141" i="99" s="1"/>
  <c r="H152" i="99"/>
  <c r="G152" i="99"/>
  <c r="K22" i="99"/>
  <c r="I82" i="99"/>
  <c r="I145" i="99" s="1"/>
  <c r="K86" i="99"/>
  <c r="K98" i="99" s="1"/>
  <c r="K146" i="99" s="1"/>
  <c r="K102" i="99"/>
  <c r="K108" i="99" s="1"/>
  <c r="K147" i="99" s="1"/>
  <c r="I49" i="99"/>
  <c r="I142" i="99" s="1"/>
  <c r="I152" i="99" s="1"/>
  <c r="K152" i="99" l="1"/>
  <c r="F155" i="99" l="1"/>
  <c r="F154" i="99"/>
  <c r="H18" i="98" l="1"/>
  <c r="I18" i="98"/>
  <c r="J6" i="60" s="1"/>
  <c r="J18" i="98"/>
  <c r="J150" i="98" s="1"/>
  <c r="F21" i="98"/>
  <c r="G21" i="98"/>
  <c r="H21" i="98"/>
  <c r="I21" i="98"/>
  <c r="J21" i="98"/>
  <c r="F22" i="98"/>
  <c r="G22" i="98"/>
  <c r="H22" i="98"/>
  <c r="I22" i="98"/>
  <c r="J22" i="98"/>
  <c r="F23" i="98"/>
  <c r="G23" i="98"/>
  <c r="H23" i="98"/>
  <c r="I23" i="98"/>
  <c r="J23" i="98"/>
  <c r="F24" i="98"/>
  <c r="G24" i="98"/>
  <c r="H24" i="98"/>
  <c r="I24" i="98"/>
  <c r="J24" i="98"/>
  <c r="F25" i="98"/>
  <c r="G25" i="98"/>
  <c r="H25" i="98"/>
  <c r="I25" i="98"/>
  <c r="J25" i="98"/>
  <c r="F26" i="98"/>
  <c r="G26" i="98"/>
  <c r="H26" i="98"/>
  <c r="I26" i="98"/>
  <c r="J26" i="98"/>
  <c r="F27" i="98"/>
  <c r="G27" i="98"/>
  <c r="H27" i="98"/>
  <c r="I27" i="98"/>
  <c r="J27" i="98"/>
  <c r="F28" i="98"/>
  <c r="G28" i="98"/>
  <c r="H28" i="98"/>
  <c r="I28" i="98"/>
  <c r="J28" i="98"/>
  <c r="F29" i="98"/>
  <c r="G29" i="98"/>
  <c r="H29" i="98"/>
  <c r="I29" i="98"/>
  <c r="J29" i="98"/>
  <c r="K40" i="98"/>
  <c r="F41" i="98"/>
  <c r="G41" i="98"/>
  <c r="H41" i="98"/>
  <c r="K41" i="98" s="1"/>
  <c r="I41" i="98"/>
  <c r="I49" i="98" s="1"/>
  <c r="I142" i="98" s="1"/>
  <c r="F42" i="98"/>
  <c r="G42" i="98"/>
  <c r="H42" i="98"/>
  <c r="K42" i="98" s="1"/>
  <c r="F43" i="98"/>
  <c r="G43" i="98"/>
  <c r="H43" i="98"/>
  <c r="K43" i="98" s="1"/>
  <c r="F44" i="98"/>
  <c r="G44" i="98"/>
  <c r="H44" i="98"/>
  <c r="K44" i="98" s="1"/>
  <c r="K45" i="98"/>
  <c r="K46" i="98"/>
  <c r="K47" i="98"/>
  <c r="J49" i="98"/>
  <c r="H53" i="98"/>
  <c r="K53" i="98" s="1"/>
  <c r="F54" i="98"/>
  <c r="G54" i="98"/>
  <c r="H54" i="98"/>
  <c r="K54" i="98" s="1"/>
  <c r="F55" i="98"/>
  <c r="G55" i="98"/>
  <c r="H55" i="98"/>
  <c r="K55" i="98" s="1"/>
  <c r="K56" i="98"/>
  <c r="K57" i="98"/>
  <c r="K58" i="98"/>
  <c r="K59" i="98"/>
  <c r="K60" i="98"/>
  <c r="K61" i="98"/>
  <c r="K62" i="98"/>
  <c r="I64" i="98"/>
  <c r="J64" i="98"/>
  <c r="J143" i="98" s="1"/>
  <c r="H68" i="98"/>
  <c r="I47" i="60" s="1"/>
  <c r="J68" i="98"/>
  <c r="K47" i="60" s="1"/>
  <c r="K69" i="98"/>
  <c r="F70" i="98"/>
  <c r="G49" i="60" s="1"/>
  <c r="G70" i="98"/>
  <c r="H49" i="60" s="1"/>
  <c r="H70" i="98"/>
  <c r="I49" i="60" s="1"/>
  <c r="K71" i="98"/>
  <c r="K72" i="98"/>
  <c r="F74" i="98"/>
  <c r="F144" i="98" s="1"/>
  <c r="I74" i="98"/>
  <c r="F77" i="98"/>
  <c r="G77" i="98"/>
  <c r="H77" i="98"/>
  <c r="I77" i="98"/>
  <c r="J55" i="60" s="1"/>
  <c r="J77" i="98"/>
  <c r="K78" i="98"/>
  <c r="F79" i="98"/>
  <c r="G79" i="98"/>
  <c r="H79" i="98"/>
  <c r="I79" i="98"/>
  <c r="J57" i="60" s="1"/>
  <c r="J79" i="98"/>
  <c r="F80" i="98"/>
  <c r="G80" i="98"/>
  <c r="H80" i="98"/>
  <c r="I80" i="98"/>
  <c r="J58" i="60" s="1"/>
  <c r="J80" i="98"/>
  <c r="F86" i="98"/>
  <c r="G86" i="98"/>
  <c r="H86" i="98"/>
  <c r="I86" i="98"/>
  <c r="J86" i="98"/>
  <c r="F88" i="98"/>
  <c r="G88" i="98"/>
  <c r="H88" i="98"/>
  <c r="I88" i="98"/>
  <c r="J88" i="98"/>
  <c r="J98" i="98"/>
  <c r="J146" i="98" s="1"/>
  <c r="F102" i="98"/>
  <c r="F108" i="98" s="1"/>
  <c r="G102" i="98"/>
  <c r="G108" i="98" s="1"/>
  <c r="G147" i="98" s="1"/>
  <c r="H102" i="98"/>
  <c r="H108" i="98" s="1"/>
  <c r="H147" i="98" s="1"/>
  <c r="I102" i="98"/>
  <c r="J102" i="98"/>
  <c r="J108" i="98" s="1"/>
  <c r="J147" i="98" s="1"/>
  <c r="F111" i="98"/>
  <c r="F114" i="98"/>
  <c r="I31" i="98" s="1"/>
  <c r="K31" i="98" s="1"/>
  <c r="F117" i="98"/>
  <c r="F118" i="98"/>
  <c r="F121" i="98"/>
  <c r="F125" i="98"/>
  <c r="K131" i="98"/>
  <c r="K137" i="98" s="1"/>
  <c r="K149" i="98" s="1"/>
  <c r="K132" i="98"/>
  <c r="K133" i="98"/>
  <c r="K134" i="98"/>
  <c r="K135" i="98"/>
  <c r="F137" i="98"/>
  <c r="F149" i="98" s="1"/>
  <c r="G137" i="98"/>
  <c r="H137" i="98"/>
  <c r="I137" i="98"/>
  <c r="J137" i="98"/>
  <c r="J149" i="98" s="1"/>
  <c r="J142" i="98"/>
  <c r="I143" i="98"/>
  <c r="I144" i="98"/>
  <c r="K148" i="98"/>
  <c r="G149" i="98"/>
  <c r="H149" i="98"/>
  <c r="I149" i="98"/>
  <c r="H150" i="98"/>
  <c r="I150" i="98" l="1"/>
  <c r="F49" i="98"/>
  <c r="F142" i="98" s="1"/>
  <c r="G98" i="98"/>
  <c r="G146" i="98" s="1"/>
  <c r="F98" i="98"/>
  <c r="F146" i="98" s="1"/>
  <c r="G49" i="98"/>
  <c r="G142" i="98" s="1"/>
  <c r="K28" i="98"/>
  <c r="K18" i="98"/>
  <c r="K150" i="98" s="1"/>
  <c r="G74" i="98"/>
  <c r="G144" i="98" s="1"/>
  <c r="M38" i="126"/>
  <c r="I93" i="98"/>
  <c r="K93" i="98" s="1"/>
  <c r="K64" i="98"/>
  <c r="K143" i="98" s="1"/>
  <c r="K24" i="98"/>
  <c r="F147" i="98"/>
  <c r="D38" i="126"/>
  <c r="J82" i="98"/>
  <c r="J145" i="98" s="1"/>
  <c r="F82" i="98"/>
  <c r="F145" i="98" s="1"/>
  <c r="H74" i="98"/>
  <c r="H144" i="98" s="1"/>
  <c r="K68" i="98"/>
  <c r="L47" i="60" s="1"/>
  <c r="G64" i="98"/>
  <c r="G143" i="98" s="1"/>
  <c r="K26" i="98"/>
  <c r="K22" i="98"/>
  <c r="I87" i="98"/>
  <c r="K87" i="98" s="1"/>
  <c r="E38" i="126"/>
  <c r="I91" i="98"/>
  <c r="K91" i="98" s="1"/>
  <c r="I82" i="98"/>
  <c r="I145" i="98" s="1"/>
  <c r="J74" i="98"/>
  <c r="J144" i="98" s="1"/>
  <c r="K27" i="98"/>
  <c r="K88" i="98"/>
  <c r="H49" i="98"/>
  <c r="H142" i="98" s="1"/>
  <c r="K49" i="98"/>
  <c r="K142" i="98" s="1"/>
  <c r="G36" i="98"/>
  <c r="G141" i="98" s="1"/>
  <c r="K21" i="98"/>
  <c r="I105" i="98"/>
  <c r="K105" i="98" s="1"/>
  <c r="I89" i="98"/>
  <c r="K89" i="98" s="1"/>
  <c r="K80" i="98"/>
  <c r="K79" i="98"/>
  <c r="H64" i="98"/>
  <c r="H143" i="98" s="1"/>
  <c r="F64" i="98"/>
  <c r="F143" i="98" s="1"/>
  <c r="H36" i="98"/>
  <c r="H141" i="98" s="1"/>
  <c r="K23" i="98"/>
  <c r="J36" i="98"/>
  <c r="J141" i="98" s="1"/>
  <c r="F36" i="98"/>
  <c r="F141" i="98" s="1"/>
  <c r="F119" i="98"/>
  <c r="F123" i="98" s="1"/>
  <c r="F127" i="98" s="1"/>
  <c r="K77" i="98"/>
  <c r="K29" i="98"/>
  <c r="I103" i="98"/>
  <c r="K103" i="98" s="1"/>
  <c r="I95" i="98"/>
  <c r="K95" i="98" s="1"/>
  <c r="H98" i="98"/>
  <c r="H146" i="98" s="1"/>
  <c r="G82" i="98"/>
  <c r="G145" i="98" s="1"/>
  <c r="K70" i="98"/>
  <c r="L49" i="60" s="1"/>
  <c r="K25" i="98"/>
  <c r="K102" i="98"/>
  <c r="K86" i="98"/>
  <c r="I32" i="98"/>
  <c r="K32" i="98" s="1"/>
  <c r="I106" i="98"/>
  <c r="K106" i="98" s="1"/>
  <c r="I104" i="98"/>
  <c r="K104" i="98" s="1"/>
  <c r="I96" i="98"/>
  <c r="K96" i="98" s="1"/>
  <c r="I94" i="98"/>
  <c r="K94" i="98" s="1"/>
  <c r="I92" i="98"/>
  <c r="K92" i="98" s="1"/>
  <c r="I90" i="98"/>
  <c r="K90" i="98" s="1"/>
  <c r="H82" i="98"/>
  <c r="H145" i="98" s="1"/>
  <c r="I34" i="98"/>
  <c r="K34" i="98" s="1"/>
  <c r="I30" i="98"/>
  <c r="I33" i="98"/>
  <c r="K33" i="98" s="1"/>
  <c r="J150" i="97"/>
  <c r="I150" i="97"/>
  <c r="H150" i="97"/>
  <c r="I149" i="97"/>
  <c r="K148" i="97"/>
  <c r="J146" i="97"/>
  <c r="G146" i="97"/>
  <c r="F146" i="97"/>
  <c r="J144" i="97"/>
  <c r="F144" i="97"/>
  <c r="J142" i="97"/>
  <c r="G142" i="97"/>
  <c r="F142" i="97"/>
  <c r="J137" i="97"/>
  <c r="J149" i="97" s="1"/>
  <c r="I137" i="97"/>
  <c r="H137" i="97"/>
  <c r="H149" i="97" s="1"/>
  <c r="G137" i="97"/>
  <c r="G149" i="97" s="1"/>
  <c r="F137" i="97"/>
  <c r="F149" i="97" s="1"/>
  <c r="K135" i="97"/>
  <c r="K134" i="97"/>
  <c r="K133" i="97"/>
  <c r="K132" i="97"/>
  <c r="K137" i="97" s="1"/>
  <c r="K149" i="97" s="1"/>
  <c r="K131" i="97"/>
  <c r="F119" i="97"/>
  <c r="F123" i="97" s="1"/>
  <c r="F127" i="97" s="1"/>
  <c r="J108" i="97"/>
  <c r="J147" i="97" s="1"/>
  <c r="H108" i="97"/>
  <c r="H147" i="97" s="1"/>
  <c r="G108" i="97"/>
  <c r="G147" i="97" s="1"/>
  <c r="F108" i="97"/>
  <c r="F147" i="97" s="1"/>
  <c r="I106" i="97"/>
  <c r="K106" i="97" s="1"/>
  <c r="I105" i="97"/>
  <c r="K105" i="97" s="1"/>
  <c r="I104" i="97"/>
  <c r="K104" i="97" s="1"/>
  <c r="I103" i="97"/>
  <c r="K103" i="97" s="1"/>
  <c r="I102" i="97"/>
  <c r="K102" i="97" s="1"/>
  <c r="J98" i="97"/>
  <c r="H98" i="97"/>
  <c r="H146" i="97" s="1"/>
  <c r="G98" i="97"/>
  <c r="F98" i="97"/>
  <c r="I96" i="97"/>
  <c r="K96" i="97" s="1"/>
  <c r="I95" i="97"/>
  <c r="K95" i="97" s="1"/>
  <c r="I94" i="97"/>
  <c r="K94" i="97" s="1"/>
  <c r="I93" i="97"/>
  <c r="K93" i="97" s="1"/>
  <c r="I92" i="97"/>
  <c r="K92" i="97" s="1"/>
  <c r="I91" i="97"/>
  <c r="K91" i="97" s="1"/>
  <c r="I90" i="97"/>
  <c r="K90" i="97" s="1"/>
  <c r="I89" i="97"/>
  <c r="K89" i="97" s="1"/>
  <c r="I88" i="97"/>
  <c r="K88" i="97" s="1"/>
  <c r="I87" i="97"/>
  <c r="K87" i="97" s="1"/>
  <c r="I86" i="97"/>
  <c r="I98" i="97" s="1"/>
  <c r="I146" i="97" s="1"/>
  <c r="J82" i="97"/>
  <c r="J145" i="97" s="1"/>
  <c r="I82" i="97"/>
  <c r="I145" i="97" s="1"/>
  <c r="H82" i="97"/>
  <c r="H145" i="97" s="1"/>
  <c r="G82" i="97"/>
  <c r="G145" i="97" s="1"/>
  <c r="F82" i="97"/>
  <c r="F145" i="97" s="1"/>
  <c r="K80" i="97"/>
  <c r="K79" i="97"/>
  <c r="I79" i="97"/>
  <c r="K78" i="97"/>
  <c r="K77" i="97"/>
  <c r="K82" i="97" s="1"/>
  <c r="K145" i="97" s="1"/>
  <c r="J74" i="97"/>
  <c r="H74" i="97"/>
  <c r="H144" i="97" s="1"/>
  <c r="G74" i="97"/>
  <c r="G144" i="97" s="1"/>
  <c r="F74" i="97"/>
  <c r="K72" i="97"/>
  <c r="K71" i="97"/>
  <c r="K70" i="97"/>
  <c r="I70" i="97"/>
  <c r="K69" i="97"/>
  <c r="I68" i="97"/>
  <c r="I74" i="97" s="1"/>
  <c r="I144" i="97" s="1"/>
  <c r="J64" i="97"/>
  <c r="J143" i="97" s="1"/>
  <c r="H64" i="97"/>
  <c r="H143" i="97" s="1"/>
  <c r="G64" i="97"/>
  <c r="G143" i="97" s="1"/>
  <c r="F64" i="97"/>
  <c r="F143" i="97" s="1"/>
  <c r="K62" i="97"/>
  <c r="K61" i="97"/>
  <c r="K60" i="97"/>
  <c r="K59" i="97"/>
  <c r="K58" i="97"/>
  <c r="K57" i="97"/>
  <c r="I56" i="97"/>
  <c r="K56" i="97" s="1"/>
  <c r="I55" i="97"/>
  <c r="K55" i="97" s="1"/>
  <c r="I54" i="97"/>
  <c r="K54" i="97" s="1"/>
  <c r="I53" i="97"/>
  <c r="I64" i="97" s="1"/>
  <c r="I143" i="97" s="1"/>
  <c r="J49" i="97"/>
  <c r="H49" i="97"/>
  <c r="H142" i="97" s="1"/>
  <c r="G49" i="97"/>
  <c r="F49" i="97"/>
  <c r="K47" i="97"/>
  <c r="K46" i="97"/>
  <c r="K45" i="97"/>
  <c r="K44" i="97"/>
  <c r="K43" i="97"/>
  <c r="K42" i="97"/>
  <c r="I42" i="97"/>
  <c r="I41" i="97"/>
  <c r="K41" i="97" s="1"/>
  <c r="K40" i="97"/>
  <c r="K49" i="97" s="1"/>
  <c r="K142" i="97" s="1"/>
  <c r="J36" i="97"/>
  <c r="J141" i="97" s="1"/>
  <c r="J152" i="97" s="1"/>
  <c r="H36" i="97"/>
  <c r="H141" i="97" s="1"/>
  <c r="G36" i="97"/>
  <c r="G141" i="97" s="1"/>
  <c r="F36" i="97"/>
  <c r="F141" i="97" s="1"/>
  <c r="F152" i="97" s="1"/>
  <c r="I34" i="97"/>
  <c r="K34" i="97" s="1"/>
  <c r="I33" i="97"/>
  <c r="K33" i="97" s="1"/>
  <c r="I32" i="97"/>
  <c r="K32" i="97" s="1"/>
  <c r="I31" i="97"/>
  <c r="K31" i="97" s="1"/>
  <c r="I30" i="97"/>
  <c r="K30" i="97" s="1"/>
  <c r="I29" i="97"/>
  <c r="K29" i="97" s="1"/>
  <c r="I28" i="97"/>
  <c r="K28" i="97" s="1"/>
  <c r="I27" i="97"/>
  <c r="K27" i="97" s="1"/>
  <c r="I26" i="97"/>
  <c r="K26" i="97" s="1"/>
  <c r="I25" i="97"/>
  <c r="K25" i="97" s="1"/>
  <c r="I24" i="97"/>
  <c r="K24" i="97" s="1"/>
  <c r="I23" i="97"/>
  <c r="K23" i="97" s="1"/>
  <c r="I22" i="97"/>
  <c r="I36" i="97" s="1"/>
  <c r="I141" i="97" s="1"/>
  <c r="I21" i="97"/>
  <c r="K21" i="97" s="1"/>
  <c r="K18" i="97"/>
  <c r="K150" i="97" s="1"/>
  <c r="F152" i="98" l="1"/>
  <c r="J152" i="98"/>
  <c r="K74" i="98"/>
  <c r="K144" i="98" s="1"/>
  <c r="H152" i="98"/>
  <c r="G152" i="98"/>
  <c r="K82" i="98"/>
  <c r="K145" i="98" s="1"/>
  <c r="K108" i="98"/>
  <c r="K147" i="98" s="1"/>
  <c r="I108" i="98"/>
  <c r="I147" i="98" s="1"/>
  <c r="K98" i="98"/>
  <c r="K146" i="98" s="1"/>
  <c r="K30" i="98"/>
  <c r="K36" i="98" s="1"/>
  <c r="K141" i="98" s="1"/>
  <c r="I36" i="98"/>
  <c r="I141" i="98" s="1"/>
  <c r="I98" i="98"/>
  <c r="I146" i="98" s="1"/>
  <c r="G152" i="97"/>
  <c r="K36" i="97"/>
  <c r="K141" i="97" s="1"/>
  <c r="K152" i="97" s="1"/>
  <c r="H152" i="97"/>
  <c r="K108" i="97"/>
  <c r="K147" i="97" s="1"/>
  <c r="K22" i="97"/>
  <c r="I49" i="97"/>
  <c r="I142" i="97" s="1"/>
  <c r="I152" i="97" s="1"/>
  <c r="K53" i="97"/>
  <c r="K64" i="97" s="1"/>
  <c r="K143" i="97" s="1"/>
  <c r="K68" i="97"/>
  <c r="K74" i="97" s="1"/>
  <c r="K144" i="97" s="1"/>
  <c r="K86" i="97"/>
  <c r="K98" i="97" s="1"/>
  <c r="K146" i="97" s="1"/>
  <c r="I108" i="97"/>
  <c r="I147" i="97" s="1"/>
  <c r="I152" i="98" l="1"/>
  <c r="K152" i="98"/>
  <c r="F155" i="97"/>
  <c r="F154" i="97"/>
  <c r="F38" i="126" l="1"/>
  <c r="H38" i="126" s="1"/>
  <c r="F154" i="98"/>
  <c r="F155" i="98"/>
  <c r="J150" i="96"/>
  <c r="I150" i="96"/>
  <c r="H150" i="96"/>
  <c r="I149" i="96"/>
  <c r="K148" i="96"/>
  <c r="H147" i="96"/>
  <c r="J146" i="96"/>
  <c r="H146" i="96"/>
  <c r="F146" i="96"/>
  <c r="H145" i="96"/>
  <c r="J144" i="96"/>
  <c r="F144" i="96"/>
  <c r="H143" i="96"/>
  <c r="J142" i="96"/>
  <c r="F142" i="96"/>
  <c r="H141" i="96"/>
  <c r="J137" i="96"/>
  <c r="J149" i="96" s="1"/>
  <c r="I137" i="96"/>
  <c r="H137" i="96"/>
  <c r="H149" i="96" s="1"/>
  <c r="G137" i="96"/>
  <c r="G149" i="96" s="1"/>
  <c r="F137" i="96"/>
  <c r="F149" i="96" s="1"/>
  <c r="K135" i="96"/>
  <c r="K134" i="96"/>
  <c r="K133" i="96"/>
  <c r="K132" i="96"/>
  <c r="K137" i="96" s="1"/>
  <c r="K149" i="96" s="1"/>
  <c r="K131" i="96"/>
  <c r="F119" i="96"/>
  <c r="J108" i="96"/>
  <c r="J147" i="96" s="1"/>
  <c r="H108" i="96"/>
  <c r="G108" i="96"/>
  <c r="G147" i="96" s="1"/>
  <c r="F108" i="96"/>
  <c r="F147" i="96" s="1"/>
  <c r="I106" i="96"/>
  <c r="K106" i="96" s="1"/>
  <c r="I105" i="96"/>
  <c r="K105" i="96" s="1"/>
  <c r="I104" i="96"/>
  <c r="K104" i="96" s="1"/>
  <c r="K103" i="96"/>
  <c r="K102" i="96"/>
  <c r="I102" i="96"/>
  <c r="I108" i="96" s="1"/>
  <c r="I147" i="96" s="1"/>
  <c r="J98" i="96"/>
  <c r="H98" i="96"/>
  <c r="G98" i="96"/>
  <c r="G146" i="96" s="1"/>
  <c r="F98" i="96"/>
  <c r="K96" i="96"/>
  <c r="I96" i="96"/>
  <c r="I95" i="96"/>
  <c r="K95" i="96" s="1"/>
  <c r="K94" i="96"/>
  <c r="I94" i="96"/>
  <c r="I93" i="96"/>
  <c r="K93" i="96" s="1"/>
  <c r="K92" i="96"/>
  <c r="K91" i="96"/>
  <c r="K90" i="96"/>
  <c r="I89" i="96"/>
  <c r="K89" i="96" s="1"/>
  <c r="I88" i="96"/>
  <c r="K88" i="96" s="1"/>
  <c r="I87" i="96"/>
  <c r="K87" i="96" s="1"/>
  <c r="I86" i="96"/>
  <c r="K86" i="96" s="1"/>
  <c r="J82" i="96"/>
  <c r="J145" i="96" s="1"/>
  <c r="I82" i="96"/>
  <c r="I145" i="96" s="1"/>
  <c r="H82" i="96"/>
  <c r="G82" i="96"/>
  <c r="G145" i="96" s="1"/>
  <c r="F82" i="96"/>
  <c r="F145" i="96" s="1"/>
  <c r="K80" i="96"/>
  <c r="K79" i="96"/>
  <c r="K78" i="96"/>
  <c r="K77" i="96"/>
  <c r="K82" i="96" s="1"/>
  <c r="K145" i="96" s="1"/>
  <c r="J74" i="96"/>
  <c r="I74" i="96"/>
  <c r="I144" i="96" s="1"/>
  <c r="H74" i="96"/>
  <c r="H144" i="96" s="1"/>
  <c r="G74" i="96"/>
  <c r="G144" i="96" s="1"/>
  <c r="F74" i="96"/>
  <c r="K72" i="96"/>
  <c r="K71" i="96"/>
  <c r="K70" i="96"/>
  <c r="K69" i="96"/>
  <c r="K68" i="96"/>
  <c r="K74" i="96" s="1"/>
  <c r="K144" i="96" s="1"/>
  <c r="J64" i="96"/>
  <c r="J143" i="96" s="1"/>
  <c r="I64" i="96"/>
  <c r="I143" i="96" s="1"/>
  <c r="H64" i="96"/>
  <c r="G64" i="96"/>
  <c r="G143" i="96" s="1"/>
  <c r="F64" i="96"/>
  <c r="F143" i="96" s="1"/>
  <c r="K62" i="96"/>
  <c r="K61" i="96"/>
  <c r="K60" i="96"/>
  <c r="K59" i="96"/>
  <c r="K58" i="96"/>
  <c r="K57" i="96"/>
  <c r="K56" i="96"/>
  <c r="K64" i="96" s="1"/>
  <c r="K143" i="96" s="1"/>
  <c r="K55" i="96"/>
  <c r="K54" i="96"/>
  <c r="K53" i="96"/>
  <c r="J49" i="96"/>
  <c r="I49" i="96"/>
  <c r="I142" i="96" s="1"/>
  <c r="H49" i="96"/>
  <c r="H142" i="96" s="1"/>
  <c r="G49" i="96"/>
  <c r="G142" i="96" s="1"/>
  <c r="F49" i="96"/>
  <c r="K47" i="96"/>
  <c r="K46" i="96"/>
  <c r="K45" i="96"/>
  <c r="K44" i="96"/>
  <c r="K43" i="96"/>
  <c r="K42" i="96"/>
  <c r="K41" i="96"/>
  <c r="K49" i="96" s="1"/>
  <c r="K142" i="96" s="1"/>
  <c r="K40" i="96"/>
  <c r="J36" i="96"/>
  <c r="J141" i="96" s="1"/>
  <c r="I36" i="96"/>
  <c r="I141" i="96" s="1"/>
  <c r="H36" i="96"/>
  <c r="G36" i="96"/>
  <c r="G141" i="96" s="1"/>
  <c r="G152" i="96" s="1"/>
  <c r="F36" i="96"/>
  <c r="F141" i="96" s="1"/>
  <c r="K34" i="96"/>
  <c r="I34" i="96"/>
  <c r="I33" i="96"/>
  <c r="K33" i="96" s="1"/>
  <c r="K32" i="96"/>
  <c r="I32" i="96"/>
  <c r="I31" i="96"/>
  <c r="K31" i="96" s="1"/>
  <c r="K30" i="96"/>
  <c r="I30" i="96"/>
  <c r="K29" i="96"/>
  <c r="K28" i="96"/>
  <c r="K27" i="96"/>
  <c r="K26" i="96"/>
  <c r="K25" i="96"/>
  <c r="K24" i="96"/>
  <c r="K23" i="96"/>
  <c r="K22" i="96"/>
  <c r="K21" i="96"/>
  <c r="K18" i="96"/>
  <c r="K150" i="96" s="1"/>
  <c r="J150" i="95"/>
  <c r="I150" i="95"/>
  <c r="H150" i="95"/>
  <c r="I149" i="95"/>
  <c r="K148" i="95"/>
  <c r="H147" i="95"/>
  <c r="J146" i="95"/>
  <c r="G146" i="95"/>
  <c r="F146" i="95"/>
  <c r="I145" i="95"/>
  <c r="H145" i="95"/>
  <c r="J144" i="95"/>
  <c r="G144" i="95"/>
  <c r="F144" i="95"/>
  <c r="J142" i="95"/>
  <c r="G142" i="95"/>
  <c r="F142" i="95"/>
  <c r="H141" i="95"/>
  <c r="J137" i="95"/>
  <c r="J149" i="95" s="1"/>
  <c r="I137" i="95"/>
  <c r="H137" i="95"/>
  <c r="H149" i="95" s="1"/>
  <c r="G137" i="95"/>
  <c r="G149" i="95" s="1"/>
  <c r="F137" i="95"/>
  <c r="F149" i="95" s="1"/>
  <c r="K135" i="95"/>
  <c r="K134" i="95"/>
  <c r="K133" i="95"/>
  <c r="K132" i="95"/>
  <c r="K137" i="95" s="1"/>
  <c r="K149" i="95" s="1"/>
  <c r="K131" i="95"/>
  <c r="F119" i="95"/>
  <c r="J108" i="95"/>
  <c r="J147" i="95" s="1"/>
  <c r="H108" i="95"/>
  <c r="G108" i="95"/>
  <c r="G147" i="95" s="1"/>
  <c r="F108" i="95"/>
  <c r="F147" i="95" s="1"/>
  <c r="I106" i="95"/>
  <c r="K106" i="95" s="1"/>
  <c r="I105" i="95"/>
  <c r="K105" i="95" s="1"/>
  <c r="K104" i="95"/>
  <c r="K103" i="95"/>
  <c r="I102" i="95"/>
  <c r="I108" i="95" s="1"/>
  <c r="I147" i="95" s="1"/>
  <c r="J98" i="95"/>
  <c r="H98" i="95"/>
  <c r="H146" i="95" s="1"/>
  <c r="G98" i="95"/>
  <c r="F98" i="95"/>
  <c r="I96" i="95"/>
  <c r="K96" i="95" s="1"/>
  <c r="I95" i="95"/>
  <c r="K95" i="95" s="1"/>
  <c r="I94" i="95"/>
  <c r="K94" i="95" s="1"/>
  <c r="K93" i="95"/>
  <c r="K92" i="95"/>
  <c r="K91" i="95"/>
  <c r="K90" i="95"/>
  <c r="I90" i="95"/>
  <c r="I89" i="95"/>
  <c r="K89" i="95" s="1"/>
  <c r="K88" i="95"/>
  <c r="K87" i="95"/>
  <c r="I86" i="95"/>
  <c r="K86" i="95" s="1"/>
  <c r="J82" i="95"/>
  <c r="J145" i="95" s="1"/>
  <c r="I82" i="95"/>
  <c r="H82" i="95"/>
  <c r="G82" i="95"/>
  <c r="G145" i="95" s="1"/>
  <c r="F82" i="95"/>
  <c r="F145" i="95" s="1"/>
  <c r="K80" i="95"/>
  <c r="K79" i="95"/>
  <c r="K78" i="95"/>
  <c r="K82" i="95" s="1"/>
  <c r="K145" i="95" s="1"/>
  <c r="K77" i="95"/>
  <c r="J74" i="95"/>
  <c r="I74" i="95"/>
  <c r="I144" i="95" s="1"/>
  <c r="H74" i="95"/>
  <c r="H144" i="95" s="1"/>
  <c r="G74" i="95"/>
  <c r="F74" i="95"/>
  <c r="K72" i="95"/>
  <c r="K71" i="95"/>
  <c r="K70" i="95"/>
  <c r="K69" i="95"/>
  <c r="K68" i="95"/>
  <c r="K74" i="95" s="1"/>
  <c r="K144" i="95" s="1"/>
  <c r="J64" i="95"/>
  <c r="J143" i="95" s="1"/>
  <c r="I64" i="95"/>
  <c r="I143" i="95" s="1"/>
  <c r="H64" i="95"/>
  <c r="H143" i="95" s="1"/>
  <c r="G64" i="95"/>
  <c r="G143" i="95" s="1"/>
  <c r="F64" i="95"/>
  <c r="F143" i="95" s="1"/>
  <c r="K62" i="95"/>
  <c r="K61" i="95"/>
  <c r="K60" i="95"/>
  <c r="K59" i="95"/>
  <c r="K58" i="95"/>
  <c r="K57" i="95"/>
  <c r="K56" i="95"/>
  <c r="K55" i="95"/>
  <c r="K54" i="95"/>
  <c r="K53" i="95"/>
  <c r="K64" i="95" s="1"/>
  <c r="K143" i="95" s="1"/>
  <c r="J49" i="95"/>
  <c r="I49" i="95"/>
  <c r="I142" i="95" s="1"/>
  <c r="H49" i="95"/>
  <c r="H142" i="95" s="1"/>
  <c r="G49" i="95"/>
  <c r="F49" i="95"/>
  <c r="K47" i="95"/>
  <c r="K46" i="95"/>
  <c r="K45" i="95"/>
  <c r="K44" i="95"/>
  <c r="K43" i="95"/>
  <c r="K42" i="95"/>
  <c r="K41" i="95"/>
  <c r="K40" i="95"/>
  <c r="K49" i="95" s="1"/>
  <c r="K142" i="95" s="1"/>
  <c r="J36" i="95"/>
  <c r="J141" i="95" s="1"/>
  <c r="H36" i="95"/>
  <c r="G36" i="95"/>
  <c r="G141" i="95" s="1"/>
  <c r="G152" i="95" s="1"/>
  <c r="F36" i="95"/>
  <c r="F141" i="95" s="1"/>
  <c r="I34" i="95"/>
  <c r="K34" i="95" s="1"/>
  <c r="I33" i="95"/>
  <c r="K33" i="95" s="1"/>
  <c r="I32" i="95"/>
  <c r="K32" i="95" s="1"/>
  <c r="I31" i="95"/>
  <c r="K31" i="95" s="1"/>
  <c r="K30" i="95"/>
  <c r="K29" i="95"/>
  <c r="I28" i="95"/>
  <c r="K28" i="95" s="1"/>
  <c r="I27" i="95"/>
  <c r="K27" i="95" s="1"/>
  <c r="I26" i="95"/>
  <c r="K26" i="95" s="1"/>
  <c r="I25" i="95"/>
  <c r="K25" i="95" s="1"/>
  <c r="K24" i="95"/>
  <c r="K23" i="95"/>
  <c r="I23" i="95"/>
  <c r="I22" i="95"/>
  <c r="K22" i="95" s="1"/>
  <c r="K21" i="95"/>
  <c r="K36" i="95" s="1"/>
  <c r="K141" i="95" s="1"/>
  <c r="K18" i="95"/>
  <c r="K150" i="95" s="1"/>
  <c r="I38" i="126" l="1"/>
  <c r="K108" i="96"/>
  <c r="K147" i="96" s="1"/>
  <c r="H152" i="96"/>
  <c r="K36" i="96"/>
  <c r="K141" i="96" s="1"/>
  <c r="F152" i="96"/>
  <c r="J152" i="96"/>
  <c r="K98" i="96"/>
  <c r="K146" i="96" s="1"/>
  <c r="I98" i="96"/>
  <c r="I146" i="96" s="1"/>
  <c r="I152" i="96" s="1"/>
  <c r="J152" i="95"/>
  <c r="K98" i="95"/>
  <c r="K146" i="95" s="1"/>
  <c r="K152" i="95" s="1"/>
  <c r="F30" i="126" s="1"/>
  <c r="H30" i="126" s="1"/>
  <c r="H152" i="95"/>
  <c r="F152" i="95"/>
  <c r="K102" i="95"/>
  <c r="K108" i="95" s="1"/>
  <c r="K147" i="95" s="1"/>
  <c r="I36" i="95"/>
  <c r="I141" i="95" s="1"/>
  <c r="I152" i="95" s="1"/>
  <c r="I98" i="95"/>
  <c r="I146" i="95" s="1"/>
  <c r="I30" i="126" l="1"/>
  <c r="K152" i="96"/>
  <c r="F155" i="95"/>
  <c r="F154" i="95"/>
  <c r="F155" i="96" l="1"/>
  <c r="F154" i="96"/>
  <c r="J150" i="94"/>
  <c r="I150" i="94"/>
  <c r="H150" i="94"/>
  <c r="I149" i="94"/>
  <c r="G149" i="94"/>
  <c r="K148" i="94"/>
  <c r="J143" i="94"/>
  <c r="H143" i="94"/>
  <c r="F143" i="94"/>
  <c r="J142" i="94"/>
  <c r="H142" i="94"/>
  <c r="F142" i="94"/>
  <c r="J141" i="94"/>
  <c r="H141" i="94"/>
  <c r="F141" i="94"/>
  <c r="J137" i="94"/>
  <c r="J149" i="94" s="1"/>
  <c r="I137" i="94"/>
  <c r="H137" i="94"/>
  <c r="H149" i="94" s="1"/>
  <c r="G137" i="94"/>
  <c r="F137" i="94"/>
  <c r="F149" i="94" s="1"/>
  <c r="K135" i="94"/>
  <c r="K134" i="94"/>
  <c r="K133" i="94"/>
  <c r="K132" i="94"/>
  <c r="K137" i="94" s="1"/>
  <c r="K149" i="94" s="1"/>
  <c r="K131" i="94"/>
  <c r="F119" i="94"/>
  <c r="F123" i="94" s="1"/>
  <c r="F127" i="94" s="1"/>
  <c r="J108" i="94"/>
  <c r="J147" i="94" s="1"/>
  <c r="H108" i="94"/>
  <c r="H147" i="94" s="1"/>
  <c r="G108" i="94"/>
  <c r="G147" i="94" s="1"/>
  <c r="F108" i="94"/>
  <c r="F147" i="94" s="1"/>
  <c r="I106" i="94"/>
  <c r="K106" i="94" s="1"/>
  <c r="I105" i="94"/>
  <c r="K105" i="94" s="1"/>
  <c r="I104" i="94"/>
  <c r="I108" i="94" s="1"/>
  <c r="I147" i="94" s="1"/>
  <c r="K103" i="94"/>
  <c r="K102" i="94"/>
  <c r="J98" i="94"/>
  <c r="J146" i="94" s="1"/>
  <c r="H98" i="94"/>
  <c r="H146" i="94" s="1"/>
  <c r="G98" i="94"/>
  <c r="G146" i="94" s="1"/>
  <c r="F98" i="94"/>
  <c r="F146" i="94" s="1"/>
  <c r="I96" i="94"/>
  <c r="K96" i="94" s="1"/>
  <c r="I95" i="94"/>
  <c r="K95" i="94" s="1"/>
  <c r="K94" i="94"/>
  <c r="K93" i="94"/>
  <c r="K92" i="94"/>
  <c r="K91" i="94"/>
  <c r="I91" i="94"/>
  <c r="K90" i="94"/>
  <c r="I90" i="94"/>
  <c r="K89" i="94"/>
  <c r="K88" i="94"/>
  <c r="K87" i="94"/>
  <c r="I86" i="94"/>
  <c r="K86" i="94" s="1"/>
  <c r="J82" i="94"/>
  <c r="J145" i="94" s="1"/>
  <c r="I82" i="94"/>
  <c r="I145" i="94" s="1"/>
  <c r="H82" i="94"/>
  <c r="H145" i="94" s="1"/>
  <c r="G82" i="94"/>
  <c r="G145" i="94" s="1"/>
  <c r="F82" i="94"/>
  <c r="F145" i="94" s="1"/>
  <c r="K80" i="94"/>
  <c r="K79" i="94"/>
  <c r="K78" i="94"/>
  <c r="K77" i="94"/>
  <c r="K82" i="94" s="1"/>
  <c r="K145" i="94" s="1"/>
  <c r="J74" i="94"/>
  <c r="J144" i="94" s="1"/>
  <c r="I74" i="94"/>
  <c r="I144" i="94" s="1"/>
  <c r="H74" i="94"/>
  <c r="H144" i="94" s="1"/>
  <c r="G74" i="94"/>
  <c r="G144" i="94" s="1"/>
  <c r="F74" i="94"/>
  <c r="F144" i="94" s="1"/>
  <c r="K72" i="94"/>
  <c r="K71" i="94"/>
  <c r="K70" i="94"/>
  <c r="K69" i="94"/>
  <c r="K74" i="94" s="1"/>
  <c r="K144" i="94" s="1"/>
  <c r="K68" i="94"/>
  <c r="J64" i="94"/>
  <c r="I64" i="94"/>
  <c r="I143" i="94" s="1"/>
  <c r="H64" i="94"/>
  <c r="G64" i="94"/>
  <c r="G143" i="94" s="1"/>
  <c r="F64" i="94"/>
  <c r="K62" i="94"/>
  <c r="K61" i="94"/>
  <c r="K60" i="94"/>
  <c r="K59" i="94"/>
  <c r="K58" i="94"/>
  <c r="K57" i="94"/>
  <c r="K56" i="94"/>
  <c r="K55" i="94"/>
  <c r="K54" i="94"/>
  <c r="K64" i="94" s="1"/>
  <c r="K143" i="94" s="1"/>
  <c r="K53" i="94"/>
  <c r="J49" i="94"/>
  <c r="I49" i="94"/>
  <c r="I142" i="94" s="1"/>
  <c r="H49" i="94"/>
  <c r="G49" i="94"/>
  <c r="G142" i="94" s="1"/>
  <c r="F49" i="94"/>
  <c r="K47" i="94"/>
  <c r="K46" i="94"/>
  <c r="K45" i="94"/>
  <c r="K44" i="94"/>
  <c r="K43" i="94"/>
  <c r="K42" i="94"/>
  <c r="K41" i="94"/>
  <c r="K49" i="94" s="1"/>
  <c r="K142" i="94" s="1"/>
  <c r="K40" i="94"/>
  <c r="J36" i="94"/>
  <c r="H36" i="94"/>
  <c r="G36" i="94"/>
  <c r="G141" i="94" s="1"/>
  <c r="F36" i="94"/>
  <c r="K34" i="94"/>
  <c r="I34" i="94"/>
  <c r="K33" i="94"/>
  <c r="I33" i="94"/>
  <c r="K32" i="94"/>
  <c r="I32" i="94"/>
  <c r="K31" i="94"/>
  <c r="I31" i="94"/>
  <c r="K30" i="94"/>
  <c r="K29" i="94"/>
  <c r="K28" i="94"/>
  <c r="I28" i="94"/>
  <c r="K27" i="94"/>
  <c r="I27" i="94"/>
  <c r="K26" i="94"/>
  <c r="K25" i="94"/>
  <c r="K24" i="94"/>
  <c r="I23" i="94"/>
  <c r="K23" i="94" s="1"/>
  <c r="K36" i="94" s="1"/>
  <c r="K141" i="94" s="1"/>
  <c r="K22" i="94"/>
  <c r="K21" i="94"/>
  <c r="K18" i="94"/>
  <c r="K150" i="94" s="1"/>
  <c r="F152" i="94" l="1"/>
  <c r="K98" i="94"/>
  <c r="K146" i="94" s="1"/>
  <c r="K152" i="94" s="1"/>
  <c r="K108" i="94"/>
  <c r="K147" i="94" s="1"/>
  <c r="G152" i="94"/>
  <c r="H152" i="94"/>
  <c r="J152" i="94"/>
  <c r="I36" i="94"/>
  <c r="I141" i="94" s="1"/>
  <c r="I152" i="94" s="1"/>
  <c r="I98" i="94"/>
  <c r="I146" i="94" s="1"/>
  <c r="K104" i="94"/>
  <c r="F154" i="94" l="1"/>
  <c r="F155" i="94"/>
  <c r="J150" i="93" l="1"/>
  <c r="I150" i="93"/>
  <c r="H150" i="93"/>
  <c r="J149" i="93"/>
  <c r="F149" i="93"/>
  <c r="K148" i="93"/>
  <c r="I145" i="93"/>
  <c r="G144" i="93"/>
  <c r="I143" i="93"/>
  <c r="G142" i="93"/>
  <c r="J137" i="93"/>
  <c r="I137" i="93"/>
  <c r="I149" i="93" s="1"/>
  <c r="H137" i="93"/>
  <c r="H149" i="93" s="1"/>
  <c r="G137" i="93"/>
  <c r="G149" i="93" s="1"/>
  <c r="F137" i="93"/>
  <c r="K135" i="93"/>
  <c r="K134" i="93"/>
  <c r="K133" i="93"/>
  <c r="K137" i="93" s="1"/>
  <c r="K149" i="93" s="1"/>
  <c r="K132" i="93"/>
  <c r="K131" i="93"/>
  <c r="F119" i="93"/>
  <c r="J108" i="93"/>
  <c r="J147" i="93" s="1"/>
  <c r="H108" i="93"/>
  <c r="H147" i="93" s="1"/>
  <c r="G108" i="93"/>
  <c r="G147" i="93" s="1"/>
  <c r="F108" i="93"/>
  <c r="F147" i="93" s="1"/>
  <c r="I106" i="93"/>
  <c r="K106" i="93" s="1"/>
  <c r="K105" i="93"/>
  <c r="I105" i="93"/>
  <c r="I104" i="93"/>
  <c r="K104" i="93" s="1"/>
  <c r="K103" i="93"/>
  <c r="I103" i="93"/>
  <c r="I102" i="93"/>
  <c r="I108" i="93" s="1"/>
  <c r="I147" i="93" s="1"/>
  <c r="J98" i="93"/>
  <c r="J146" i="93" s="1"/>
  <c r="H98" i="93"/>
  <c r="H146" i="93" s="1"/>
  <c r="G98" i="93"/>
  <c r="G146" i="93" s="1"/>
  <c r="F98" i="93"/>
  <c r="F146" i="93" s="1"/>
  <c r="I96" i="93"/>
  <c r="K96" i="93" s="1"/>
  <c r="K95" i="93"/>
  <c r="I95" i="93"/>
  <c r="I94" i="93"/>
  <c r="K94" i="93" s="1"/>
  <c r="K93" i="93"/>
  <c r="I93" i="93"/>
  <c r="I92" i="93"/>
  <c r="K92" i="93" s="1"/>
  <c r="K91" i="93"/>
  <c r="I91" i="93"/>
  <c r="I90" i="93"/>
  <c r="K90" i="93" s="1"/>
  <c r="K89" i="93"/>
  <c r="I89" i="93"/>
  <c r="I88" i="93"/>
  <c r="K88" i="93" s="1"/>
  <c r="K87" i="93"/>
  <c r="I87" i="93"/>
  <c r="I86" i="93"/>
  <c r="I98" i="93" s="1"/>
  <c r="I146" i="93" s="1"/>
  <c r="J82" i="93"/>
  <c r="J145" i="93" s="1"/>
  <c r="I82" i="93"/>
  <c r="H82" i="93"/>
  <c r="H145" i="93" s="1"/>
  <c r="G82" i="93"/>
  <c r="G145" i="93" s="1"/>
  <c r="F82" i="93"/>
  <c r="F145" i="93" s="1"/>
  <c r="K80" i="93"/>
  <c r="K79" i="93"/>
  <c r="K78" i="93"/>
  <c r="K82" i="93" s="1"/>
  <c r="K145" i="93" s="1"/>
  <c r="K77" i="93"/>
  <c r="J74" i="93"/>
  <c r="J144" i="93" s="1"/>
  <c r="I74" i="93"/>
  <c r="I144" i="93" s="1"/>
  <c r="H74" i="93"/>
  <c r="H144" i="93" s="1"/>
  <c r="G74" i="93"/>
  <c r="F74" i="93"/>
  <c r="F144" i="93" s="1"/>
  <c r="K72" i="93"/>
  <c r="K71" i="93"/>
  <c r="K70" i="93"/>
  <c r="K69" i="93"/>
  <c r="K68" i="93"/>
  <c r="K74" i="93" s="1"/>
  <c r="K144" i="93" s="1"/>
  <c r="J64" i="93"/>
  <c r="J143" i="93" s="1"/>
  <c r="I64" i="93"/>
  <c r="H64" i="93"/>
  <c r="H143" i="93" s="1"/>
  <c r="G64" i="93"/>
  <c r="G143" i="93" s="1"/>
  <c r="F64" i="93"/>
  <c r="F143" i="93" s="1"/>
  <c r="K62" i="93"/>
  <c r="K61" i="93"/>
  <c r="K60" i="93"/>
  <c r="K59" i="93"/>
  <c r="K58" i="93"/>
  <c r="K57" i="93"/>
  <c r="K56" i="93"/>
  <c r="K55" i="93"/>
  <c r="K54" i="93"/>
  <c r="K53" i="93"/>
  <c r="K64" i="93" s="1"/>
  <c r="K143" i="93" s="1"/>
  <c r="J49" i="93"/>
  <c r="J142" i="93" s="1"/>
  <c r="I49" i="93"/>
  <c r="I142" i="93" s="1"/>
  <c r="H49" i="93"/>
  <c r="H142" i="93" s="1"/>
  <c r="G49" i="93"/>
  <c r="F49" i="93"/>
  <c r="F142" i="93" s="1"/>
  <c r="K47" i="93"/>
  <c r="K46" i="93"/>
  <c r="K45" i="93"/>
  <c r="K44" i="93"/>
  <c r="K43" i="93"/>
  <c r="K42" i="93"/>
  <c r="K41" i="93"/>
  <c r="K49" i="93" s="1"/>
  <c r="K142" i="93" s="1"/>
  <c r="K40" i="93"/>
  <c r="J36" i="93"/>
  <c r="J141" i="93" s="1"/>
  <c r="J152" i="93" s="1"/>
  <c r="I36" i="93"/>
  <c r="I141" i="93" s="1"/>
  <c r="H36" i="93"/>
  <c r="H141" i="93" s="1"/>
  <c r="G36" i="93"/>
  <c r="G141" i="93" s="1"/>
  <c r="F36" i="93"/>
  <c r="F141" i="93" s="1"/>
  <c r="F152" i="93" s="1"/>
  <c r="K34" i="93"/>
  <c r="I34" i="93"/>
  <c r="I33" i="93"/>
  <c r="K33" i="93" s="1"/>
  <c r="K32" i="93"/>
  <c r="I32" i="93"/>
  <c r="I31" i="93"/>
  <c r="K31" i="93" s="1"/>
  <c r="K30" i="93"/>
  <c r="I30" i="93"/>
  <c r="I29" i="93"/>
  <c r="K29" i="93" s="1"/>
  <c r="K28" i="93"/>
  <c r="I28" i="93"/>
  <c r="I27" i="93"/>
  <c r="K27" i="93" s="1"/>
  <c r="K26" i="93"/>
  <c r="I26" i="93"/>
  <c r="I25" i="93"/>
  <c r="K25" i="93" s="1"/>
  <c r="K24" i="93"/>
  <c r="I24" i="93"/>
  <c r="I23" i="93"/>
  <c r="K23" i="93" s="1"/>
  <c r="K22" i="93"/>
  <c r="I22" i="93"/>
  <c r="I21" i="93"/>
  <c r="K21" i="93" s="1"/>
  <c r="K18" i="93"/>
  <c r="K150" i="93" s="1"/>
  <c r="G152" i="93" l="1"/>
  <c r="H152" i="93"/>
  <c r="K36" i="93"/>
  <c r="K141" i="93" s="1"/>
  <c r="K152" i="93" s="1"/>
  <c r="I152" i="93"/>
  <c r="K86" i="93"/>
  <c r="K98" i="93" s="1"/>
  <c r="K146" i="93" s="1"/>
  <c r="K102" i="93"/>
  <c r="K108" i="93" s="1"/>
  <c r="K147" i="93" s="1"/>
  <c r="J150" i="92"/>
  <c r="I150" i="92"/>
  <c r="H150" i="92"/>
  <c r="H149" i="92"/>
  <c r="K148" i="92"/>
  <c r="H147" i="92"/>
  <c r="G147" i="92"/>
  <c r="G143" i="92"/>
  <c r="J142" i="92"/>
  <c r="I142" i="92"/>
  <c r="G142" i="92"/>
  <c r="F142" i="92"/>
  <c r="H141" i="92"/>
  <c r="G141" i="92"/>
  <c r="J137" i="92"/>
  <c r="J149" i="92" s="1"/>
  <c r="I137" i="92"/>
  <c r="I149" i="92" s="1"/>
  <c r="H137" i="92"/>
  <c r="G137" i="92"/>
  <c r="G149" i="92" s="1"/>
  <c r="F137" i="92"/>
  <c r="F149" i="92" s="1"/>
  <c r="K135" i="92"/>
  <c r="K134" i="92"/>
  <c r="K133" i="92"/>
  <c r="K132" i="92"/>
  <c r="K131" i="92"/>
  <c r="K137" i="92" s="1"/>
  <c r="K149" i="92" s="1"/>
  <c r="F119" i="92"/>
  <c r="J108" i="92"/>
  <c r="J147" i="92" s="1"/>
  <c r="I108" i="92"/>
  <c r="I147" i="92" s="1"/>
  <c r="H108" i="92"/>
  <c r="G108" i="92"/>
  <c r="F108" i="92"/>
  <c r="F147" i="92" s="1"/>
  <c r="K106" i="92"/>
  <c r="I106" i="92"/>
  <c r="I105" i="92"/>
  <c r="K105" i="92" s="1"/>
  <c r="K104" i="92"/>
  <c r="K103" i="92"/>
  <c r="K102" i="92"/>
  <c r="J98" i="92"/>
  <c r="J146" i="92" s="1"/>
  <c r="H98" i="92"/>
  <c r="H146" i="92" s="1"/>
  <c r="G98" i="92"/>
  <c r="G146" i="92" s="1"/>
  <c r="F98" i="92"/>
  <c r="F146" i="92" s="1"/>
  <c r="I96" i="92"/>
  <c r="K96" i="92" s="1"/>
  <c r="I95" i="92"/>
  <c r="K95" i="92" s="1"/>
  <c r="I94" i="92"/>
  <c r="K94" i="92" s="1"/>
  <c r="K93" i="92"/>
  <c r="K92" i="92"/>
  <c r="I92" i="92"/>
  <c r="I91" i="92"/>
  <c r="K91" i="92" s="1"/>
  <c r="K90" i="92"/>
  <c r="I90" i="92"/>
  <c r="I89" i="92"/>
  <c r="K89" i="92" s="1"/>
  <c r="K88" i="92"/>
  <c r="K87" i="92"/>
  <c r="I86" i="92"/>
  <c r="I98" i="92" s="1"/>
  <c r="I146" i="92" s="1"/>
  <c r="J82" i="92"/>
  <c r="J145" i="92" s="1"/>
  <c r="I82" i="92"/>
  <c r="I145" i="92" s="1"/>
  <c r="H82" i="92"/>
  <c r="H145" i="92" s="1"/>
  <c r="G82" i="92"/>
  <c r="G145" i="92" s="1"/>
  <c r="F82" i="92"/>
  <c r="F145" i="92" s="1"/>
  <c r="K80" i="92"/>
  <c r="K79" i="92"/>
  <c r="K78" i="92"/>
  <c r="K82" i="92" s="1"/>
  <c r="K145" i="92" s="1"/>
  <c r="K77" i="92"/>
  <c r="J74" i="92"/>
  <c r="J144" i="92" s="1"/>
  <c r="I74" i="92"/>
  <c r="I144" i="92" s="1"/>
  <c r="H74" i="92"/>
  <c r="H144" i="92" s="1"/>
  <c r="G74" i="92"/>
  <c r="G144" i="92" s="1"/>
  <c r="F74" i="92"/>
  <c r="F144" i="92" s="1"/>
  <c r="K72" i="92"/>
  <c r="K71" i="92"/>
  <c r="K70" i="92"/>
  <c r="K69" i="92"/>
  <c r="K68" i="92"/>
  <c r="K74" i="92" s="1"/>
  <c r="K144" i="92" s="1"/>
  <c r="J64" i="92"/>
  <c r="J143" i="92" s="1"/>
  <c r="I64" i="92"/>
  <c r="I143" i="92" s="1"/>
  <c r="H64" i="92"/>
  <c r="H143" i="92" s="1"/>
  <c r="G64" i="92"/>
  <c r="F64" i="92"/>
  <c r="F143" i="92" s="1"/>
  <c r="K62" i="92"/>
  <c r="K61" i="92"/>
  <c r="K60" i="92"/>
  <c r="K59" i="92"/>
  <c r="K58" i="92"/>
  <c r="K57" i="92"/>
  <c r="K56" i="92"/>
  <c r="K55" i="92"/>
  <c r="K54" i="92"/>
  <c r="K53" i="92"/>
  <c r="K64" i="92" s="1"/>
  <c r="K143" i="92" s="1"/>
  <c r="J49" i="92"/>
  <c r="I49" i="92"/>
  <c r="H49" i="92"/>
  <c r="H142" i="92" s="1"/>
  <c r="G49" i="92"/>
  <c r="F49" i="92"/>
  <c r="K47" i="92"/>
  <c r="K46" i="92"/>
  <c r="K45" i="92"/>
  <c r="K44" i="92"/>
  <c r="K43" i="92"/>
  <c r="K42" i="92"/>
  <c r="K41" i="92"/>
  <c r="K40" i="92"/>
  <c r="K49" i="92" s="1"/>
  <c r="K142" i="92" s="1"/>
  <c r="J36" i="92"/>
  <c r="J141" i="92" s="1"/>
  <c r="H36" i="92"/>
  <c r="G36" i="92"/>
  <c r="F36" i="92"/>
  <c r="F141" i="92" s="1"/>
  <c r="I34" i="92"/>
  <c r="K34" i="92" s="1"/>
  <c r="I33" i="92"/>
  <c r="K33" i="92" s="1"/>
  <c r="I32" i="92"/>
  <c r="K32" i="92" s="1"/>
  <c r="I31" i="92"/>
  <c r="K31" i="92" s="1"/>
  <c r="K30" i="92"/>
  <c r="K29" i="92"/>
  <c r="I28" i="92"/>
  <c r="I36" i="92" s="1"/>
  <c r="I141" i="92" s="1"/>
  <c r="I152" i="92" s="1"/>
  <c r="K27" i="92"/>
  <c r="K26" i="92"/>
  <c r="K25" i="92"/>
  <c r="K24" i="92"/>
  <c r="K23" i="92"/>
  <c r="K22" i="92"/>
  <c r="K21" i="92"/>
  <c r="K18" i="92"/>
  <c r="K150" i="92" s="1"/>
  <c r="F155" i="93" l="1"/>
  <c r="F154" i="93"/>
  <c r="G152" i="92"/>
  <c r="J152" i="92"/>
  <c r="H152" i="92"/>
  <c r="F152" i="92"/>
  <c r="K108" i="92"/>
  <c r="K147" i="92" s="1"/>
  <c r="K28" i="92"/>
  <c r="K36" i="92" s="1"/>
  <c r="K141" i="92" s="1"/>
  <c r="K152" i="92" s="1"/>
  <c r="K86" i="92"/>
  <c r="K98" i="92" s="1"/>
  <c r="K146" i="92" s="1"/>
  <c r="F155" i="92" l="1"/>
  <c r="F154" i="92"/>
  <c r="K150" i="90" l="1"/>
  <c r="J150" i="90"/>
  <c r="I150" i="90"/>
  <c r="H150" i="90"/>
  <c r="H149" i="90"/>
  <c r="K148" i="90"/>
  <c r="H147" i="90"/>
  <c r="G147" i="90"/>
  <c r="J146" i="90"/>
  <c r="G146" i="90"/>
  <c r="F146" i="90"/>
  <c r="G145" i="90"/>
  <c r="I144" i="90"/>
  <c r="H143" i="90"/>
  <c r="G143" i="90"/>
  <c r="J137" i="90"/>
  <c r="J149" i="90" s="1"/>
  <c r="I137" i="90"/>
  <c r="I149" i="90" s="1"/>
  <c r="H137" i="90"/>
  <c r="G137" i="90"/>
  <c r="G149" i="90" s="1"/>
  <c r="F137" i="90"/>
  <c r="F149" i="90" s="1"/>
  <c r="K135" i="90"/>
  <c r="K134" i="90"/>
  <c r="K133" i="90"/>
  <c r="K132" i="90"/>
  <c r="K131" i="90"/>
  <c r="K137" i="90" s="1"/>
  <c r="K149" i="90" s="1"/>
  <c r="F119" i="90"/>
  <c r="F123" i="90" s="1"/>
  <c r="J108" i="90"/>
  <c r="J147" i="90" s="1"/>
  <c r="H108" i="90"/>
  <c r="G108" i="90"/>
  <c r="F108" i="90"/>
  <c r="F147" i="90" s="1"/>
  <c r="I106" i="90"/>
  <c r="K106" i="90" s="1"/>
  <c r="I105" i="90"/>
  <c r="K105" i="90" s="1"/>
  <c r="I104" i="90"/>
  <c r="I108" i="90" s="1"/>
  <c r="I147" i="90" s="1"/>
  <c r="K103" i="90"/>
  <c r="K102" i="90"/>
  <c r="J98" i="90"/>
  <c r="H98" i="90"/>
  <c r="H146" i="90" s="1"/>
  <c r="G98" i="90"/>
  <c r="F98" i="90"/>
  <c r="I96" i="90"/>
  <c r="K96" i="90" s="1"/>
  <c r="I95" i="90"/>
  <c r="K95" i="90" s="1"/>
  <c r="I94" i="90"/>
  <c r="K94" i="90" s="1"/>
  <c r="K93" i="90"/>
  <c r="K92" i="90"/>
  <c r="K91" i="90"/>
  <c r="K90" i="90"/>
  <c r="I89" i="90"/>
  <c r="K89" i="90" s="1"/>
  <c r="I88" i="90"/>
  <c r="K88" i="90" s="1"/>
  <c r="I87" i="90"/>
  <c r="K87" i="90" s="1"/>
  <c r="I86" i="90"/>
  <c r="I98" i="90" s="1"/>
  <c r="I146" i="90" s="1"/>
  <c r="J82" i="90"/>
  <c r="J145" i="90" s="1"/>
  <c r="I82" i="90"/>
  <c r="I145" i="90" s="1"/>
  <c r="H82" i="90"/>
  <c r="H145" i="90" s="1"/>
  <c r="G82" i="90"/>
  <c r="F82" i="90"/>
  <c r="F145" i="90" s="1"/>
  <c r="K80" i="90"/>
  <c r="K79" i="90"/>
  <c r="K78" i="90"/>
  <c r="K77" i="90"/>
  <c r="K82" i="90" s="1"/>
  <c r="K145" i="90" s="1"/>
  <c r="J74" i="90"/>
  <c r="J144" i="90" s="1"/>
  <c r="I74" i="90"/>
  <c r="H74" i="90"/>
  <c r="H144" i="90" s="1"/>
  <c r="G74" i="90"/>
  <c r="G144" i="90" s="1"/>
  <c r="F74" i="90"/>
  <c r="F144" i="90" s="1"/>
  <c r="K72" i="90"/>
  <c r="K71" i="90"/>
  <c r="K70" i="90"/>
  <c r="K69" i="90"/>
  <c r="K74" i="90" s="1"/>
  <c r="K144" i="90" s="1"/>
  <c r="K68" i="90"/>
  <c r="J64" i="90"/>
  <c r="J143" i="90" s="1"/>
  <c r="I64" i="90"/>
  <c r="I143" i="90" s="1"/>
  <c r="H64" i="90"/>
  <c r="G64" i="90"/>
  <c r="F64" i="90"/>
  <c r="F143" i="90" s="1"/>
  <c r="K62" i="90"/>
  <c r="K61" i="90"/>
  <c r="K60" i="90"/>
  <c r="K59" i="90"/>
  <c r="K58" i="90"/>
  <c r="K57" i="90"/>
  <c r="K56" i="90"/>
  <c r="K55" i="90"/>
  <c r="K54" i="90"/>
  <c r="K64" i="90" s="1"/>
  <c r="K143" i="90" s="1"/>
  <c r="K53" i="90"/>
  <c r="J49" i="90"/>
  <c r="J142" i="90" s="1"/>
  <c r="I49" i="90"/>
  <c r="I142" i="90" s="1"/>
  <c r="H49" i="90"/>
  <c r="H142" i="90" s="1"/>
  <c r="G49" i="90"/>
  <c r="G142" i="90" s="1"/>
  <c r="F49" i="90"/>
  <c r="F142" i="90" s="1"/>
  <c r="K47" i="90"/>
  <c r="K46" i="90"/>
  <c r="K45" i="90"/>
  <c r="K44" i="90"/>
  <c r="K43" i="90"/>
  <c r="K42" i="90"/>
  <c r="K41" i="90"/>
  <c r="K40" i="90"/>
  <c r="K49" i="90" s="1"/>
  <c r="K142" i="90" s="1"/>
  <c r="J36" i="90"/>
  <c r="J141" i="90" s="1"/>
  <c r="H36" i="90"/>
  <c r="H141" i="90" s="1"/>
  <c r="H152" i="90" s="1"/>
  <c r="G36" i="90"/>
  <c r="G141" i="90" s="1"/>
  <c r="G152" i="90" s="1"/>
  <c r="F36" i="90"/>
  <c r="F141" i="90" s="1"/>
  <c r="I34" i="90"/>
  <c r="K34" i="90" s="1"/>
  <c r="K33" i="90"/>
  <c r="I33" i="90"/>
  <c r="I32" i="90"/>
  <c r="K32" i="90" s="1"/>
  <c r="K31" i="90"/>
  <c r="I31" i="90"/>
  <c r="I30" i="90"/>
  <c r="K30" i="90" s="1"/>
  <c r="K29" i="90"/>
  <c r="I28" i="90"/>
  <c r="K28" i="90" s="1"/>
  <c r="I27" i="90"/>
  <c r="K27" i="90" s="1"/>
  <c r="I26" i="90"/>
  <c r="K26" i="90" s="1"/>
  <c r="I25" i="90"/>
  <c r="K25" i="90" s="1"/>
  <c r="K24" i="90"/>
  <c r="I23" i="90"/>
  <c r="I36" i="90" s="1"/>
  <c r="I141" i="90" s="1"/>
  <c r="K22" i="90"/>
  <c r="K21" i="90"/>
  <c r="J152" i="90" l="1"/>
  <c r="I152" i="90"/>
  <c r="F152" i="90"/>
  <c r="K86" i="90"/>
  <c r="K98" i="90" s="1"/>
  <c r="K146" i="90" s="1"/>
  <c r="K23" i="90"/>
  <c r="K36" i="90" s="1"/>
  <c r="K141" i="90" s="1"/>
  <c r="K104" i="90"/>
  <c r="K108" i="90" s="1"/>
  <c r="K147" i="90" s="1"/>
  <c r="K152" i="90" l="1"/>
  <c r="F155" i="90" l="1"/>
  <c r="F154" i="90"/>
  <c r="J150" i="89" l="1"/>
  <c r="I150" i="89"/>
  <c r="H150" i="89"/>
  <c r="I149" i="89"/>
  <c r="K148" i="89"/>
  <c r="H147" i="89"/>
  <c r="I145" i="89"/>
  <c r="H145" i="89"/>
  <c r="J144" i="89"/>
  <c r="G144" i="89"/>
  <c r="F144" i="89"/>
  <c r="H143" i="89"/>
  <c r="J142" i="89"/>
  <c r="F142" i="89"/>
  <c r="H141" i="89"/>
  <c r="J137" i="89"/>
  <c r="J149" i="89" s="1"/>
  <c r="I137" i="89"/>
  <c r="H137" i="89"/>
  <c r="H149" i="89" s="1"/>
  <c r="G137" i="89"/>
  <c r="G149" i="89" s="1"/>
  <c r="F137" i="89"/>
  <c r="F149" i="89" s="1"/>
  <c r="K135" i="89"/>
  <c r="K134" i="89"/>
  <c r="K133" i="89"/>
  <c r="K132" i="89"/>
  <c r="K137" i="89" s="1"/>
  <c r="K149" i="89" s="1"/>
  <c r="K131" i="89"/>
  <c r="F119" i="89"/>
  <c r="J108" i="89"/>
  <c r="J147" i="89" s="1"/>
  <c r="H108" i="89"/>
  <c r="G108" i="89"/>
  <c r="G147" i="89" s="1"/>
  <c r="F108" i="89"/>
  <c r="F147" i="89" s="1"/>
  <c r="I106" i="89"/>
  <c r="K106" i="89" s="1"/>
  <c r="I105" i="89"/>
  <c r="K105" i="89" s="1"/>
  <c r="I104" i="89"/>
  <c r="K104" i="89" s="1"/>
  <c r="I103" i="89"/>
  <c r="K103" i="89" s="1"/>
  <c r="I102" i="89"/>
  <c r="I108" i="89" s="1"/>
  <c r="I147" i="89" s="1"/>
  <c r="J98" i="89"/>
  <c r="J146" i="89" s="1"/>
  <c r="H98" i="89"/>
  <c r="H146" i="89" s="1"/>
  <c r="G98" i="89"/>
  <c r="G146" i="89" s="1"/>
  <c r="F98" i="89"/>
  <c r="F146" i="89" s="1"/>
  <c r="I96" i="89"/>
  <c r="K96" i="89" s="1"/>
  <c r="I95" i="89"/>
  <c r="K95" i="89" s="1"/>
  <c r="I94" i="89"/>
  <c r="K94" i="89" s="1"/>
  <c r="I93" i="89"/>
  <c r="K93" i="89" s="1"/>
  <c r="I92" i="89"/>
  <c r="K92" i="89" s="1"/>
  <c r="I91" i="89"/>
  <c r="K91" i="89" s="1"/>
  <c r="I90" i="89"/>
  <c r="K90" i="89" s="1"/>
  <c r="I89" i="89"/>
  <c r="K89" i="89" s="1"/>
  <c r="I88" i="89"/>
  <c r="K88" i="89" s="1"/>
  <c r="I87" i="89"/>
  <c r="K87" i="89" s="1"/>
  <c r="I86" i="89"/>
  <c r="I98" i="89" s="1"/>
  <c r="I146" i="89" s="1"/>
  <c r="J82" i="89"/>
  <c r="J145" i="89" s="1"/>
  <c r="I82" i="89"/>
  <c r="H82" i="89"/>
  <c r="G82" i="89"/>
  <c r="G145" i="89" s="1"/>
  <c r="F82" i="89"/>
  <c r="F145" i="89" s="1"/>
  <c r="K80" i="89"/>
  <c r="K79" i="89"/>
  <c r="K78" i="89"/>
  <c r="K77" i="89"/>
  <c r="K82" i="89" s="1"/>
  <c r="K145" i="89" s="1"/>
  <c r="J74" i="89"/>
  <c r="I74" i="89"/>
  <c r="I144" i="89" s="1"/>
  <c r="H74" i="89"/>
  <c r="H144" i="89" s="1"/>
  <c r="G74" i="89"/>
  <c r="F74" i="89"/>
  <c r="K72" i="89"/>
  <c r="K71" i="89"/>
  <c r="K70" i="89"/>
  <c r="K69" i="89"/>
  <c r="K68" i="89"/>
  <c r="K74" i="89" s="1"/>
  <c r="K144" i="89" s="1"/>
  <c r="J64" i="89"/>
  <c r="J143" i="89" s="1"/>
  <c r="H64" i="89"/>
  <c r="G64" i="89"/>
  <c r="G143" i="89" s="1"/>
  <c r="F64" i="89"/>
  <c r="F143" i="89" s="1"/>
  <c r="I62" i="89"/>
  <c r="K62" i="89" s="1"/>
  <c r="K61" i="89"/>
  <c r="K60" i="89"/>
  <c r="I59" i="89"/>
  <c r="K59" i="89" s="1"/>
  <c r="K58" i="89"/>
  <c r="I58" i="89"/>
  <c r="I57" i="89"/>
  <c r="K57" i="89" s="1"/>
  <c r="K56" i="89"/>
  <c r="I56" i="89"/>
  <c r="I55" i="89"/>
  <c r="K55" i="89" s="1"/>
  <c r="K54" i="89"/>
  <c r="I54" i="89"/>
  <c r="I53" i="89"/>
  <c r="I64" i="89" s="1"/>
  <c r="I143" i="89" s="1"/>
  <c r="J49" i="89"/>
  <c r="I49" i="89"/>
  <c r="I142" i="89" s="1"/>
  <c r="H49" i="89"/>
  <c r="H142" i="89" s="1"/>
  <c r="G49" i="89"/>
  <c r="G142" i="89" s="1"/>
  <c r="F49" i="89"/>
  <c r="K47" i="89"/>
  <c r="K46" i="89"/>
  <c r="K45" i="89"/>
  <c r="K44" i="89"/>
  <c r="K43" i="89"/>
  <c r="K42" i="89"/>
  <c r="K41" i="89"/>
  <c r="K49" i="89" s="1"/>
  <c r="K142" i="89" s="1"/>
  <c r="K40" i="89"/>
  <c r="J36" i="89"/>
  <c r="J141" i="89" s="1"/>
  <c r="H36" i="89"/>
  <c r="G36" i="89"/>
  <c r="G141" i="89" s="1"/>
  <c r="F36" i="89"/>
  <c r="F141" i="89" s="1"/>
  <c r="F152" i="89" s="1"/>
  <c r="K34" i="89"/>
  <c r="I34" i="89"/>
  <c r="I33" i="89"/>
  <c r="K33" i="89" s="1"/>
  <c r="K32" i="89"/>
  <c r="I32" i="89"/>
  <c r="I31" i="89"/>
  <c r="K31" i="89" s="1"/>
  <c r="K30" i="89"/>
  <c r="I30" i="89"/>
  <c r="I29" i="89"/>
  <c r="K29" i="89" s="1"/>
  <c r="K28" i="89"/>
  <c r="I28" i="89"/>
  <c r="I27" i="89"/>
  <c r="K27" i="89" s="1"/>
  <c r="K26" i="89"/>
  <c r="I26" i="89"/>
  <c r="I25" i="89"/>
  <c r="K25" i="89" s="1"/>
  <c r="K24" i="89"/>
  <c r="I23" i="89"/>
  <c r="K23" i="89" s="1"/>
  <c r="I22" i="89"/>
  <c r="K22" i="89" s="1"/>
  <c r="I21" i="89"/>
  <c r="K21" i="89" s="1"/>
  <c r="K18" i="89"/>
  <c r="K150" i="89" s="1"/>
  <c r="H152" i="89" l="1"/>
  <c r="K36" i="89"/>
  <c r="K141" i="89" s="1"/>
  <c r="G152" i="89"/>
  <c r="J152" i="89"/>
  <c r="I36" i="89"/>
  <c r="I141" i="89" s="1"/>
  <c r="I152" i="89" s="1"/>
  <c r="K86" i="89"/>
  <c r="K98" i="89" s="1"/>
  <c r="K146" i="89" s="1"/>
  <c r="K102" i="89"/>
  <c r="K108" i="89" s="1"/>
  <c r="K147" i="89" s="1"/>
  <c r="K53" i="89"/>
  <c r="K64" i="89" s="1"/>
  <c r="K143" i="89" s="1"/>
  <c r="K152" i="89" l="1"/>
  <c r="F155" i="89" l="1"/>
  <c r="F154" i="89"/>
  <c r="J150" i="88" l="1"/>
  <c r="I150" i="88"/>
  <c r="H150" i="88"/>
  <c r="I149" i="88"/>
  <c r="K148" i="88"/>
  <c r="J146" i="88"/>
  <c r="F146" i="88"/>
  <c r="H143" i="88"/>
  <c r="J142" i="88"/>
  <c r="H142" i="88"/>
  <c r="G142" i="88"/>
  <c r="F142" i="88"/>
  <c r="J141" i="88"/>
  <c r="H141" i="88"/>
  <c r="F141" i="88"/>
  <c r="J137" i="88"/>
  <c r="J149" i="88" s="1"/>
  <c r="I137" i="88"/>
  <c r="H137" i="88"/>
  <c r="H149" i="88" s="1"/>
  <c r="G137" i="88"/>
  <c r="G149" i="88" s="1"/>
  <c r="F137" i="88"/>
  <c r="F149" i="88" s="1"/>
  <c r="K135" i="88"/>
  <c r="K134" i="88"/>
  <c r="K133" i="88"/>
  <c r="K132" i="88"/>
  <c r="K137" i="88" s="1"/>
  <c r="K149" i="88" s="1"/>
  <c r="K131" i="88"/>
  <c r="F119" i="88"/>
  <c r="F123" i="88" s="1"/>
  <c r="F127" i="88" s="1"/>
  <c r="J108" i="88"/>
  <c r="J147" i="88" s="1"/>
  <c r="H108" i="88"/>
  <c r="H147" i="88" s="1"/>
  <c r="G108" i="88"/>
  <c r="G147" i="88" s="1"/>
  <c r="F108" i="88"/>
  <c r="F147" i="88" s="1"/>
  <c r="I106" i="88"/>
  <c r="K106" i="88" s="1"/>
  <c r="I105" i="88"/>
  <c r="K105" i="88" s="1"/>
  <c r="I104" i="88"/>
  <c r="I108" i="88" s="1"/>
  <c r="I147" i="88" s="1"/>
  <c r="I103" i="88"/>
  <c r="K103" i="88" s="1"/>
  <c r="K102" i="88"/>
  <c r="J98" i="88"/>
  <c r="H98" i="88"/>
  <c r="H146" i="88" s="1"/>
  <c r="G98" i="88"/>
  <c r="G146" i="88" s="1"/>
  <c r="F98" i="88"/>
  <c r="I96" i="88"/>
  <c r="K96" i="88" s="1"/>
  <c r="K95" i="88"/>
  <c r="I95" i="88"/>
  <c r="I94" i="88"/>
  <c r="K94" i="88" s="1"/>
  <c r="K93" i="88"/>
  <c r="K92" i="88"/>
  <c r="I91" i="88"/>
  <c r="K91" i="88" s="1"/>
  <c r="K90" i="88"/>
  <c r="I90" i="88"/>
  <c r="I89" i="88"/>
  <c r="K89" i="88" s="1"/>
  <c r="K88" i="88"/>
  <c r="I87" i="88"/>
  <c r="K87" i="88" s="1"/>
  <c r="I86" i="88"/>
  <c r="K86" i="88" s="1"/>
  <c r="K98" i="88" s="1"/>
  <c r="K146" i="88" s="1"/>
  <c r="J82" i="88"/>
  <c r="J145" i="88" s="1"/>
  <c r="I82" i="88"/>
  <c r="I145" i="88" s="1"/>
  <c r="H82" i="88"/>
  <c r="H145" i="88" s="1"/>
  <c r="G82" i="88"/>
  <c r="G145" i="88" s="1"/>
  <c r="F82" i="88"/>
  <c r="F145" i="88" s="1"/>
  <c r="K80" i="88"/>
  <c r="K79" i="88"/>
  <c r="K78" i="88"/>
  <c r="K77" i="88"/>
  <c r="K82" i="88" s="1"/>
  <c r="K145" i="88" s="1"/>
  <c r="J74" i="88"/>
  <c r="J144" i="88" s="1"/>
  <c r="I74" i="88"/>
  <c r="I144" i="88" s="1"/>
  <c r="H74" i="88"/>
  <c r="H144" i="88" s="1"/>
  <c r="G74" i="88"/>
  <c r="G144" i="88" s="1"/>
  <c r="F74" i="88"/>
  <c r="F144" i="88" s="1"/>
  <c r="K72" i="88"/>
  <c r="K71" i="88"/>
  <c r="K70" i="88"/>
  <c r="K69" i="88"/>
  <c r="K74" i="88" s="1"/>
  <c r="K144" i="88" s="1"/>
  <c r="K68" i="88"/>
  <c r="J64" i="88"/>
  <c r="J143" i="88" s="1"/>
  <c r="I64" i="88"/>
  <c r="I143" i="88" s="1"/>
  <c r="H64" i="88"/>
  <c r="G64" i="88"/>
  <c r="G143" i="88" s="1"/>
  <c r="F64" i="88"/>
  <c r="F143" i="88" s="1"/>
  <c r="K62" i="88"/>
  <c r="K61" i="88"/>
  <c r="K60" i="88"/>
  <c r="K59" i="88"/>
  <c r="K58" i="88"/>
  <c r="K57" i="88"/>
  <c r="K56" i="88"/>
  <c r="K55" i="88"/>
  <c r="K54" i="88"/>
  <c r="K64" i="88" s="1"/>
  <c r="K143" i="88" s="1"/>
  <c r="K53" i="88"/>
  <c r="J49" i="88"/>
  <c r="I49" i="88"/>
  <c r="I142" i="88" s="1"/>
  <c r="H49" i="88"/>
  <c r="G49" i="88"/>
  <c r="F49" i="88"/>
  <c r="K47" i="88"/>
  <c r="K46" i="88"/>
  <c r="K45" i="88"/>
  <c r="K44" i="88"/>
  <c r="K43" i="88"/>
  <c r="K42" i="88"/>
  <c r="K41" i="88"/>
  <c r="K40" i="88"/>
  <c r="K49" i="88" s="1"/>
  <c r="K142" i="88" s="1"/>
  <c r="J36" i="88"/>
  <c r="H36" i="88"/>
  <c r="G36" i="88"/>
  <c r="G141" i="88" s="1"/>
  <c r="F36" i="88"/>
  <c r="I34" i="88"/>
  <c r="K34" i="88" s="1"/>
  <c r="K33" i="88"/>
  <c r="I33" i="88"/>
  <c r="I32" i="88"/>
  <c r="K32" i="88" s="1"/>
  <c r="K31" i="88"/>
  <c r="I31" i="88"/>
  <c r="K30" i="88"/>
  <c r="K29" i="88"/>
  <c r="K28" i="88"/>
  <c r="K27" i="88"/>
  <c r="I26" i="88"/>
  <c r="K26" i="88" s="1"/>
  <c r="K25" i="88"/>
  <c r="K24" i="88"/>
  <c r="K23" i="88"/>
  <c r="I22" i="88"/>
  <c r="K22" i="88" s="1"/>
  <c r="K21" i="88"/>
  <c r="K18" i="88"/>
  <c r="K150" i="88" s="1"/>
  <c r="J151" i="87"/>
  <c r="I151" i="87"/>
  <c r="H151" i="87"/>
  <c r="H150" i="87"/>
  <c r="K149" i="87"/>
  <c r="G148" i="87"/>
  <c r="F145" i="87"/>
  <c r="J138" i="87"/>
  <c r="J150" i="87" s="1"/>
  <c r="I138" i="87"/>
  <c r="I150" i="87" s="1"/>
  <c r="H138" i="87"/>
  <c r="G138" i="87"/>
  <c r="G150" i="87" s="1"/>
  <c r="F138" i="87"/>
  <c r="F150" i="87" s="1"/>
  <c r="K136" i="87"/>
  <c r="K135" i="87"/>
  <c r="K134" i="87"/>
  <c r="K133" i="87"/>
  <c r="K132" i="87"/>
  <c r="K138" i="87" s="1"/>
  <c r="K150" i="87" s="1"/>
  <c r="F120" i="87"/>
  <c r="J109" i="87"/>
  <c r="J148" i="87" s="1"/>
  <c r="H109" i="87"/>
  <c r="H148" i="87" s="1"/>
  <c r="G109" i="87"/>
  <c r="F109" i="87"/>
  <c r="F148" i="87" s="1"/>
  <c r="I107" i="87"/>
  <c r="K107" i="87" s="1"/>
  <c r="I106" i="87"/>
  <c r="K106" i="87" s="1"/>
  <c r="I105" i="87"/>
  <c r="K105" i="87" s="1"/>
  <c r="I104" i="87"/>
  <c r="K104" i="87" s="1"/>
  <c r="I103" i="87"/>
  <c r="K103" i="87" s="1"/>
  <c r="J99" i="87"/>
  <c r="J147" i="87" s="1"/>
  <c r="H99" i="87"/>
  <c r="H147" i="87" s="1"/>
  <c r="G99" i="87"/>
  <c r="G147" i="87" s="1"/>
  <c r="F99" i="87"/>
  <c r="F147" i="87" s="1"/>
  <c r="K97" i="87"/>
  <c r="I97" i="87"/>
  <c r="I96" i="87"/>
  <c r="K96" i="87" s="1"/>
  <c r="I95" i="87"/>
  <c r="K95" i="87" s="1"/>
  <c r="I94" i="87"/>
  <c r="K94" i="87" s="1"/>
  <c r="I93" i="87"/>
  <c r="K93" i="87" s="1"/>
  <c r="I92" i="87"/>
  <c r="K92" i="87" s="1"/>
  <c r="I91" i="87"/>
  <c r="K91" i="87" s="1"/>
  <c r="I90" i="87"/>
  <c r="K90" i="87" s="1"/>
  <c r="K89" i="87"/>
  <c r="I89" i="87"/>
  <c r="I88" i="87"/>
  <c r="K88" i="87" s="1"/>
  <c r="I87" i="87"/>
  <c r="K87" i="87" s="1"/>
  <c r="J83" i="87"/>
  <c r="J146" i="87" s="1"/>
  <c r="I83" i="87"/>
  <c r="I146" i="87" s="1"/>
  <c r="H83" i="87"/>
  <c r="H146" i="87" s="1"/>
  <c r="G83" i="87"/>
  <c r="G146" i="87" s="1"/>
  <c r="F83" i="87"/>
  <c r="F146" i="87" s="1"/>
  <c r="K81" i="87"/>
  <c r="K80" i="87"/>
  <c r="K79" i="87"/>
  <c r="K78" i="87"/>
  <c r="J75" i="87"/>
  <c r="J145" i="87" s="1"/>
  <c r="I75" i="87"/>
  <c r="I145" i="87" s="1"/>
  <c r="H75" i="87"/>
  <c r="H145" i="87" s="1"/>
  <c r="G75" i="87"/>
  <c r="G145" i="87" s="1"/>
  <c r="F75" i="87"/>
  <c r="K73" i="87"/>
  <c r="K72" i="87"/>
  <c r="K71" i="87"/>
  <c r="K70" i="87"/>
  <c r="K69" i="87"/>
  <c r="J65" i="87"/>
  <c r="J144" i="87" s="1"/>
  <c r="H65" i="87"/>
  <c r="H144" i="87" s="1"/>
  <c r="G65" i="87"/>
  <c r="G144" i="87" s="1"/>
  <c r="F65" i="87"/>
  <c r="F144" i="87" s="1"/>
  <c r="K64" i="87"/>
  <c r="K63" i="87"/>
  <c r="K62" i="87"/>
  <c r="K61" i="87"/>
  <c r="K60" i="87"/>
  <c r="K59" i="87"/>
  <c r="I58" i="87"/>
  <c r="I65" i="87" s="1"/>
  <c r="I144" i="87" s="1"/>
  <c r="K57" i="87"/>
  <c r="K56" i="87"/>
  <c r="K55" i="87"/>
  <c r="K54" i="87"/>
  <c r="K53" i="87"/>
  <c r="J49" i="87"/>
  <c r="J143" i="87" s="1"/>
  <c r="I49" i="87"/>
  <c r="I143" i="87" s="1"/>
  <c r="H49" i="87"/>
  <c r="H143" i="87" s="1"/>
  <c r="G49" i="87"/>
  <c r="G143" i="87" s="1"/>
  <c r="F49" i="87"/>
  <c r="F143" i="87" s="1"/>
  <c r="K43" i="87"/>
  <c r="K42" i="87"/>
  <c r="K41" i="87"/>
  <c r="K40" i="87"/>
  <c r="K49" i="87" s="1"/>
  <c r="K143" i="87" s="1"/>
  <c r="J36" i="87"/>
  <c r="J142" i="87" s="1"/>
  <c r="H36" i="87"/>
  <c r="H142" i="87" s="1"/>
  <c r="G36" i="87"/>
  <c r="G142" i="87" s="1"/>
  <c r="F36" i="87"/>
  <c r="F142" i="87" s="1"/>
  <c r="F153" i="87" s="1"/>
  <c r="I29" i="87"/>
  <c r="K29" i="87" s="1"/>
  <c r="I28" i="87"/>
  <c r="K28" i="87" s="1"/>
  <c r="I27" i="87"/>
  <c r="K27" i="87" s="1"/>
  <c r="I26" i="87"/>
  <c r="K26" i="87" s="1"/>
  <c r="I25" i="87"/>
  <c r="K25" i="87" s="1"/>
  <c r="I24" i="87"/>
  <c r="K24" i="87" s="1"/>
  <c r="I23" i="87"/>
  <c r="K23" i="87" s="1"/>
  <c r="K22" i="87"/>
  <c r="I22" i="87"/>
  <c r="I21" i="87"/>
  <c r="K18" i="87"/>
  <c r="K151" i="87" s="1"/>
  <c r="I99" i="87" l="1"/>
  <c r="I147" i="87" s="1"/>
  <c r="G153" i="87"/>
  <c r="I109" i="87"/>
  <c r="I148" i="87" s="1"/>
  <c r="K75" i="87"/>
  <c r="K145" i="87" s="1"/>
  <c r="K83" i="87"/>
  <c r="K146" i="87" s="1"/>
  <c r="I36" i="87"/>
  <c r="I142" i="87" s="1"/>
  <c r="I153" i="87" s="1"/>
  <c r="F152" i="88"/>
  <c r="K36" i="88"/>
  <c r="K141" i="88" s="1"/>
  <c r="G152" i="88"/>
  <c r="H152" i="88"/>
  <c r="J152" i="88"/>
  <c r="I36" i="88"/>
  <c r="I141" i="88" s="1"/>
  <c r="I98" i="88"/>
  <c r="I146" i="88" s="1"/>
  <c r="K104" i="88"/>
  <c r="K108" i="88" s="1"/>
  <c r="K147" i="88" s="1"/>
  <c r="K99" i="87"/>
  <c r="K147" i="87" s="1"/>
  <c r="H153" i="87"/>
  <c r="J153" i="87"/>
  <c r="K109" i="87"/>
  <c r="K148" i="87" s="1"/>
  <c r="K58" i="87"/>
  <c r="K65" i="87" s="1"/>
  <c r="K144" i="87" s="1"/>
  <c r="K21" i="87"/>
  <c r="K36" i="87" s="1"/>
  <c r="K142" i="87" s="1"/>
  <c r="I152" i="88" l="1"/>
  <c r="K152" i="88"/>
  <c r="K153" i="87"/>
  <c r="J150" i="86"/>
  <c r="I150" i="86"/>
  <c r="H150" i="86"/>
  <c r="I149" i="86"/>
  <c r="K148" i="86"/>
  <c r="H147" i="86"/>
  <c r="I145" i="86"/>
  <c r="H145" i="86"/>
  <c r="J144" i="86"/>
  <c r="G144" i="86"/>
  <c r="F144" i="86"/>
  <c r="I143" i="86"/>
  <c r="H143" i="86"/>
  <c r="J142" i="86"/>
  <c r="F142" i="86"/>
  <c r="H141" i="86"/>
  <c r="J137" i="86"/>
  <c r="J149" i="86" s="1"/>
  <c r="I137" i="86"/>
  <c r="H137" i="86"/>
  <c r="H149" i="86" s="1"/>
  <c r="G137" i="86"/>
  <c r="G149" i="86" s="1"/>
  <c r="F137" i="86"/>
  <c r="F149" i="86" s="1"/>
  <c r="K135" i="86"/>
  <c r="K134" i="86"/>
  <c r="K133" i="86"/>
  <c r="K132" i="86"/>
  <c r="K137" i="86" s="1"/>
  <c r="K149" i="86" s="1"/>
  <c r="K131" i="86"/>
  <c r="F119" i="86"/>
  <c r="J108" i="86"/>
  <c r="J147" i="86" s="1"/>
  <c r="H108" i="86"/>
  <c r="G108" i="86"/>
  <c r="G147" i="86" s="1"/>
  <c r="F108" i="86"/>
  <c r="F147" i="86" s="1"/>
  <c r="I106" i="86"/>
  <c r="K106" i="86" s="1"/>
  <c r="I105" i="86"/>
  <c r="K105" i="86" s="1"/>
  <c r="I104" i="86"/>
  <c r="K104" i="86" s="1"/>
  <c r="I103" i="86"/>
  <c r="K103" i="86" s="1"/>
  <c r="I102" i="86"/>
  <c r="I108" i="86" s="1"/>
  <c r="I147" i="86" s="1"/>
  <c r="J98" i="86"/>
  <c r="J146" i="86" s="1"/>
  <c r="H98" i="86"/>
  <c r="H146" i="86" s="1"/>
  <c r="G98" i="86"/>
  <c r="G146" i="86" s="1"/>
  <c r="F98" i="86"/>
  <c r="F146" i="86" s="1"/>
  <c r="I96" i="86"/>
  <c r="K96" i="86" s="1"/>
  <c r="I95" i="86"/>
  <c r="K95" i="86" s="1"/>
  <c r="I94" i="86"/>
  <c r="K94" i="86" s="1"/>
  <c r="I93" i="86"/>
  <c r="K93" i="86" s="1"/>
  <c r="I92" i="86"/>
  <c r="K92" i="86" s="1"/>
  <c r="I91" i="86"/>
  <c r="K91" i="86" s="1"/>
  <c r="I90" i="86"/>
  <c r="K90" i="86" s="1"/>
  <c r="I89" i="86"/>
  <c r="K89" i="86" s="1"/>
  <c r="I88" i="86"/>
  <c r="K88" i="86" s="1"/>
  <c r="I87" i="86"/>
  <c r="K87" i="86" s="1"/>
  <c r="I86" i="86"/>
  <c r="I98" i="86" s="1"/>
  <c r="I146" i="86" s="1"/>
  <c r="J82" i="86"/>
  <c r="J145" i="86" s="1"/>
  <c r="I82" i="86"/>
  <c r="H82" i="86"/>
  <c r="G82" i="86"/>
  <c r="G145" i="86" s="1"/>
  <c r="F82" i="86"/>
  <c r="F145" i="86" s="1"/>
  <c r="K80" i="86"/>
  <c r="K79" i="86"/>
  <c r="K78" i="86"/>
  <c r="K77" i="86"/>
  <c r="K82" i="86" s="1"/>
  <c r="K145" i="86" s="1"/>
  <c r="J74" i="86"/>
  <c r="I74" i="86"/>
  <c r="I144" i="86" s="1"/>
  <c r="H74" i="86"/>
  <c r="H144" i="86" s="1"/>
  <c r="G74" i="86"/>
  <c r="F74" i="86"/>
  <c r="K72" i="86"/>
  <c r="K71" i="86"/>
  <c r="K70" i="86"/>
  <c r="K69" i="86"/>
  <c r="K68" i="86"/>
  <c r="K74" i="86" s="1"/>
  <c r="K144" i="86" s="1"/>
  <c r="J64" i="86"/>
  <c r="J143" i="86" s="1"/>
  <c r="I64" i="86"/>
  <c r="H64" i="86"/>
  <c r="G64" i="86"/>
  <c r="G143" i="86" s="1"/>
  <c r="F64" i="86"/>
  <c r="F143" i="86" s="1"/>
  <c r="K62" i="86"/>
  <c r="K61" i="86"/>
  <c r="K60" i="86"/>
  <c r="K59" i="86"/>
  <c r="K58" i="86"/>
  <c r="K57" i="86"/>
  <c r="K56" i="86"/>
  <c r="K64" i="86" s="1"/>
  <c r="K143" i="86" s="1"/>
  <c r="K55" i="86"/>
  <c r="K54" i="86"/>
  <c r="K53" i="86"/>
  <c r="J49" i="86"/>
  <c r="I49" i="86"/>
  <c r="I142" i="86" s="1"/>
  <c r="H49" i="86"/>
  <c r="H142" i="86" s="1"/>
  <c r="G49" i="86"/>
  <c r="G142" i="86" s="1"/>
  <c r="F49" i="86"/>
  <c r="K47" i="86"/>
  <c r="K46" i="86"/>
  <c r="K45" i="86"/>
  <c r="K44" i="86"/>
  <c r="K43" i="86"/>
  <c r="K42" i="86"/>
  <c r="K41" i="86"/>
  <c r="K49" i="86" s="1"/>
  <c r="K142" i="86" s="1"/>
  <c r="K40" i="86"/>
  <c r="J36" i="86"/>
  <c r="J141" i="86" s="1"/>
  <c r="I36" i="86"/>
  <c r="I141" i="86" s="1"/>
  <c r="I152" i="86" s="1"/>
  <c r="H36" i="86"/>
  <c r="G36" i="86"/>
  <c r="G141" i="86" s="1"/>
  <c r="F36" i="86"/>
  <c r="F141" i="86" s="1"/>
  <c r="K34" i="86"/>
  <c r="I34" i="86"/>
  <c r="I33" i="86"/>
  <c r="K33" i="86" s="1"/>
  <c r="K32" i="86"/>
  <c r="I32" i="86"/>
  <c r="I31" i="86"/>
  <c r="K31" i="86" s="1"/>
  <c r="K30" i="86"/>
  <c r="I30" i="86"/>
  <c r="I29" i="86"/>
  <c r="K29" i="86" s="1"/>
  <c r="K28" i="86"/>
  <c r="I28" i="86"/>
  <c r="I27" i="86"/>
  <c r="K27" i="86" s="1"/>
  <c r="K26" i="86"/>
  <c r="I26" i="86"/>
  <c r="I25" i="86"/>
  <c r="K25" i="86" s="1"/>
  <c r="K24" i="86"/>
  <c r="I24" i="86"/>
  <c r="I23" i="86"/>
  <c r="K23" i="86" s="1"/>
  <c r="K22" i="86"/>
  <c r="I22" i="86"/>
  <c r="I21" i="86"/>
  <c r="K21" i="86" s="1"/>
  <c r="K36" i="86" s="1"/>
  <c r="K141" i="86" s="1"/>
  <c r="K18" i="86"/>
  <c r="K150" i="86" s="1"/>
  <c r="F154" i="88" l="1"/>
  <c r="F155" i="88"/>
  <c r="F156" i="87"/>
  <c r="F155" i="87"/>
  <c r="H152" i="86"/>
  <c r="F152" i="86"/>
  <c r="G152" i="86"/>
  <c r="J152" i="86"/>
  <c r="K86" i="86"/>
  <c r="K98" i="86" s="1"/>
  <c r="K146" i="86" s="1"/>
  <c r="K152" i="86" s="1"/>
  <c r="K102" i="86"/>
  <c r="K108" i="86" s="1"/>
  <c r="K147" i="86" s="1"/>
  <c r="F155" i="86" l="1"/>
  <c r="F154" i="86"/>
  <c r="J150" i="85" l="1"/>
  <c r="I150" i="85"/>
  <c r="H150" i="85"/>
  <c r="I149" i="85"/>
  <c r="G149" i="85"/>
  <c r="K148" i="85"/>
  <c r="J147" i="85"/>
  <c r="H147" i="85"/>
  <c r="F147" i="85"/>
  <c r="J146" i="85"/>
  <c r="H146" i="85"/>
  <c r="F146" i="85"/>
  <c r="J143" i="85"/>
  <c r="H143" i="85"/>
  <c r="F143" i="85"/>
  <c r="J142" i="85"/>
  <c r="H142" i="85"/>
  <c r="F142" i="85"/>
  <c r="J141" i="85"/>
  <c r="J152" i="85" s="1"/>
  <c r="H141" i="85"/>
  <c r="F141" i="85"/>
  <c r="J137" i="85"/>
  <c r="J149" i="85" s="1"/>
  <c r="I137" i="85"/>
  <c r="H137" i="85"/>
  <c r="H149" i="85" s="1"/>
  <c r="G137" i="85"/>
  <c r="F137" i="85"/>
  <c r="F149" i="85" s="1"/>
  <c r="K135" i="85"/>
  <c r="K134" i="85"/>
  <c r="K133" i="85"/>
  <c r="K132" i="85"/>
  <c r="K131" i="85"/>
  <c r="K137" i="85" s="1"/>
  <c r="K149" i="85" s="1"/>
  <c r="F123" i="85"/>
  <c r="F119" i="85"/>
  <c r="J108" i="85"/>
  <c r="I108" i="85"/>
  <c r="I147" i="85" s="1"/>
  <c r="H108" i="85"/>
  <c r="G108" i="85"/>
  <c r="G147" i="85" s="1"/>
  <c r="F108" i="85"/>
  <c r="K106" i="85"/>
  <c r="I106" i="85"/>
  <c r="K105" i="85"/>
  <c r="I105" i="85"/>
  <c r="K104" i="85"/>
  <c r="I104" i="85"/>
  <c r="K103" i="85"/>
  <c r="K108" i="85" s="1"/>
  <c r="K147" i="85" s="1"/>
  <c r="K102" i="85"/>
  <c r="J98" i="85"/>
  <c r="H98" i="85"/>
  <c r="G98" i="85"/>
  <c r="G146" i="85" s="1"/>
  <c r="F98" i="85"/>
  <c r="K96" i="85"/>
  <c r="I96" i="85"/>
  <c r="K95" i="85"/>
  <c r="I95" i="85"/>
  <c r="K94" i="85"/>
  <c r="I94" i="85"/>
  <c r="K93" i="85"/>
  <c r="I93" i="85"/>
  <c r="K92" i="85"/>
  <c r="K91" i="85"/>
  <c r="K90" i="85"/>
  <c r="I90" i="85"/>
  <c r="K89" i="85"/>
  <c r="I89" i="85"/>
  <c r="K88" i="85"/>
  <c r="I87" i="85"/>
  <c r="K87" i="85" s="1"/>
  <c r="I86" i="85"/>
  <c r="K86" i="85" s="1"/>
  <c r="K98" i="85" s="1"/>
  <c r="K146" i="85" s="1"/>
  <c r="J82" i="85"/>
  <c r="J145" i="85" s="1"/>
  <c r="I82" i="85"/>
  <c r="I145" i="85" s="1"/>
  <c r="H82" i="85"/>
  <c r="H145" i="85" s="1"/>
  <c r="G82" i="85"/>
  <c r="G145" i="85" s="1"/>
  <c r="F82" i="85"/>
  <c r="F145" i="85" s="1"/>
  <c r="K80" i="85"/>
  <c r="K79" i="85"/>
  <c r="K78" i="85"/>
  <c r="K77" i="85"/>
  <c r="K82" i="85" s="1"/>
  <c r="K145" i="85" s="1"/>
  <c r="J74" i="85"/>
  <c r="J144" i="85" s="1"/>
  <c r="I74" i="85"/>
  <c r="I144" i="85" s="1"/>
  <c r="H74" i="85"/>
  <c r="H144" i="85" s="1"/>
  <c r="G74" i="85"/>
  <c r="G144" i="85" s="1"/>
  <c r="F74" i="85"/>
  <c r="F144" i="85" s="1"/>
  <c r="K72" i="85"/>
  <c r="K71" i="85"/>
  <c r="K70" i="85"/>
  <c r="K69" i="85"/>
  <c r="K68" i="85"/>
  <c r="K74" i="85" s="1"/>
  <c r="K144" i="85" s="1"/>
  <c r="J64" i="85"/>
  <c r="I64" i="85"/>
  <c r="I143" i="85" s="1"/>
  <c r="H64" i="85"/>
  <c r="G64" i="85"/>
  <c r="G143" i="85" s="1"/>
  <c r="F64" i="85"/>
  <c r="K62" i="85"/>
  <c r="K61" i="85"/>
  <c r="K60" i="85"/>
  <c r="K59" i="85"/>
  <c r="K58" i="85"/>
  <c r="K57" i="85"/>
  <c r="K56" i="85"/>
  <c r="K64" i="85" s="1"/>
  <c r="K143" i="85" s="1"/>
  <c r="K55" i="85"/>
  <c r="K54" i="85"/>
  <c r="K53" i="85"/>
  <c r="J49" i="85"/>
  <c r="I49" i="85"/>
  <c r="I142" i="85" s="1"/>
  <c r="H49" i="85"/>
  <c r="G49" i="85"/>
  <c r="G142" i="85" s="1"/>
  <c r="F49" i="85"/>
  <c r="K47" i="85"/>
  <c r="K46" i="85"/>
  <c r="K45" i="85"/>
  <c r="K44" i="85"/>
  <c r="K43" i="85"/>
  <c r="K42" i="85"/>
  <c r="K41" i="85"/>
  <c r="K49" i="85" s="1"/>
  <c r="K142" i="85" s="1"/>
  <c r="K40" i="85"/>
  <c r="J36" i="85"/>
  <c r="H36" i="85"/>
  <c r="G36" i="85"/>
  <c r="G141" i="85" s="1"/>
  <c r="F36" i="85"/>
  <c r="K34" i="85"/>
  <c r="I34" i="85"/>
  <c r="K33" i="85"/>
  <c r="I33" i="85"/>
  <c r="K32" i="85"/>
  <c r="I32" i="85"/>
  <c r="K31" i="85"/>
  <c r="I31" i="85"/>
  <c r="K30" i="85"/>
  <c r="I30" i="85"/>
  <c r="K29" i="85"/>
  <c r="I28" i="85"/>
  <c r="K28" i="85" s="1"/>
  <c r="I27" i="85"/>
  <c r="K27" i="85" s="1"/>
  <c r="I26" i="85"/>
  <c r="K26" i="85" s="1"/>
  <c r="K25" i="85"/>
  <c r="K24" i="85"/>
  <c r="I23" i="85"/>
  <c r="K23" i="85" s="1"/>
  <c r="I22" i="85"/>
  <c r="K22" i="85" s="1"/>
  <c r="K21" i="85"/>
  <c r="K18" i="85"/>
  <c r="K150" i="85" s="1"/>
  <c r="G152" i="85" l="1"/>
  <c r="K36" i="85"/>
  <c r="K141" i="85" s="1"/>
  <c r="K152" i="85" s="1"/>
  <c r="H152" i="85"/>
  <c r="F152" i="85"/>
  <c r="I36" i="85"/>
  <c r="I141" i="85" s="1"/>
  <c r="I98" i="85"/>
  <c r="I146" i="85" s="1"/>
  <c r="F154" i="85" l="1"/>
  <c r="F155" i="85"/>
  <c r="I152" i="85"/>
  <c r="J150" i="84" l="1"/>
  <c r="I150" i="84"/>
  <c r="H150" i="84"/>
  <c r="H149" i="84"/>
  <c r="J146" i="84"/>
  <c r="F146" i="84"/>
  <c r="G143" i="84"/>
  <c r="J142" i="84"/>
  <c r="I142" i="84"/>
  <c r="G142" i="84"/>
  <c r="F142" i="84"/>
  <c r="H141" i="84"/>
  <c r="G141" i="84"/>
  <c r="J137" i="84"/>
  <c r="J149" i="84" s="1"/>
  <c r="I137" i="84"/>
  <c r="I149" i="84" s="1"/>
  <c r="H137" i="84"/>
  <c r="G137" i="84"/>
  <c r="G149" i="84" s="1"/>
  <c r="F137" i="84"/>
  <c r="F149" i="84" s="1"/>
  <c r="K135" i="84"/>
  <c r="K134" i="84"/>
  <c r="K133" i="84"/>
  <c r="K132" i="84"/>
  <c r="K131" i="84"/>
  <c r="K137" i="84" s="1"/>
  <c r="K149" i="84" s="1"/>
  <c r="F125" i="84"/>
  <c r="F119" i="84"/>
  <c r="F111" i="84"/>
  <c r="K148" i="84" s="1"/>
  <c r="J108" i="84"/>
  <c r="J147" i="84" s="1"/>
  <c r="H108" i="84"/>
  <c r="H147" i="84" s="1"/>
  <c r="G108" i="84"/>
  <c r="G147" i="84" s="1"/>
  <c r="F108" i="84"/>
  <c r="F147" i="84" s="1"/>
  <c r="I106" i="84"/>
  <c r="K106" i="84" s="1"/>
  <c r="K105" i="84"/>
  <c r="I105" i="84"/>
  <c r="I104" i="84"/>
  <c r="K104" i="84" s="1"/>
  <c r="K103" i="84"/>
  <c r="I103" i="84"/>
  <c r="I102" i="84"/>
  <c r="I108" i="84" s="1"/>
  <c r="I147" i="84" s="1"/>
  <c r="J98" i="84"/>
  <c r="H98" i="84"/>
  <c r="H146" i="84" s="1"/>
  <c r="G98" i="84"/>
  <c r="G146" i="84" s="1"/>
  <c r="F98" i="84"/>
  <c r="I96" i="84"/>
  <c r="K96" i="84" s="1"/>
  <c r="K95" i="84"/>
  <c r="I95" i="84"/>
  <c r="I94" i="84"/>
  <c r="K94" i="84" s="1"/>
  <c r="K93" i="84"/>
  <c r="I93" i="84"/>
  <c r="I92" i="84"/>
  <c r="K92" i="84" s="1"/>
  <c r="K91" i="84"/>
  <c r="I91" i="84"/>
  <c r="I90" i="84"/>
  <c r="K90" i="84" s="1"/>
  <c r="K89" i="84"/>
  <c r="I89" i="84"/>
  <c r="I88" i="84"/>
  <c r="K88" i="84" s="1"/>
  <c r="K87" i="84"/>
  <c r="I87" i="84"/>
  <c r="I86" i="84"/>
  <c r="I98" i="84" s="1"/>
  <c r="I146" i="84" s="1"/>
  <c r="J82" i="84"/>
  <c r="J145" i="84" s="1"/>
  <c r="I82" i="84"/>
  <c r="I145" i="84" s="1"/>
  <c r="H82" i="84"/>
  <c r="H145" i="84" s="1"/>
  <c r="G82" i="84"/>
  <c r="G145" i="84" s="1"/>
  <c r="F82" i="84"/>
  <c r="F145" i="84" s="1"/>
  <c r="K80" i="84"/>
  <c r="K79" i="84"/>
  <c r="K78" i="84"/>
  <c r="K82" i="84" s="1"/>
  <c r="K145" i="84" s="1"/>
  <c r="K77" i="84"/>
  <c r="J74" i="84"/>
  <c r="J144" i="84" s="1"/>
  <c r="I74" i="84"/>
  <c r="I144" i="84" s="1"/>
  <c r="H74" i="84"/>
  <c r="H144" i="84" s="1"/>
  <c r="G74" i="84"/>
  <c r="G144" i="84" s="1"/>
  <c r="F74" i="84"/>
  <c r="F144" i="84" s="1"/>
  <c r="K72" i="84"/>
  <c r="K71" i="84"/>
  <c r="K70" i="84"/>
  <c r="K69" i="84"/>
  <c r="K68" i="84"/>
  <c r="K74" i="84" s="1"/>
  <c r="K144" i="84" s="1"/>
  <c r="J64" i="84"/>
  <c r="J143" i="84" s="1"/>
  <c r="I64" i="84"/>
  <c r="I143" i="84" s="1"/>
  <c r="H64" i="84"/>
  <c r="H143" i="84" s="1"/>
  <c r="G64" i="84"/>
  <c r="F64" i="84"/>
  <c r="F143" i="84" s="1"/>
  <c r="K62" i="84"/>
  <c r="K61" i="84"/>
  <c r="K60" i="84"/>
  <c r="K59" i="84"/>
  <c r="K58" i="84"/>
  <c r="K57" i="84"/>
  <c r="K56" i="84"/>
  <c r="K55" i="84"/>
  <c r="K54" i="84"/>
  <c r="K53" i="84"/>
  <c r="K64" i="84" s="1"/>
  <c r="K143" i="84" s="1"/>
  <c r="J49" i="84"/>
  <c r="I49" i="84"/>
  <c r="H49" i="84"/>
  <c r="H142" i="84" s="1"/>
  <c r="G49" i="84"/>
  <c r="F49" i="84"/>
  <c r="K47" i="84"/>
  <c r="K46" i="84"/>
  <c r="K45" i="84"/>
  <c r="K44" i="84"/>
  <c r="K43" i="84"/>
  <c r="K42" i="84"/>
  <c r="K41" i="84"/>
  <c r="K40" i="84"/>
  <c r="K49" i="84" s="1"/>
  <c r="K142" i="84" s="1"/>
  <c r="J36" i="84"/>
  <c r="J141" i="84" s="1"/>
  <c r="J152" i="84" s="1"/>
  <c r="H36" i="84"/>
  <c r="G36" i="84"/>
  <c r="F36" i="84"/>
  <c r="F141" i="84" s="1"/>
  <c r="F152" i="84" s="1"/>
  <c r="I34" i="84"/>
  <c r="K34" i="84" s="1"/>
  <c r="I33" i="84"/>
  <c r="K33" i="84" s="1"/>
  <c r="I32" i="84"/>
  <c r="K32" i="84" s="1"/>
  <c r="I31" i="84"/>
  <c r="K31" i="84" s="1"/>
  <c r="I30" i="84"/>
  <c r="K30" i="84" s="1"/>
  <c r="I29" i="84"/>
  <c r="K29" i="84" s="1"/>
  <c r="I28" i="84"/>
  <c r="K28" i="84" s="1"/>
  <c r="I27" i="84"/>
  <c r="K27" i="84" s="1"/>
  <c r="I26" i="84"/>
  <c r="K26" i="84" s="1"/>
  <c r="I25" i="84"/>
  <c r="K25" i="84" s="1"/>
  <c r="I24" i="84"/>
  <c r="K24" i="84" s="1"/>
  <c r="I23" i="84"/>
  <c r="K23" i="84" s="1"/>
  <c r="I22" i="84"/>
  <c r="K22" i="84" s="1"/>
  <c r="I21" i="84"/>
  <c r="I36" i="84" s="1"/>
  <c r="I141" i="84" s="1"/>
  <c r="K18" i="84"/>
  <c r="K150" i="84" l="1"/>
  <c r="I152" i="84"/>
  <c r="H152" i="84"/>
  <c r="G152" i="84"/>
  <c r="K21" i="84"/>
  <c r="K36" i="84" s="1"/>
  <c r="K141" i="84" s="1"/>
  <c r="K152" i="84" s="1"/>
  <c r="F17" i="126" s="1"/>
  <c r="H17" i="126" s="1"/>
  <c r="K86" i="84"/>
  <c r="K98" i="84" s="1"/>
  <c r="K146" i="84" s="1"/>
  <c r="K102" i="84"/>
  <c r="K108" i="84" s="1"/>
  <c r="K147" i="84" s="1"/>
  <c r="I17" i="126" l="1"/>
  <c r="F155" i="84"/>
  <c r="F154" i="84"/>
  <c r="J150" i="83" l="1"/>
  <c r="I150" i="83"/>
  <c r="H150" i="83"/>
  <c r="J147" i="83"/>
  <c r="G147" i="83"/>
  <c r="F147" i="83"/>
  <c r="H146" i="83"/>
  <c r="J145" i="83"/>
  <c r="H145" i="83"/>
  <c r="G145" i="83"/>
  <c r="F145" i="83"/>
  <c r="J144" i="83"/>
  <c r="I144" i="83"/>
  <c r="H144" i="83"/>
  <c r="F144" i="83"/>
  <c r="I142" i="83"/>
  <c r="H142" i="83"/>
  <c r="J141" i="83"/>
  <c r="G141" i="83"/>
  <c r="F141" i="83"/>
  <c r="J137" i="83"/>
  <c r="J149" i="83" s="1"/>
  <c r="I137" i="83"/>
  <c r="I149" i="83" s="1"/>
  <c r="H137" i="83"/>
  <c r="H149" i="83" s="1"/>
  <c r="G137" i="83"/>
  <c r="G149" i="83" s="1"/>
  <c r="F137" i="83"/>
  <c r="F149" i="83" s="1"/>
  <c r="K135" i="83"/>
  <c r="K134" i="83"/>
  <c r="K133" i="83"/>
  <c r="K132" i="83"/>
  <c r="K131" i="83"/>
  <c r="K137" i="83" s="1"/>
  <c r="K149" i="83" s="1"/>
  <c r="F119" i="83"/>
  <c r="J108" i="83"/>
  <c r="H108" i="83"/>
  <c r="H147" i="83" s="1"/>
  <c r="G108" i="83"/>
  <c r="F108" i="83"/>
  <c r="I106" i="83"/>
  <c r="I108" i="83" s="1"/>
  <c r="I147" i="83" s="1"/>
  <c r="I105" i="83"/>
  <c r="K105" i="83" s="1"/>
  <c r="K104" i="83"/>
  <c r="K103" i="83"/>
  <c r="K102" i="83"/>
  <c r="J98" i="83"/>
  <c r="J146" i="83" s="1"/>
  <c r="H98" i="83"/>
  <c r="G98" i="83"/>
  <c r="G146" i="83" s="1"/>
  <c r="F98" i="83"/>
  <c r="F146" i="83" s="1"/>
  <c r="K96" i="83"/>
  <c r="I96" i="83"/>
  <c r="I95" i="83"/>
  <c r="K95" i="83" s="1"/>
  <c r="K94" i="83"/>
  <c r="I94" i="83"/>
  <c r="K93" i="83"/>
  <c r="K92" i="83"/>
  <c r="K91" i="83"/>
  <c r="I90" i="83"/>
  <c r="K90" i="83" s="1"/>
  <c r="I89" i="83"/>
  <c r="K89" i="83" s="1"/>
  <c r="K88" i="83"/>
  <c r="I87" i="83"/>
  <c r="K87" i="83" s="1"/>
  <c r="K86" i="83"/>
  <c r="I86" i="83"/>
  <c r="J82" i="83"/>
  <c r="I82" i="83"/>
  <c r="I145" i="83" s="1"/>
  <c r="H82" i="83"/>
  <c r="G82" i="83"/>
  <c r="F82" i="83"/>
  <c r="K80" i="83"/>
  <c r="K79" i="83"/>
  <c r="K78" i="83"/>
  <c r="K77" i="83"/>
  <c r="K82" i="83" s="1"/>
  <c r="K145" i="83" s="1"/>
  <c r="J74" i="83"/>
  <c r="I74" i="83"/>
  <c r="H74" i="83"/>
  <c r="G74" i="83"/>
  <c r="G144" i="83" s="1"/>
  <c r="F74" i="83"/>
  <c r="K72" i="83"/>
  <c r="K71" i="83"/>
  <c r="K70" i="83"/>
  <c r="K74" i="83" s="1"/>
  <c r="K144" i="83" s="1"/>
  <c r="K69" i="83"/>
  <c r="K68" i="83"/>
  <c r="J64" i="83"/>
  <c r="J143" i="83" s="1"/>
  <c r="I64" i="83"/>
  <c r="I143" i="83" s="1"/>
  <c r="H64" i="83"/>
  <c r="H143" i="83" s="1"/>
  <c r="G64" i="83"/>
  <c r="G143" i="83" s="1"/>
  <c r="F64" i="83"/>
  <c r="F143" i="83" s="1"/>
  <c r="K62" i="83"/>
  <c r="K61" i="83"/>
  <c r="K60" i="83"/>
  <c r="K59" i="83"/>
  <c r="K58" i="83"/>
  <c r="K57" i="83"/>
  <c r="K56" i="83"/>
  <c r="K55" i="83"/>
  <c r="K64" i="83" s="1"/>
  <c r="K143" i="83" s="1"/>
  <c r="K54" i="83"/>
  <c r="K53" i="83"/>
  <c r="J49" i="83"/>
  <c r="J142" i="83" s="1"/>
  <c r="I49" i="83"/>
  <c r="H49" i="83"/>
  <c r="G49" i="83"/>
  <c r="G142" i="83" s="1"/>
  <c r="F49" i="83"/>
  <c r="F142" i="83" s="1"/>
  <c r="K47" i="83"/>
  <c r="K46" i="83"/>
  <c r="K45" i="83"/>
  <c r="K44" i="83"/>
  <c r="K43" i="83"/>
  <c r="K42" i="83"/>
  <c r="K41" i="83"/>
  <c r="K40" i="83"/>
  <c r="K49" i="83" s="1"/>
  <c r="K142" i="83" s="1"/>
  <c r="J36" i="83"/>
  <c r="H36" i="83"/>
  <c r="H141" i="83" s="1"/>
  <c r="H152" i="83" s="1"/>
  <c r="G36" i="83"/>
  <c r="F36" i="83"/>
  <c r="I34" i="83"/>
  <c r="K34" i="83" s="1"/>
  <c r="I33" i="83"/>
  <c r="K33" i="83" s="1"/>
  <c r="I32" i="83"/>
  <c r="K32" i="83" s="1"/>
  <c r="I31" i="83"/>
  <c r="K31" i="83" s="1"/>
  <c r="K30" i="83"/>
  <c r="K29" i="83"/>
  <c r="I28" i="83"/>
  <c r="K28" i="83" s="1"/>
  <c r="I27" i="83"/>
  <c r="K27" i="83" s="1"/>
  <c r="K26" i="83"/>
  <c r="I25" i="83"/>
  <c r="K25" i="83" s="1"/>
  <c r="K24" i="83"/>
  <c r="I23" i="83"/>
  <c r="K23" i="83" s="1"/>
  <c r="K22" i="83"/>
  <c r="K18" i="83"/>
  <c r="K150" i="83" s="1"/>
  <c r="J150" i="82"/>
  <c r="I150" i="82"/>
  <c r="H150" i="82"/>
  <c r="H149" i="82"/>
  <c r="K148" i="82"/>
  <c r="H147" i="82"/>
  <c r="G147" i="82"/>
  <c r="H145" i="82"/>
  <c r="G145" i="82"/>
  <c r="J144" i="82"/>
  <c r="I144" i="82"/>
  <c r="F144" i="82"/>
  <c r="I143" i="82"/>
  <c r="H143" i="82"/>
  <c r="G143" i="82"/>
  <c r="I142" i="82"/>
  <c r="G141" i="82"/>
  <c r="J137" i="82"/>
  <c r="J149" i="82" s="1"/>
  <c r="I137" i="82"/>
  <c r="I149" i="82" s="1"/>
  <c r="H137" i="82"/>
  <c r="G137" i="82"/>
  <c r="G149" i="82" s="1"/>
  <c r="F137" i="82"/>
  <c r="F149" i="82" s="1"/>
  <c r="K135" i="82"/>
  <c r="K134" i="82"/>
  <c r="K133" i="82"/>
  <c r="K132" i="82"/>
  <c r="K131" i="82"/>
  <c r="K137" i="82" s="1"/>
  <c r="K149" i="82" s="1"/>
  <c r="F119" i="82"/>
  <c r="J108" i="82"/>
  <c r="J147" i="82" s="1"/>
  <c r="I108" i="82"/>
  <c r="I147" i="82" s="1"/>
  <c r="H108" i="82"/>
  <c r="G108" i="82"/>
  <c r="F108" i="82"/>
  <c r="F147" i="82" s="1"/>
  <c r="K106" i="82"/>
  <c r="I106" i="82"/>
  <c r="I105" i="82"/>
  <c r="K105" i="82" s="1"/>
  <c r="K104" i="82"/>
  <c r="I104" i="82"/>
  <c r="I103" i="82"/>
  <c r="K103" i="82" s="1"/>
  <c r="K102" i="82"/>
  <c r="I102" i="82"/>
  <c r="J98" i="82"/>
  <c r="J146" i="82" s="1"/>
  <c r="I98" i="82"/>
  <c r="I146" i="82" s="1"/>
  <c r="H98" i="82"/>
  <c r="H146" i="82" s="1"/>
  <c r="G98" i="82"/>
  <c r="G146" i="82" s="1"/>
  <c r="F98" i="82"/>
  <c r="F146" i="82" s="1"/>
  <c r="K96" i="82"/>
  <c r="I96" i="82"/>
  <c r="I95" i="82"/>
  <c r="K95" i="82" s="1"/>
  <c r="K94" i="82"/>
  <c r="I94" i="82"/>
  <c r="I93" i="82"/>
  <c r="K93" i="82" s="1"/>
  <c r="K92" i="82"/>
  <c r="I92" i="82"/>
  <c r="I91" i="82"/>
  <c r="K91" i="82" s="1"/>
  <c r="K90" i="82"/>
  <c r="I90" i="82"/>
  <c r="I89" i="82"/>
  <c r="K89" i="82" s="1"/>
  <c r="K88" i="82"/>
  <c r="I88" i="82"/>
  <c r="I87" i="82"/>
  <c r="K87" i="82" s="1"/>
  <c r="K86" i="82"/>
  <c r="I86" i="82"/>
  <c r="J82" i="82"/>
  <c r="J145" i="82" s="1"/>
  <c r="I82" i="82"/>
  <c r="I145" i="82" s="1"/>
  <c r="H82" i="82"/>
  <c r="G82" i="82"/>
  <c r="F82" i="82"/>
  <c r="F145" i="82" s="1"/>
  <c r="K80" i="82"/>
  <c r="K79" i="82"/>
  <c r="K78" i="82"/>
  <c r="K77" i="82"/>
  <c r="K82" i="82" s="1"/>
  <c r="K145" i="82" s="1"/>
  <c r="J74" i="82"/>
  <c r="I74" i="82"/>
  <c r="H74" i="82"/>
  <c r="H144" i="82" s="1"/>
  <c r="G74" i="82"/>
  <c r="G144" i="82" s="1"/>
  <c r="F74" i="82"/>
  <c r="K72" i="82"/>
  <c r="K71" i="82"/>
  <c r="K70" i="82"/>
  <c r="K74" i="82" s="1"/>
  <c r="K144" i="82" s="1"/>
  <c r="K69" i="82"/>
  <c r="K68" i="82"/>
  <c r="J64" i="82"/>
  <c r="J143" i="82" s="1"/>
  <c r="I64" i="82"/>
  <c r="H64" i="82"/>
  <c r="G64" i="82"/>
  <c r="F64" i="82"/>
  <c r="F143" i="82" s="1"/>
  <c r="K62" i="82"/>
  <c r="K61" i="82"/>
  <c r="K60" i="82"/>
  <c r="K59" i="82"/>
  <c r="K58" i="82"/>
  <c r="K57" i="82"/>
  <c r="K56" i="82"/>
  <c r="K55" i="82"/>
  <c r="K64" i="82" s="1"/>
  <c r="K143" i="82" s="1"/>
  <c r="K54" i="82"/>
  <c r="K53" i="82"/>
  <c r="J49" i="82"/>
  <c r="J142" i="82" s="1"/>
  <c r="I49" i="82"/>
  <c r="H49" i="82"/>
  <c r="H142" i="82" s="1"/>
  <c r="G49" i="82"/>
  <c r="G142" i="82" s="1"/>
  <c r="F49" i="82"/>
  <c r="F142" i="82" s="1"/>
  <c r="K47" i="82"/>
  <c r="K46" i="82"/>
  <c r="K45" i="82"/>
  <c r="K44" i="82"/>
  <c r="K43" i="82"/>
  <c r="K42" i="82"/>
  <c r="K41" i="82"/>
  <c r="K40" i="82"/>
  <c r="K49" i="82" s="1"/>
  <c r="K142" i="82" s="1"/>
  <c r="J36" i="82"/>
  <c r="J141" i="82" s="1"/>
  <c r="J152" i="82" s="1"/>
  <c r="H36" i="82"/>
  <c r="H141" i="82" s="1"/>
  <c r="G36" i="82"/>
  <c r="F36" i="82"/>
  <c r="F141" i="82" s="1"/>
  <c r="I34" i="82"/>
  <c r="K34" i="82" s="1"/>
  <c r="I33" i="82"/>
  <c r="K33" i="82" s="1"/>
  <c r="I32" i="82"/>
  <c r="K32" i="82" s="1"/>
  <c r="I31" i="82"/>
  <c r="K31" i="82" s="1"/>
  <c r="I30" i="82"/>
  <c r="K30" i="82" s="1"/>
  <c r="I29" i="82"/>
  <c r="K29" i="82" s="1"/>
  <c r="I28" i="82"/>
  <c r="K28" i="82" s="1"/>
  <c r="I27" i="82"/>
  <c r="K27" i="82" s="1"/>
  <c r="I26" i="82"/>
  <c r="K26" i="82" s="1"/>
  <c r="I25" i="82"/>
  <c r="K25" i="82" s="1"/>
  <c r="I24" i="82"/>
  <c r="K24" i="82" s="1"/>
  <c r="I23" i="82"/>
  <c r="K23" i="82" s="1"/>
  <c r="I22" i="82"/>
  <c r="I36" i="82" s="1"/>
  <c r="I141" i="82" s="1"/>
  <c r="I152" i="82" s="1"/>
  <c r="I21" i="82"/>
  <c r="K21" i="82" s="1"/>
  <c r="K18" i="82"/>
  <c r="K150" i="82" s="1"/>
  <c r="F152" i="83" l="1"/>
  <c r="G152" i="83"/>
  <c r="K36" i="83"/>
  <c r="K141" i="83" s="1"/>
  <c r="J152" i="83"/>
  <c r="K98" i="83"/>
  <c r="K146" i="83" s="1"/>
  <c r="I98" i="83"/>
  <c r="I146" i="83" s="1"/>
  <c r="I36" i="83"/>
  <c r="I141" i="83" s="1"/>
  <c r="I152" i="83" s="1"/>
  <c r="K106" i="83"/>
  <c r="K108" i="83" s="1"/>
  <c r="K147" i="83" s="1"/>
  <c r="H152" i="82"/>
  <c r="K108" i="82"/>
  <c r="K147" i="82" s="1"/>
  <c r="F152" i="82"/>
  <c r="K98" i="82"/>
  <c r="K146" i="82" s="1"/>
  <c r="G152" i="82"/>
  <c r="K22" i="82"/>
  <c r="K36" i="82" s="1"/>
  <c r="K141" i="82" s="1"/>
  <c r="K152" i="82" s="1"/>
  <c r="K152" i="83" l="1"/>
  <c r="F155" i="82"/>
  <c r="F154" i="82"/>
  <c r="F155" i="83" l="1"/>
  <c r="F154" i="83"/>
  <c r="J150" i="81"/>
  <c r="I150" i="81"/>
  <c r="H150" i="81"/>
  <c r="H149" i="81"/>
  <c r="K148" i="81"/>
  <c r="J146" i="81"/>
  <c r="F146" i="81"/>
  <c r="H143" i="81"/>
  <c r="G143" i="81"/>
  <c r="J142" i="81"/>
  <c r="G142" i="81"/>
  <c r="F142" i="81"/>
  <c r="H141" i="81"/>
  <c r="G141" i="81"/>
  <c r="J137" i="81"/>
  <c r="J149" i="81" s="1"/>
  <c r="I137" i="81"/>
  <c r="I149" i="81" s="1"/>
  <c r="H137" i="81"/>
  <c r="G137" i="81"/>
  <c r="G149" i="81" s="1"/>
  <c r="F137" i="81"/>
  <c r="F149" i="81" s="1"/>
  <c r="K135" i="81"/>
  <c r="K134" i="81"/>
  <c r="K133" i="81"/>
  <c r="K132" i="81"/>
  <c r="K131" i="81"/>
  <c r="K137" i="81" s="1"/>
  <c r="K149" i="81" s="1"/>
  <c r="F119" i="81"/>
  <c r="F123" i="81" s="1"/>
  <c r="F127" i="81" s="1"/>
  <c r="J108" i="81"/>
  <c r="J147" i="81" s="1"/>
  <c r="H108" i="81"/>
  <c r="H147" i="81" s="1"/>
  <c r="G108" i="81"/>
  <c r="G147" i="81" s="1"/>
  <c r="F108" i="81"/>
  <c r="F147" i="81" s="1"/>
  <c r="I106" i="81"/>
  <c r="K106" i="81" s="1"/>
  <c r="K105" i="81"/>
  <c r="I105" i="81"/>
  <c r="I104" i="81"/>
  <c r="K104" i="81" s="1"/>
  <c r="K103" i="81"/>
  <c r="I103" i="81"/>
  <c r="I102" i="81"/>
  <c r="I108" i="81" s="1"/>
  <c r="I147" i="81" s="1"/>
  <c r="J98" i="81"/>
  <c r="H98" i="81"/>
  <c r="H146" i="81" s="1"/>
  <c r="G98" i="81"/>
  <c r="G146" i="81" s="1"/>
  <c r="F98" i="81"/>
  <c r="I96" i="81"/>
  <c r="K96" i="81" s="1"/>
  <c r="K95" i="81"/>
  <c r="I95" i="81"/>
  <c r="I94" i="81"/>
  <c r="K94" i="81" s="1"/>
  <c r="K93" i="81"/>
  <c r="I93" i="81"/>
  <c r="I92" i="81"/>
  <c r="K92" i="81" s="1"/>
  <c r="K91" i="81"/>
  <c r="I91" i="81"/>
  <c r="I90" i="81"/>
  <c r="K90" i="81" s="1"/>
  <c r="K89" i="81"/>
  <c r="I89" i="81"/>
  <c r="I88" i="81"/>
  <c r="K88" i="81" s="1"/>
  <c r="K87" i="81"/>
  <c r="I87" i="81"/>
  <c r="I86" i="81"/>
  <c r="I98" i="81" s="1"/>
  <c r="I146" i="81" s="1"/>
  <c r="J82" i="81"/>
  <c r="J145" i="81" s="1"/>
  <c r="I82" i="81"/>
  <c r="I145" i="81" s="1"/>
  <c r="H82" i="81"/>
  <c r="H145" i="81" s="1"/>
  <c r="G82" i="81"/>
  <c r="G145" i="81" s="1"/>
  <c r="F82" i="81"/>
  <c r="F145" i="81" s="1"/>
  <c r="K80" i="81"/>
  <c r="K79" i="81"/>
  <c r="K78" i="81"/>
  <c r="K82" i="81" s="1"/>
  <c r="K145" i="81" s="1"/>
  <c r="K77" i="81"/>
  <c r="J74" i="81"/>
  <c r="J144" i="81" s="1"/>
  <c r="I74" i="81"/>
  <c r="I144" i="81" s="1"/>
  <c r="H74" i="81"/>
  <c r="H144" i="81" s="1"/>
  <c r="G74" i="81"/>
  <c r="G144" i="81" s="1"/>
  <c r="F74" i="81"/>
  <c r="F144" i="81" s="1"/>
  <c r="K72" i="81"/>
  <c r="K71" i="81"/>
  <c r="K70" i="81"/>
  <c r="K69" i="81"/>
  <c r="K68" i="81"/>
  <c r="K74" i="81" s="1"/>
  <c r="K144" i="81" s="1"/>
  <c r="I68" i="81"/>
  <c r="J64" i="81"/>
  <c r="J143" i="81" s="1"/>
  <c r="H64" i="81"/>
  <c r="G64" i="81"/>
  <c r="F64" i="81"/>
  <c r="F143" i="81" s="1"/>
  <c r="K62" i="81"/>
  <c r="K61" i="81"/>
  <c r="K60" i="81"/>
  <c r="I59" i="81"/>
  <c r="K59" i="81" s="1"/>
  <c r="I58" i="81"/>
  <c r="K58" i="81" s="1"/>
  <c r="I57" i="81"/>
  <c r="K57" i="81" s="1"/>
  <c r="I56" i="81"/>
  <c r="K56" i="81" s="1"/>
  <c r="I55" i="81"/>
  <c r="K55" i="81" s="1"/>
  <c r="I54" i="81"/>
  <c r="K54" i="81" s="1"/>
  <c r="I53" i="81"/>
  <c r="K53" i="81" s="1"/>
  <c r="J49" i="81"/>
  <c r="H49" i="81"/>
  <c r="H142" i="81" s="1"/>
  <c r="G49" i="81"/>
  <c r="F49" i="81"/>
  <c r="K47" i="81"/>
  <c r="K46" i="81"/>
  <c r="K45" i="81"/>
  <c r="K44" i="81"/>
  <c r="K43" i="81"/>
  <c r="K42" i="81"/>
  <c r="I42" i="81"/>
  <c r="I41" i="81"/>
  <c r="K41" i="81" s="1"/>
  <c r="K40" i="81"/>
  <c r="K49" i="81" s="1"/>
  <c r="K142" i="81" s="1"/>
  <c r="I40" i="81"/>
  <c r="J36" i="81"/>
  <c r="J141" i="81" s="1"/>
  <c r="I36" i="81"/>
  <c r="I141" i="81" s="1"/>
  <c r="H36" i="81"/>
  <c r="G36" i="81"/>
  <c r="F36" i="81"/>
  <c r="F141" i="81" s="1"/>
  <c r="K34" i="81"/>
  <c r="I34" i="81"/>
  <c r="I33" i="81"/>
  <c r="K33" i="81" s="1"/>
  <c r="K32" i="81"/>
  <c r="I32" i="81"/>
  <c r="I31" i="81"/>
  <c r="K31" i="81" s="1"/>
  <c r="K30" i="81"/>
  <c r="I30" i="81"/>
  <c r="I29" i="81"/>
  <c r="K29" i="81" s="1"/>
  <c r="K28" i="81"/>
  <c r="I28" i="81"/>
  <c r="I27" i="81"/>
  <c r="K27" i="81" s="1"/>
  <c r="K26" i="81"/>
  <c r="I26" i="81"/>
  <c r="I25" i="81"/>
  <c r="K25" i="81" s="1"/>
  <c r="K24" i="81"/>
  <c r="I24" i="81"/>
  <c r="I23" i="81"/>
  <c r="K23" i="81" s="1"/>
  <c r="K22" i="81"/>
  <c r="I22" i="81"/>
  <c r="I21" i="81"/>
  <c r="K21" i="81" s="1"/>
  <c r="K18" i="81"/>
  <c r="K150" i="81" s="1"/>
  <c r="K36" i="81" l="1"/>
  <c r="K141" i="81" s="1"/>
  <c r="K64" i="81"/>
  <c r="K143" i="81" s="1"/>
  <c r="G152" i="81"/>
  <c r="F152" i="81"/>
  <c r="J152" i="81"/>
  <c r="H152" i="81"/>
  <c r="I64" i="81"/>
  <c r="I143" i="81" s="1"/>
  <c r="I49" i="81"/>
  <c r="I142" i="81" s="1"/>
  <c r="I152" i="81" s="1"/>
  <c r="K86" i="81"/>
  <c r="K98" i="81" s="1"/>
  <c r="K146" i="81" s="1"/>
  <c r="K102" i="81"/>
  <c r="K108" i="81" s="1"/>
  <c r="K147" i="81" s="1"/>
  <c r="K152" i="81" l="1"/>
  <c r="F155" i="81" l="1"/>
  <c r="F154" i="81"/>
  <c r="J150" i="80" l="1"/>
  <c r="I150" i="80"/>
  <c r="H150" i="80"/>
  <c r="H149" i="80"/>
  <c r="K148" i="80"/>
  <c r="H147" i="80"/>
  <c r="G147" i="80"/>
  <c r="G145" i="80"/>
  <c r="H143" i="80"/>
  <c r="G143" i="80"/>
  <c r="I142" i="80"/>
  <c r="J137" i="80"/>
  <c r="J149" i="80" s="1"/>
  <c r="I137" i="80"/>
  <c r="I149" i="80" s="1"/>
  <c r="H137" i="80"/>
  <c r="G137" i="80"/>
  <c r="G149" i="80" s="1"/>
  <c r="F137" i="80"/>
  <c r="F149" i="80" s="1"/>
  <c r="K135" i="80"/>
  <c r="K134" i="80"/>
  <c r="K133" i="80"/>
  <c r="K132" i="80"/>
  <c r="K131" i="80"/>
  <c r="K137" i="80" s="1"/>
  <c r="K149" i="80" s="1"/>
  <c r="F119" i="80"/>
  <c r="J108" i="80"/>
  <c r="J147" i="80" s="1"/>
  <c r="I108" i="80"/>
  <c r="I147" i="80" s="1"/>
  <c r="H108" i="80"/>
  <c r="G108" i="80"/>
  <c r="F108" i="80"/>
  <c r="F147" i="80" s="1"/>
  <c r="K106" i="80"/>
  <c r="I106" i="80"/>
  <c r="I105" i="80"/>
  <c r="K105" i="80" s="1"/>
  <c r="K104" i="80"/>
  <c r="I104" i="80"/>
  <c r="I103" i="80"/>
  <c r="K103" i="80" s="1"/>
  <c r="K102" i="80"/>
  <c r="I102" i="80"/>
  <c r="J98" i="80"/>
  <c r="J146" i="80" s="1"/>
  <c r="I98" i="80"/>
  <c r="I146" i="80" s="1"/>
  <c r="H98" i="80"/>
  <c r="H146" i="80" s="1"/>
  <c r="G98" i="80"/>
  <c r="G146" i="80" s="1"/>
  <c r="F98" i="80"/>
  <c r="F146" i="80" s="1"/>
  <c r="K96" i="80"/>
  <c r="I96" i="80"/>
  <c r="I95" i="80"/>
  <c r="K95" i="80" s="1"/>
  <c r="K94" i="80"/>
  <c r="I94" i="80"/>
  <c r="I93" i="80"/>
  <c r="K93" i="80" s="1"/>
  <c r="K92" i="80"/>
  <c r="I92" i="80"/>
  <c r="I91" i="80"/>
  <c r="K91" i="80" s="1"/>
  <c r="K90" i="80"/>
  <c r="I90" i="80"/>
  <c r="I89" i="80"/>
  <c r="K89" i="80" s="1"/>
  <c r="K88" i="80"/>
  <c r="I88" i="80"/>
  <c r="I87" i="80"/>
  <c r="K87" i="80" s="1"/>
  <c r="K86" i="80"/>
  <c r="K98" i="80" s="1"/>
  <c r="K146" i="80" s="1"/>
  <c r="J82" i="80"/>
  <c r="J145" i="80" s="1"/>
  <c r="I82" i="80"/>
  <c r="I145" i="80" s="1"/>
  <c r="H82" i="80"/>
  <c r="H145" i="80" s="1"/>
  <c r="G82" i="80"/>
  <c r="F82" i="80"/>
  <c r="F145" i="80" s="1"/>
  <c r="K80" i="80"/>
  <c r="K79" i="80"/>
  <c r="K78" i="80"/>
  <c r="K77" i="80"/>
  <c r="J74" i="80"/>
  <c r="J144" i="80" s="1"/>
  <c r="H74" i="80"/>
  <c r="H144" i="80" s="1"/>
  <c r="G74" i="80"/>
  <c r="G144" i="80" s="1"/>
  <c r="F74" i="80"/>
  <c r="F144" i="80" s="1"/>
  <c r="K72" i="80"/>
  <c r="K71" i="80"/>
  <c r="K70" i="80"/>
  <c r="K69" i="80"/>
  <c r="I68" i="80"/>
  <c r="I74" i="80" s="1"/>
  <c r="I144" i="80" s="1"/>
  <c r="J64" i="80"/>
  <c r="J143" i="80" s="1"/>
  <c r="H64" i="80"/>
  <c r="G64" i="80"/>
  <c r="F64" i="80"/>
  <c r="F143" i="80" s="1"/>
  <c r="K62" i="80"/>
  <c r="K61" i="80"/>
  <c r="K60" i="80"/>
  <c r="K59" i="80"/>
  <c r="K58" i="80"/>
  <c r="K57" i="80"/>
  <c r="I56" i="80"/>
  <c r="K56" i="80" s="1"/>
  <c r="I55" i="80"/>
  <c r="K55" i="80" s="1"/>
  <c r="I54" i="80"/>
  <c r="K54" i="80" s="1"/>
  <c r="I53" i="80"/>
  <c r="I64" i="80" s="1"/>
  <c r="I143" i="80" s="1"/>
  <c r="J49" i="80"/>
  <c r="J142" i="80" s="1"/>
  <c r="I49" i="80"/>
  <c r="H49" i="80"/>
  <c r="H142" i="80" s="1"/>
  <c r="G49" i="80"/>
  <c r="G142" i="80" s="1"/>
  <c r="F49" i="80"/>
  <c r="F142" i="80" s="1"/>
  <c r="K47" i="80"/>
  <c r="K46" i="80"/>
  <c r="K45" i="80"/>
  <c r="K44" i="80"/>
  <c r="K43" i="80"/>
  <c r="K42" i="80"/>
  <c r="K41" i="80"/>
  <c r="K40" i="80"/>
  <c r="K49" i="80" s="1"/>
  <c r="K142" i="80" s="1"/>
  <c r="J36" i="80"/>
  <c r="J141" i="80" s="1"/>
  <c r="H36" i="80"/>
  <c r="H141" i="80" s="1"/>
  <c r="H152" i="80" s="1"/>
  <c r="I34" i="80"/>
  <c r="K34" i="80" s="1"/>
  <c r="I33" i="80"/>
  <c r="K33" i="80" s="1"/>
  <c r="I32" i="80"/>
  <c r="K32" i="80" s="1"/>
  <c r="I31" i="80"/>
  <c r="K31" i="80" s="1"/>
  <c r="I30" i="80"/>
  <c r="K30" i="80" s="1"/>
  <c r="I29" i="80"/>
  <c r="K29" i="80" s="1"/>
  <c r="I28" i="80"/>
  <c r="K28" i="80" s="1"/>
  <c r="I27" i="80"/>
  <c r="K27" i="80" s="1"/>
  <c r="I26" i="80"/>
  <c r="K26" i="80" s="1"/>
  <c r="I25" i="80"/>
  <c r="K25" i="80" s="1"/>
  <c r="G25" i="80"/>
  <c r="G36" i="80" s="1"/>
  <c r="G141" i="80" s="1"/>
  <c r="F25" i="80"/>
  <c r="F36" i="80" s="1"/>
  <c r="F141" i="80" s="1"/>
  <c r="I24" i="80"/>
  <c r="K24" i="80" s="1"/>
  <c r="I23" i="80"/>
  <c r="K23" i="80" s="1"/>
  <c r="I22" i="80"/>
  <c r="K22" i="80" s="1"/>
  <c r="I21" i="80"/>
  <c r="K18" i="80"/>
  <c r="K150" i="80" s="1"/>
  <c r="I36" i="80" l="1"/>
  <c r="I141" i="80" s="1"/>
  <c r="I152" i="80" s="1"/>
  <c r="K21" i="80"/>
  <c r="K36" i="80" s="1"/>
  <c r="K141" i="80" s="1"/>
  <c r="F152" i="80"/>
  <c r="G152" i="80"/>
  <c r="J152" i="80"/>
  <c r="K108" i="80"/>
  <c r="K147" i="80" s="1"/>
  <c r="K82" i="80"/>
  <c r="K145" i="80" s="1"/>
  <c r="K53" i="80"/>
  <c r="K64" i="80" s="1"/>
  <c r="K143" i="80" s="1"/>
  <c r="K68" i="80"/>
  <c r="K74" i="80" s="1"/>
  <c r="K144" i="80" s="1"/>
  <c r="K152" i="80" l="1"/>
  <c r="F155" i="80" l="1"/>
  <c r="F154" i="80"/>
  <c r="J150" i="78" l="1"/>
  <c r="I150" i="78"/>
  <c r="H150" i="78"/>
  <c r="I149" i="78"/>
  <c r="K148" i="78"/>
  <c r="H147" i="78"/>
  <c r="J146" i="78"/>
  <c r="G146" i="78"/>
  <c r="F146" i="78"/>
  <c r="H145" i="78"/>
  <c r="J144" i="78"/>
  <c r="G144" i="78"/>
  <c r="F144" i="78"/>
  <c r="H143" i="78"/>
  <c r="J142" i="78"/>
  <c r="F142" i="78"/>
  <c r="H141" i="78"/>
  <c r="J137" i="78"/>
  <c r="J149" i="78" s="1"/>
  <c r="I137" i="78"/>
  <c r="H137" i="78"/>
  <c r="H149" i="78" s="1"/>
  <c r="G137" i="78"/>
  <c r="G149" i="78" s="1"/>
  <c r="F137" i="78"/>
  <c r="F149" i="78" s="1"/>
  <c r="K135" i="78"/>
  <c r="K134" i="78"/>
  <c r="K133" i="78"/>
  <c r="K132" i="78"/>
  <c r="K137" i="78" s="1"/>
  <c r="K149" i="78" s="1"/>
  <c r="K131" i="78"/>
  <c r="F123" i="78"/>
  <c r="F119" i="78"/>
  <c r="J108" i="78"/>
  <c r="J147" i="78" s="1"/>
  <c r="I108" i="78"/>
  <c r="I147" i="78" s="1"/>
  <c r="H108" i="78"/>
  <c r="G108" i="78"/>
  <c r="G147" i="78" s="1"/>
  <c r="F108" i="78"/>
  <c r="F147" i="78" s="1"/>
  <c r="K106" i="78"/>
  <c r="I106" i="78"/>
  <c r="I105" i="78"/>
  <c r="K105" i="78" s="1"/>
  <c r="K104" i="78"/>
  <c r="I104" i="78"/>
  <c r="I103" i="78"/>
  <c r="K103" i="78" s="1"/>
  <c r="K102" i="78"/>
  <c r="I102" i="78"/>
  <c r="J98" i="78"/>
  <c r="I98" i="78"/>
  <c r="I146" i="78" s="1"/>
  <c r="H98" i="78"/>
  <c r="H146" i="78" s="1"/>
  <c r="G98" i="78"/>
  <c r="F98" i="78"/>
  <c r="K96" i="78"/>
  <c r="I96" i="78"/>
  <c r="I95" i="78"/>
  <c r="K95" i="78" s="1"/>
  <c r="K94" i="78"/>
  <c r="I94" i="78"/>
  <c r="I93" i="78"/>
  <c r="K93" i="78" s="1"/>
  <c r="K92" i="78"/>
  <c r="I92" i="78"/>
  <c r="I91" i="78"/>
  <c r="K91" i="78" s="1"/>
  <c r="K90" i="78"/>
  <c r="I90" i="78"/>
  <c r="I89" i="78"/>
  <c r="K89" i="78" s="1"/>
  <c r="K88" i="78"/>
  <c r="I88" i="78"/>
  <c r="I87" i="78"/>
  <c r="K87" i="78" s="1"/>
  <c r="K86" i="78"/>
  <c r="I86" i="78"/>
  <c r="J82" i="78"/>
  <c r="J145" i="78" s="1"/>
  <c r="I82" i="78"/>
  <c r="I145" i="78" s="1"/>
  <c r="H82" i="78"/>
  <c r="G82" i="78"/>
  <c r="G145" i="78" s="1"/>
  <c r="F82" i="78"/>
  <c r="F145" i="78" s="1"/>
  <c r="K80" i="78"/>
  <c r="K79" i="78"/>
  <c r="I79" i="78"/>
  <c r="K78" i="78"/>
  <c r="K77" i="78"/>
  <c r="K82" i="78" s="1"/>
  <c r="K145" i="78" s="1"/>
  <c r="I77" i="78"/>
  <c r="J74" i="78"/>
  <c r="I74" i="78"/>
  <c r="I144" i="78" s="1"/>
  <c r="H74" i="78"/>
  <c r="H144" i="78" s="1"/>
  <c r="G74" i="78"/>
  <c r="F74" i="78"/>
  <c r="K72" i="78"/>
  <c r="I72" i="78"/>
  <c r="I71" i="78"/>
  <c r="K71" i="78" s="1"/>
  <c r="K70" i="78"/>
  <c r="I70" i="78"/>
  <c r="I69" i="78"/>
  <c r="K69" i="78" s="1"/>
  <c r="K68" i="78"/>
  <c r="I68" i="78"/>
  <c r="J64" i="78"/>
  <c r="J143" i="78" s="1"/>
  <c r="I64" i="78"/>
  <c r="I143" i="78" s="1"/>
  <c r="H64" i="78"/>
  <c r="G64" i="78"/>
  <c r="G143" i="78" s="1"/>
  <c r="F64" i="78"/>
  <c r="F143" i="78" s="1"/>
  <c r="K62" i="78"/>
  <c r="I62" i="78"/>
  <c r="I61" i="78"/>
  <c r="K61" i="78" s="1"/>
  <c r="K60" i="78"/>
  <c r="I60" i="78"/>
  <c r="I59" i="78"/>
  <c r="K59" i="78" s="1"/>
  <c r="K58" i="78"/>
  <c r="I58" i="78"/>
  <c r="I57" i="78"/>
  <c r="K57" i="78" s="1"/>
  <c r="K56" i="78"/>
  <c r="I56" i="78"/>
  <c r="I55" i="78"/>
  <c r="K55" i="78" s="1"/>
  <c r="K54" i="78"/>
  <c r="I54" i="78"/>
  <c r="I53" i="78"/>
  <c r="K53" i="78" s="1"/>
  <c r="J49" i="78"/>
  <c r="H49" i="78"/>
  <c r="H142" i="78" s="1"/>
  <c r="G49" i="78"/>
  <c r="G142" i="78" s="1"/>
  <c r="F49" i="78"/>
  <c r="I47" i="78"/>
  <c r="K47" i="78" s="1"/>
  <c r="K46" i="78"/>
  <c r="I46" i="78"/>
  <c r="I45" i="78"/>
  <c r="K45" i="78" s="1"/>
  <c r="K44" i="78"/>
  <c r="I44" i="78"/>
  <c r="I43" i="78"/>
  <c r="K43" i="78" s="1"/>
  <c r="K42" i="78"/>
  <c r="I42" i="78"/>
  <c r="I41" i="78"/>
  <c r="K41" i="78" s="1"/>
  <c r="K40" i="78"/>
  <c r="I40" i="78"/>
  <c r="I49" i="78" s="1"/>
  <c r="I142" i="78" s="1"/>
  <c r="J36" i="78"/>
  <c r="J141" i="78" s="1"/>
  <c r="I36" i="78"/>
  <c r="I141" i="78" s="1"/>
  <c r="H36" i="78"/>
  <c r="G36" i="78"/>
  <c r="G141" i="78" s="1"/>
  <c r="F36" i="78"/>
  <c r="F141" i="78" s="1"/>
  <c r="K34" i="78"/>
  <c r="I34" i="78"/>
  <c r="I33" i="78"/>
  <c r="K33" i="78" s="1"/>
  <c r="K32" i="78"/>
  <c r="I32" i="78"/>
  <c r="I31" i="78"/>
  <c r="K31" i="78" s="1"/>
  <c r="K30" i="78"/>
  <c r="I30" i="78"/>
  <c r="I29" i="78"/>
  <c r="K29" i="78" s="1"/>
  <c r="K28" i="78"/>
  <c r="I28" i="78"/>
  <c r="I27" i="78"/>
  <c r="K27" i="78" s="1"/>
  <c r="K26" i="78"/>
  <c r="I26" i="78"/>
  <c r="I25" i="78"/>
  <c r="K25" i="78" s="1"/>
  <c r="K24" i="78"/>
  <c r="I24" i="78"/>
  <c r="I23" i="78"/>
  <c r="K23" i="78" s="1"/>
  <c r="K22" i="78"/>
  <c r="I22" i="78"/>
  <c r="K21" i="78"/>
  <c r="K18" i="78"/>
  <c r="K150" i="78" s="1"/>
  <c r="G152" i="78" l="1"/>
  <c r="K64" i="78"/>
  <c r="K143" i="78" s="1"/>
  <c r="F127" i="78"/>
  <c r="K49" i="78"/>
  <c r="K142" i="78" s="1"/>
  <c r="K74" i="78"/>
  <c r="K144" i="78" s="1"/>
  <c r="K98" i="78"/>
  <c r="K146" i="78" s="1"/>
  <c r="K36" i="78"/>
  <c r="K141" i="78" s="1"/>
  <c r="K152" i="78" s="1"/>
  <c r="I152" i="78"/>
  <c r="F152" i="78"/>
  <c r="J152" i="78"/>
  <c r="K108" i="78"/>
  <c r="K147" i="78" s="1"/>
  <c r="H152" i="78"/>
  <c r="F125" i="78"/>
  <c r="F155" i="78" l="1"/>
  <c r="F154" i="78"/>
  <c r="K150" i="77" l="1"/>
  <c r="J150" i="77"/>
  <c r="I150" i="77"/>
  <c r="H150" i="77"/>
  <c r="I149" i="77"/>
  <c r="K148" i="77"/>
  <c r="J146" i="77"/>
  <c r="G146" i="77"/>
  <c r="F146" i="77"/>
  <c r="J144" i="77"/>
  <c r="F144" i="77"/>
  <c r="H143" i="77"/>
  <c r="J142" i="77"/>
  <c r="G142" i="77"/>
  <c r="F142" i="77"/>
  <c r="H141" i="77"/>
  <c r="J137" i="77"/>
  <c r="J149" i="77" s="1"/>
  <c r="I137" i="77"/>
  <c r="H137" i="77"/>
  <c r="H149" i="77" s="1"/>
  <c r="G137" i="77"/>
  <c r="G149" i="77" s="1"/>
  <c r="F137" i="77"/>
  <c r="F149" i="77" s="1"/>
  <c r="K135" i="77"/>
  <c r="K134" i="77"/>
  <c r="K133" i="77"/>
  <c r="K132" i="77"/>
  <c r="K137" i="77" s="1"/>
  <c r="K149" i="77" s="1"/>
  <c r="K131" i="77"/>
  <c r="F119" i="77"/>
  <c r="F123" i="77" s="1"/>
  <c r="F127" i="77" s="1"/>
  <c r="J108" i="77"/>
  <c r="J147" i="77" s="1"/>
  <c r="H108" i="77"/>
  <c r="H147" i="77" s="1"/>
  <c r="G108" i="77"/>
  <c r="G147" i="77" s="1"/>
  <c r="F108" i="77"/>
  <c r="F147" i="77" s="1"/>
  <c r="I106" i="77"/>
  <c r="K106" i="77" s="1"/>
  <c r="I105" i="77"/>
  <c r="K105" i="77" s="1"/>
  <c r="I104" i="77"/>
  <c r="K104" i="77" s="1"/>
  <c r="I103" i="77"/>
  <c r="K103" i="77" s="1"/>
  <c r="I102" i="77"/>
  <c r="J98" i="77"/>
  <c r="H98" i="77"/>
  <c r="H146" i="77" s="1"/>
  <c r="G98" i="77"/>
  <c r="F98" i="77"/>
  <c r="I96" i="77"/>
  <c r="K96" i="77" s="1"/>
  <c r="I95" i="77"/>
  <c r="K95" i="77" s="1"/>
  <c r="I94" i="77"/>
  <c r="K94" i="77" s="1"/>
  <c r="I93" i="77"/>
  <c r="K93" i="77" s="1"/>
  <c r="I92" i="77"/>
  <c r="K92" i="77" s="1"/>
  <c r="I91" i="77"/>
  <c r="K91" i="77" s="1"/>
  <c r="I90" i="77"/>
  <c r="K90" i="77" s="1"/>
  <c r="I89" i="77"/>
  <c r="K89" i="77" s="1"/>
  <c r="I88" i="77"/>
  <c r="K88" i="77" s="1"/>
  <c r="I87" i="77"/>
  <c r="K87" i="77" s="1"/>
  <c r="I86" i="77"/>
  <c r="J82" i="77"/>
  <c r="J145" i="77" s="1"/>
  <c r="I82" i="77"/>
  <c r="I145" i="77" s="1"/>
  <c r="H82" i="77"/>
  <c r="H145" i="77" s="1"/>
  <c r="G82" i="77"/>
  <c r="G145" i="77" s="1"/>
  <c r="F82" i="77"/>
  <c r="F145" i="77" s="1"/>
  <c r="K80" i="77"/>
  <c r="K79" i="77"/>
  <c r="K78" i="77"/>
  <c r="K77" i="77"/>
  <c r="J74" i="77"/>
  <c r="I74" i="77"/>
  <c r="I144" i="77" s="1"/>
  <c r="H74" i="77"/>
  <c r="H144" i="77" s="1"/>
  <c r="G74" i="77"/>
  <c r="G144" i="77" s="1"/>
  <c r="F74" i="77"/>
  <c r="K72" i="77"/>
  <c r="K71" i="77"/>
  <c r="K70" i="77"/>
  <c r="K69" i="77"/>
  <c r="K74" i="77" s="1"/>
  <c r="K144" i="77" s="1"/>
  <c r="K68" i="77"/>
  <c r="J64" i="77"/>
  <c r="J143" i="77" s="1"/>
  <c r="H64" i="77"/>
  <c r="G64" i="77"/>
  <c r="G143" i="77" s="1"/>
  <c r="F64" i="77"/>
  <c r="F143" i="77" s="1"/>
  <c r="K62" i="77"/>
  <c r="K61" i="77"/>
  <c r="I60" i="77"/>
  <c r="K60" i="77" s="1"/>
  <c r="K59" i="77"/>
  <c r="I59" i="77"/>
  <c r="K58" i="77"/>
  <c r="I57" i="77"/>
  <c r="K57" i="77" s="1"/>
  <c r="I56" i="77"/>
  <c r="K56" i="77" s="1"/>
  <c r="I55" i="77"/>
  <c r="K55" i="77" s="1"/>
  <c r="I54" i="77"/>
  <c r="K54" i="77" s="1"/>
  <c r="I53" i="77"/>
  <c r="K53" i="77" s="1"/>
  <c r="J49" i="77"/>
  <c r="I49" i="77"/>
  <c r="I142" i="77" s="1"/>
  <c r="H49" i="77"/>
  <c r="H142" i="77" s="1"/>
  <c r="G49" i="77"/>
  <c r="F49" i="77"/>
  <c r="K47" i="77"/>
  <c r="K46" i="77"/>
  <c r="K45" i="77"/>
  <c r="K44" i="77"/>
  <c r="K43" i="77"/>
  <c r="K42" i="77"/>
  <c r="K41" i="77"/>
  <c r="K40" i="77"/>
  <c r="K49" i="77" s="1"/>
  <c r="K142" i="77" s="1"/>
  <c r="J36" i="77"/>
  <c r="J141" i="77" s="1"/>
  <c r="H36" i="77"/>
  <c r="G36" i="77"/>
  <c r="G141" i="77" s="1"/>
  <c r="G152" i="77" s="1"/>
  <c r="F36" i="77"/>
  <c r="F141" i="77" s="1"/>
  <c r="F152" i="77" s="1"/>
  <c r="I34" i="77"/>
  <c r="K34" i="77" s="1"/>
  <c r="I33" i="77"/>
  <c r="K33" i="77" s="1"/>
  <c r="I32" i="77"/>
  <c r="K32" i="77" s="1"/>
  <c r="I31" i="77"/>
  <c r="K31" i="77" s="1"/>
  <c r="I30" i="77"/>
  <c r="K30" i="77" s="1"/>
  <c r="I29" i="77"/>
  <c r="K29" i="77" s="1"/>
  <c r="I28" i="77"/>
  <c r="K28" i="77" s="1"/>
  <c r="I27" i="77"/>
  <c r="K27" i="77" s="1"/>
  <c r="I26" i="77"/>
  <c r="K26" i="77" s="1"/>
  <c r="K25" i="77"/>
  <c r="I25" i="77"/>
  <c r="I24" i="77"/>
  <c r="K24" i="77" s="1"/>
  <c r="I23" i="77"/>
  <c r="K23" i="77" s="1"/>
  <c r="I22" i="77"/>
  <c r="K22" i="77" s="1"/>
  <c r="I21" i="77"/>
  <c r="K18" i="77"/>
  <c r="I98" i="77" l="1"/>
  <c r="I146" i="77" s="1"/>
  <c r="K86" i="77"/>
  <c r="K98" i="77" s="1"/>
  <c r="K146" i="77" s="1"/>
  <c r="I36" i="77"/>
  <c r="I141" i="77" s="1"/>
  <c r="K64" i="77"/>
  <c r="K143" i="77" s="1"/>
  <c r="K21" i="77"/>
  <c r="K36" i="77" s="1"/>
  <c r="K141" i="77" s="1"/>
  <c r="J152" i="77"/>
  <c r="I64" i="77"/>
  <c r="I143" i="77" s="1"/>
  <c r="K82" i="77"/>
  <c r="K145" i="77" s="1"/>
  <c r="I108" i="77"/>
  <c r="I147" i="77" s="1"/>
  <c r="K102" i="77"/>
  <c r="K108" i="77" s="1"/>
  <c r="K147" i="77" s="1"/>
  <c r="H152" i="77"/>
  <c r="I152" i="77" l="1"/>
  <c r="K152" i="77"/>
  <c r="F155" i="77" l="1"/>
  <c r="F154" i="77"/>
  <c r="J150" i="76" l="1"/>
  <c r="I150" i="76"/>
  <c r="H150" i="76"/>
  <c r="H149" i="76"/>
  <c r="K148" i="76"/>
  <c r="H147" i="76"/>
  <c r="G147" i="76"/>
  <c r="H145" i="76"/>
  <c r="G145" i="76"/>
  <c r="J144" i="76"/>
  <c r="I144" i="76"/>
  <c r="F144" i="76"/>
  <c r="G143" i="76"/>
  <c r="J137" i="76"/>
  <c r="J149" i="76" s="1"/>
  <c r="I137" i="76"/>
  <c r="I149" i="76" s="1"/>
  <c r="H137" i="76"/>
  <c r="G137" i="76"/>
  <c r="G149" i="76" s="1"/>
  <c r="F137" i="76"/>
  <c r="F149" i="76" s="1"/>
  <c r="K135" i="76"/>
  <c r="K134" i="76"/>
  <c r="K133" i="76"/>
  <c r="K132" i="76"/>
  <c r="K131" i="76"/>
  <c r="K137" i="76" s="1"/>
  <c r="K149" i="76" s="1"/>
  <c r="F119" i="76"/>
  <c r="J108" i="76"/>
  <c r="J147" i="76" s="1"/>
  <c r="I108" i="76"/>
  <c r="I147" i="76" s="1"/>
  <c r="H108" i="76"/>
  <c r="G108" i="76"/>
  <c r="F108" i="76"/>
  <c r="F147" i="76" s="1"/>
  <c r="K106" i="76"/>
  <c r="I106" i="76"/>
  <c r="I105" i="76"/>
  <c r="K105" i="76" s="1"/>
  <c r="K104" i="76"/>
  <c r="K103" i="76"/>
  <c r="K102" i="76"/>
  <c r="J98" i="76"/>
  <c r="J146" i="76" s="1"/>
  <c r="H98" i="76"/>
  <c r="H146" i="76" s="1"/>
  <c r="G98" i="76"/>
  <c r="G146" i="76" s="1"/>
  <c r="F98" i="76"/>
  <c r="F146" i="76" s="1"/>
  <c r="I96" i="76"/>
  <c r="K96" i="76" s="1"/>
  <c r="I95" i="76"/>
  <c r="K95" i="76" s="1"/>
  <c r="I94" i="76"/>
  <c r="K94" i="76" s="1"/>
  <c r="I93" i="76"/>
  <c r="K93" i="76" s="1"/>
  <c r="I92" i="76"/>
  <c r="K92" i="76" s="1"/>
  <c r="I91" i="76"/>
  <c r="K91" i="76" s="1"/>
  <c r="I90" i="76"/>
  <c r="K90" i="76" s="1"/>
  <c r="I89" i="76"/>
  <c r="K89" i="76" s="1"/>
  <c r="I88" i="76"/>
  <c r="K88" i="76" s="1"/>
  <c r="K87" i="76"/>
  <c r="K86" i="76"/>
  <c r="I86" i="76"/>
  <c r="I98" i="76" s="1"/>
  <c r="I146" i="76" s="1"/>
  <c r="J82" i="76"/>
  <c r="J145" i="76" s="1"/>
  <c r="I82" i="76"/>
  <c r="I145" i="76" s="1"/>
  <c r="H82" i="76"/>
  <c r="G82" i="76"/>
  <c r="F82" i="76"/>
  <c r="F145" i="76" s="1"/>
  <c r="K80" i="76"/>
  <c r="K79" i="76"/>
  <c r="K78" i="76"/>
  <c r="K77" i="76"/>
  <c r="K82" i="76" s="1"/>
  <c r="K145" i="76" s="1"/>
  <c r="J74" i="76"/>
  <c r="I74" i="76"/>
  <c r="H74" i="76"/>
  <c r="H144" i="76" s="1"/>
  <c r="G74" i="76"/>
  <c r="G144" i="76" s="1"/>
  <c r="F74" i="76"/>
  <c r="K72" i="76"/>
  <c r="K71" i="76"/>
  <c r="K70" i="76"/>
  <c r="K74" i="76" s="1"/>
  <c r="K144" i="76" s="1"/>
  <c r="K69" i="76"/>
  <c r="K68" i="76"/>
  <c r="J64" i="76"/>
  <c r="J143" i="76" s="1"/>
  <c r="G64" i="76"/>
  <c r="F64" i="76"/>
  <c r="F143" i="76" s="1"/>
  <c r="K62" i="76"/>
  <c r="K61" i="76"/>
  <c r="K60" i="76"/>
  <c r="K59" i="76"/>
  <c r="I59" i="76"/>
  <c r="H59" i="76"/>
  <c r="H64" i="76" s="1"/>
  <c r="H143" i="76" s="1"/>
  <c r="K58" i="76"/>
  <c r="K57" i="76"/>
  <c r="I56" i="76"/>
  <c r="I64" i="76" s="1"/>
  <c r="I143" i="76" s="1"/>
  <c r="K55" i="76"/>
  <c r="K54" i="76"/>
  <c r="K53" i="76"/>
  <c r="J49" i="76"/>
  <c r="J142" i="76" s="1"/>
  <c r="I49" i="76"/>
  <c r="I142" i="76" s="1"/>
  <c r="H49" i="76"/>
  <c r="H142" i="76" s="1"/>
  <c r="G49" i="76"/>
  <c r="G142" i="76" s="1"/>
  <c r="F49" i="76"/>
  <c r="F142" i="76" s="1"/>
  <c r="K47" i="76"/>
  <c r="K46" i="76"/>
  <c r="K45" i="76"/>
  <c r="K44" i="76"/>
  <c r="K43" i="76"/>
  <c r="K42" i="76"/>
  <c r="K41" i="76"/>
  <c r="K40" i="76"/>
  <c r="K49" i="76" s="1"/>
  <c r="K142" i="76" s="1"/>
  <c r="J36" i="76"/>
  <c r="J141" i="76" s="1"/>
  <c r="H36" i="76"/>
  <c r="H141" i="76" s="1"/>
  <c r="H152" i="76" s="1"/>
  <c r="G36" i="76"/>
  <c r="G141" i="76" s="1"/>
  <c r="F36" i="76"/>
  <c r="F141" i="76" s="1"/>
  <c r="I34" i="76"/>
  <c r="K34" i="76" s="1"/>
  <c r="K33" i="76"/>
  <c r="I33" i="76"/>
  <c r="I32" i="76"/>
  <c r="K32" i="76" s="1"/>
  <c r="K31" i="76"/>
  <c r="K30" i="76"/>
  <c r="K29" i="76"/>
  <c r="I28" i="76"/>
  <c r="K28" i="76" s="1"/>
  <c r="I27" i="76"/>
  <c r="K27" i="76" s="1"/>
  <c r="I26" i="76"/>
  <c r="K26" i="76" s="1"/>
  <c r="I25" i="76"/>
  <c r="K25" i="76" s="1"/>
  <c r="K24" i="76"/>
  <c r="K23" i="76"/>
  <c r="I23" i="76"/>
  <c r="I22" i="76"/>
  <c r="I36" i="76" s="1"/>
  <c r="I141" i="76" s="1"/>
  <c r="K21" i="76"/>
  <c r="K18" i="76"/>
  <c r="K150" i="76" s="1"/>
  <c r="J152" i="76" l="1"/>
  <c r="K108" i="76"/>
  <c r="K147" i="76" s="1"/>
  <c r="F152" i="76"/>
  <c r="K98" i="76"/>
  <c r="K146" i="76" s="1"/>
  <c r="I152" i="76"/>
  <c r="G152" i="76"/>
  <c r="K22" i="76"/>
  <c r="K36" i="76" s="1"/>
  <c r="K141" i="76" s="1"/>
  <c r="K152" i="76" s="1"/>
  <c r="K56" i="76"/>
  <c r="K64" i="76" s="1"/>
  <c r="K143" i="76" s="1"/>
  <c r="F155" i="76" l="1"/>
  <c r="F154" i="76"/>
  <c r="I150" i="74" l="1"/>
  <c r="I149" i="74"/>
  <c r="F146" i="74"/>
  <c r="I145" i="74"/>
  <c r="J144" i="74"/>
  <c r="F144" i="74"/>
  <c r="I143" i="74"/>
  <c r="J137" i="74"/>
  <c r="J149" i="74" s="1"/>
  <c r="I137" i="74"/>
  <c r="H137" i="74"/>
  <c r="H149" i="74" s="1"/>
  <c r="G137" i="74"/>
  <c r="G149" i="74" s="1"/>
  <c r="F137" i="74"/>
  <c r="F149" i="74" s="1"/>
  <c r="K135" i="74"/>
  <c r="K134" i="74"/>
  <c r="K133" i="74"/>
  <c r="K132" i="74"/>
  <c r="K137" i="74" s="1"/>
  <c r="K149" i="74" s="1"/>
  <c r="K131" i="74"/>
  <c r="F127" i="74"/>
  <c r="F125" i="74"/>
  <c r="F121" i="74"/>
  <c r="F118" i="74"/>
  <c r="F119" i="74" s="1"/>
  <c r="F114" i="74"/>
  <c r="F111" i="74"/>
  <c r="K148" i="74" s="1"/>
  <c r="J108" i="74"/>
  <c r="J147" i="74" s="1"/>
  <c r="G108" i="74"/>
  <c r="G147" i="74" s="1"/>
  <c r="I104" i="74"/>
  <c r="K104" i="74" s="1"/>
  <c r="H103" i="74"/>
  <c r="H102" i="74"/>
  <c r="I102" i="74" s="1"/>
  <c r="F102" i="74"/>
  <c r="F108" i="74" s="1"/>
  <c r="F147" i="74" s="1"/>
  <c r="I96" i="74"/>
  <c r="K96" i="74" s="1"/>
  <c r="H93" i="74"/>
  <c r="I93" i="74" s="1"/>
  <c r="K93" i="74" s="1"/>
  <c r="G93" i="74"/>
  <c r="G98" i="74" s="1"/>
  <c r="G146" i="74" s="1"/>
  <c r="F93" i="74"/>
  <c r="I91" i="74"/>
  <c r="K91" i="74" s="1"/>
  <c r="H91" i="74"/>
  <c r="F91" i="74"/>
  <c r="I90" i="74"/>
  <c r="K90" i="74" s="1"/>
  <c r="H90" i="74"/>
  <c r="G90" i="74"/>
  <c r="F90" i="74"/>
  <c r="H89" i="74"/>
  <c r="I89" i="74" s="1"/>
  <c r="K89" i="74" s="1"/>
  <c r="F89" i="74"/>
  <c r="J88" i="74"/>
  <c r="J98" i="74" s="1"/>
  <c r="J146" i="74" s="1"/>
  <c r="H88" i="74"/>
  <c r="I88" i="74" s="1"/>
  <c r="F88" i="74"/>
  <c r="H87" i="74"/>
  <c r="F87" i="74"/>
  <c r="F98" i="74" s="1"/>
  <c r="I82" i="74"/>
  <c r="G82" i="74"/>
  <c r="G145" i="74" s="1"/>
  <c r="F82" i="74"/>
  <c r="F145" i="74" s="1"/>
  <c r="K80" i="74"/>
  <c r="J79" i="74"/>
  <c r="J82" i="74" s="1"/>
  <c r="J145" i="74" s="1"/>
  <c r="H79" i="74"/>
  <c r="G79" i="74"/>
  <c r="F79" i="74"/>
  <c r="K78" i="74"/>
  <c r="K77" i="74"/>
  <c r="H77" i="74"/>
  <c r="F77" i="74"/>
  <c r="J74" i="74"/>
  <c r="G74" i="74"/>
  <c r="G144" i="74" s="1"/>
  <c r="F74" i="74"/>
  <c r="K72" i="74"/>
  <c r="K71" i="74"/>
  <c r="K70" i="74"/>
  <c r="K69" i="74"/>
  <c r="H68" i="74"/>
  <c r="G68" i="74"/>
  <c r="F68" i="74"/>
  <c r="J64" i="74"/>
  <c r="J143" i="74" s="1"/>
  <c r="I64" i="74"/>
  <c r="G64" i="74"/>
  <c r="G143" i="74" s="1"/>
  <c r="F64" i="74"/>
  <c r="F143" i="74" s="1"/>
  <c r="K62" i="74"/>
  <c r="K61" i="74"/>
  <c r="K60" i="74"/>
  <c r="K59" i="74"/>
  <c r="H59" i="74"/>
  <c r="F59" i="74"/>
  <c r="K58" i="74"/>
  <c r="K57" i="74"/>
  <c r="K56" i="74"/>
  <c r="K55" i="74"/>
  <c r="H54" i="74"/>
  <c r="K54" i="74" s="1"/>
  <c r="K53" i="74"/>
  <c r="K64" i="74" s="1"/>
  <c r="K143" i="74" s="1"/>
  <c r="H53" i="74"/>
  <c r="J49" i="74"/>
  <c r="J142" i="74" s="1"/>
  <c r="F49" i="74"/>
  <c r="F142" i="74" s="1"/>
  <c r="K47" i="74"/>
  <c r="K46" i="74"/>
  <c r="H45" i="74"/>
  <c r="H44" i="74"/>
  <c r="K43" i="74"/>
  <c r="H42" i="74"/>
  <c r="G42" i="74"/>
  <c r="G49" i="74" s="1"/>
  <c r="G142" i="74" s="1"/>
  <c r="F42" i="74"/>
  <c r="H41" i="74"/>
  <c r="F41" i="74"/>
  <c r="H40" i="74"/>
  <c r="F40" i="74"/>
  <c r="I33" i="74"/>
  <c r="K33" i="74" s="1"/>
  <c r="I29" i="74"/>
  <c r="K29" i="74" s="1"/>
  <c r="H29" i="74"/>
  <c r="G29" i="74"/>
  <c r="F29" i="74"/>
  <c r="K28" i="74"/>
  <c r="J28" i="74"/>
  <c r="H28" i="74"/>
  <c r="I28" i="74" s="1"/>
  <c r="G28" i="74"/>
  <c r="F28" i="74"/>
  <c r="I26" i="74"/>
  <c r="K26" i="74" s="1"/>
  <c r="J25" i="74"/>
  <c r="H25" i="74"/>
  <c r="G25" i="74"/>
  <c r="F25" i="74"/>
  <c r="J24" i="74"/>
  <c r="H24" i="74"/>
  <c r="I24" i="74" s="1"/>
  <c r="G24" i="74"/>
  <c r="F24" i="74"/>
  <c r="H23" i="74"/>
  <c r="G23" i="74"/>
  <c r="F23" i="74"/>
  <c r="H22" i="74"/>
  <c r="G22" i="74"/>
  <c r="F22" i="74"/>
  <c r="J21" i="74"/>
  <c r="J36" i="74" s="1"/>
  <c r="J141" i="74" s="1"/>
  <c r="H21" i="74"/>
  <c r="G21" i="74"/>
  <c r="G36" i="74" s="1"/>
  <c r="G141" i="74" s="1"/>
  <c r="G152" i="74" s="1"/>
  <c r="F21" i="74"/>
  <c r="F36" i="74" s="1"/>
  <c r="F141" i="74" s="1"/>
  <c r="J18" i="74"/>
  <c r="J150" i="74" s="1"/>
  <c r="H18" i="74"/>
  <c r="J152" i="74" l="1"/>
  <c r="F152" i="74"/>
  <c r="I103" i="74"/>
  <c r="I108" i="74" s="1"/>
  <c r="I147" i="74" s="1"/>
  <c r="I22" i="74"/>
  <c r="K22" i="74" s="1"/>
  <c r="I42" i="74"/>
  <c r="K42" i="74" s="1"/>
  <c r="I45" i="74"/>
  <c r="K45" i="74" s="1"/>
  <c r="H82" i="74"/>
  <c r="H145" i="74" s="1"/>
  <c r="K79" i="74"/>
  <c r="K82" i="74" s="1"/>
  <c r="K145" i="74" s="1"/>
  <c r="I23" i="74"/>
  <c r="K23" i="74" s="1"/>
  <c r="H49" i="74"/>
  <c r="H142" i="74" s="1"/>
  <c r="I41" i="74"/>
  <c r="K41" i="74" s="1"/>
  <c r="H74" i="74"/>
  <c r="H144" i="74" s="1"/>
  <c r="I68" i="74"/>
  <c r="I74" i="74" s="1"/>
  <c r="I144" i="74" s="1"/>
  <c r="K87" i="74"/>
  <c r="I87" i="74"/>
  <c r="K88" i="74"/>
  <c r="H108" i="74"/>
  <c r="H147" i="74" s="1"/>
  <c r="I95" i="74"/>
  <c r="K95" i="74" s="1"/>
  <c r="I34" i="74"/>
  <c r="K34" i="74" s="1"/>
  <c r="I32" i="74"/>
  <c r="K32" i="74" s="1"/>
  <c r="I30" i="74"/>
  <c r="K30" i="74" s="1"/>
  <c r="I105" i="74"/>
  <c r="K105" i="74" s="1"/>
  <c r="I92" i="74"/>
  <c r="K92" i="74" s="1"/>
  <c r="I86" i="74"/>
  <c r="H150" i="74"/>
  <c r="K18" i="74"/>
  <c r="K150" i="74" s="1"/>
  <c r="H36" i="74"/>
  <c r="H141" i="74" s="1"/>
  <c r="I21" i="74"/>
  <c r="K24" i="74"/>
  <c r="I25" i="74"/>
  <c r="K25" i="74" s="1"/>
  <c r="I27" i="74"/>
  <c r="K27" i="74" s="1"/>
  <c r="I31" i="74"/>
  <c r="K31" i="74" s="1"/>
  <c r="I40" i="74"/>
  <c r="K44" i="74"/>
  <c r="I44" i="74"/>
  <c r="H64" i="74"/>
  <c r="H143" i="74" s="1"/>
  <c r="I94" i="74"/>
  <c r="K94" i="74" s="1"/>
  <c r="H98" i="74"/>
  <c r="H146" i="74" s="1"/>
  <c r="K102" i="74"/>
  <c r="I106" i="74"/>
  <c r="K106" i="74" s="1"/>
  <c r="I49" i="74" l="1"/>
  <c r="I142" i="74" s="1"/>
  <c r="K40" i="74"/>
  <c r="K49" i="74" s="1"/>
  <c r="K142" i="74" s="1"/>
  <c r="I36" i="74"/>
  <c r="I141" i="74" s="1"/>
  <c r="I152" i="74" s="1"/>
  <c r="K21" i="74"/>
  <c r="K36" i="74" s="1"/>
  <c r="K141" i="74" s="1"/>
  <c r="K86" i="74"/>
  <c r="K98" i="74" s="1"/>
  <c r="K146" i="74" s="1"/>
  <c r="I98" i="74"/>
  <c r="I146" i="74" s="1"/>
  <c r="K103" i="74"/>
  <c r="K108" i="74"/>
  <c r="K147" i="74" s="1"/>
  <c r="H152" i="74"/>
  <c r="K68" i="74"/>
  <c r="K74" i="74" s="1"/>
  <c r="K144" i="74" s="1"/>
  <c r="K152" i="74" l="1"/>
  <c r="F155" i="74" l="1"/>
  <c r="F154" i="74"/>
  <c r="J150" i="73" l="1"/>
  <c r="I150" i="73"/>
  <c r="I149" i="73"/>
  <c r="K148" i="73"/>
  <c r="J144" i="73"/>
  <c r="J142" i="73"/>
  <c r="G142" i="73"/>
  <c r="J137" i="73"/>
  <c r="J149" i="73" s="1"/>
  <c r="I137" i="73"/>
  <c r="H137" i="73"/>
  <c r="H149" i="73" s="1"/>
  <c r="G137" i="73"/>
  <c r="G149" i="73" s="1"/>
  <c r="F137" i="73"/>
  <c r="F149" i="73" s="1"/>
  <c r="K135" i="73"/>
  <c r="K134" i="73"/>
  <c r="K133" i="73"/>
  <c r="K132" i="73"/>
  <c r="K137" i="73" s="1"/>
  <c r="K149" i="73" s="1"/>
  <c r="K131" i="73"/>
  <c r="F127" i="73"/>
  <c r="F125" i="73"/>
  <c r="F123" i="73"/>
  <c r="F121" i="73"/>
  <c r="F118" i="73"/>
  <c r="F117" i="73"/>
  <c r="F119" i="73" s="1"/>
  <c r="J108" i="73"/>
  <c r="J147" i="73" s="1"/>
  <c r="H108" i="73"/>
  <c r="H147" i="73" s="1"/>
  <c r="G108" i="73"/>
  <c r="G147" i="73" s="1"/>
  <c r="I106" i="73"/>
  <c r="K106" i="73" s="1"/>
  <c r="K105" i="73"/>
  <c r="I105" i="73"/>
  <c r="I104" i="73"/>
  <c r="K104" i="73" s="1"/>
  <c r="H103" i="73"/>
  <c r="I103" i="73" s="1"/>
  <c r="I108" i="73" s="1"/>
  <c r="I147" i="73" s="1"/>
  <c r="K102" i="73"/>
  <c r="I102" i="73"/>
  <c r="H102" i="73"/>
  <c r="F102" i="73"/>
  <c r="F108" i="73" s="1"/>
  <c r="F147" i="73" s="1"/>
  <c r="G98" i="73"/>
  <c r="G146" i="73" s="1"/>
  <c r="I96" i="73"/>
  <c r="K96" i="73" s="1"/>
  <c r="K95" i="73"/>
  <c r="I95" i="73"/>
  <c r="I94" i="73"/>
  <c r="K94" i="73" s="1"/>
  <c r="K93" i="73"/>
  <c r="I93" i="73"/>
  <c r="H93" i="73"/>
  <c r="G93" i="73"/>
  <c r="F93" i="73"/>
  <c r="K92" i="73"/>
  <c r="I92" i="73"/>
  <c r="I91" i="73"/>
  <c r="K91" i="73" s="1"/>
  <c r="H91" i="73"/>
  <c r="F91" i="73"/>
  <c r="J90" i="73"/>
  <c r="K90" i="73" s="1"/>
  <c r="I90" i="73"/>
  <c r="H90" i="73"/>
  <c r="G90" i="73"/>
  <c r="F90" i="73"/>
  <c r="J89" i="73"/>
  <c r="H89" i="73"/>
  <c r="H98" i="73" s="1"/>
  <c r="H146" i="73" s="1"/>
  <c r="F89" i="73"/>
  <c r="J88" i="73"/>
  <c r="J98" i="73" s="1"/>
  <c r="J146" i="73" s="1"/>
  <c r="I88" i="73"/>
  <c r="H88" i="73"/>
  <c r="K88" i="73" s="1"/>
  <c r="F88" i="73"/>
  <c r="I87" i="73"/>
  <c r="K87" i="73" s="1"/>
  <c r="H87" i="73"/>
  <c r="F87" i="73"/>
  <c r="F98" i="73" s="1"/>
  <c r="F146" i="73" s="1"/>
  <c r="I86" i="73"/>
  <c r="I82" i="73"/>
  <c r="I145" i="73" s="1"/>
  <c r="H82" i="73"/>
  <c r="H145" i="73" s="1"/>
  <c r="K80" i="73"/>
  <c r="K79" i="73"/>
  <c r="J79" i="73"/>
  <c r="J82" i="73" s="1"/>
  <c r="J145" i="73" s="1"/>
  <c r="H79" i="73"/>
  <c r="G79" i="73"/>
  <c r="F79" i="73"/>
  <c r="K78" i="73"/>
  <c r="H77" i="73"/>
  <c r="K77" i="73" s="1"/>
  <c r="K82" i="73" s="1"/>
  <c r="K145" i="73" s="1"/>
  <c r="G77" i="73"/>
  <c r="G82" i="73" s="1"/>
  <c r="G145" i="73" s="1"/>
  <c r="F77" i="73"/>
  <c r="F82" i="73" s="1"/>
  <c r="F145" i="73" s="1"/>
  <c r="J74" i="73"/>
  <c r="I74" i="73"/>
  <c r="I144" i="73" s="1"/>
  <c r="H74" i="73"/>
  <c r="H144" i="73" s="1"/>
  <c r="K72" i="73"/>
  <c r="K71" i="73"/>
  <c r="K70" i="73"/>
  <c r="K69" i="73"/>
  <c r="K68" i="73"/>
  <c r="K74" i="73" s="1"/>
  <c r="K144" i="73" s="1"/>
  <c r="I68" i="73"/>
  <c r="H68" i="73"/>
  <c r="G68" i="73"/>
  <c r="G74" i="73" s="1"/>
  <c r="G144" i="73" s="1"/>
  <c r="F68" i="73"/>
  <c r="F74" i="73" s="1"/>
  <c r="F144" i="73" s="1"/>
  <c r="J64" i="73"/>
  <c r="J143" i="73" s="1"/>
  <c r="I64" i="73"/>
  <c r="I143" i="73" s="1"/>
  <c r="G64" i="73"/>
  <c r="G143" i="73" s="1"/>
  <c r="K62" i="73"/>
  <c r="K61" i="73"/>
  <c r="K60" i="73"/>
  <c r="H59" i="73"/>
  <c r="K59" i="73" s="1"/>
  <c r="F59" i="73"/>
  <c r="F64" i="73" s="1"/>
  <c r="F143" i="73" s="1"/>
  <c r="K58" i="73"/>
  <c r="K57" i="73"/>
  <c r="K56" i="73"/>
  <c r="K55" i="73"/>
  <c r="K54" i="73"/>
  <c r="H54" i="73"/>
  <c r="H53" i="73"/>
  <c r="H64" i="73" s="1"/>
  <c r="H143" i="73" s="1"/>
  <c r="J49" i="73"/>
  <c r="H49" i="73"/>
  <c r="H142" i="73" s="1"/>
  <c r="G49" i="73"/>
  <c r="K47" i="73"/>
  <c r="K46" i="73"/>
  <c r="K45" i="73"/>
  <c r="I45" i="73"/>
  <c r="I44" i="73"/>
  <c r="K44" i="73" s="1"/>
  <c r="H44" i="73"/>
  <c r="K43" i="73"/>
  <c r="I42" i="73"/>
  <c r="I49" i="73" s="1"/>
  <c r="I142" i="73" s="1"/>
  <c r="H42" i="73"/>
  <c r="G42" i="73"/>
  <c r="F42" i="73"/>
  <c r="K41" i="73"/>
  <c r="I41" i="73"/>
  <c r="H41" i="73"/>
  <c r="F41" i="73"/>
  <c r="K40" i="73"/>
  <c r="I40" i="73"/>
  <c r="H40" i="73"/>
  <c r="F40" i="73"/>
  <c r="F49" i="73" s="1"/>
  <c r="F142" i="73" s="1"/>
  <c r="I34" i="73"/>
  <c r="K34" i="73" s="1"/>
  <c r="K33" i="73"/>
  <c r="I33" i="73"/>
  <c r="I32" i="73"/>
  <c r="K32" i="73" s="1"/>
  <c r="K31" i="73"/>
  <c r="I31" i="73"/>
  <c r="I30" i="73"/>
  <c r="K30" i="73" s="1"/>
  <c r="J29" i="73"/>
  <c r="H29" i="73"/>
  <c r="I29" i="73" s="1"/>
  <c r="K29" i="73" s="1"/>
  <c r="G29" i="73"/>
  <c r="F29" i="73"/>
  <c r="J28" i="73"/>
  <c r="I28" i="73"/>
  <c r="H28" i="73"/>
  <c r="K28" i="73" s="1"/>
  <c r="G28" i="73"/>
  <c r="F28" i="73"/>
  <c r="K27" i="73"/>
  <c r="I27" i="73"/>
  <c r="I26" i="73"/>
  <c r="K26" i="73" s="1"/>
  <c r="J25" i="73"/>
  <c r="H25" i="73"/>
  <c r="I25" i="73" s="1"/>
  <c r="K25" i="73" s="1"/>
  <c r="G25" i="73"/>
  <c r="F25" i="73"/>
  <c r="J24" i="73"/>
  <c r="I24" i="73"/>
  <c r="H24" i="73"/>
  <c r="K24" i="73" s="1"/>
  <c r="G24" i="73"/>
  <c r="F24" i="73"/>
  <c r="J23" i="73"/>
  <c r="H23" i="73"/>
  <c r="I23" i="73" s="1"/>
  <c r="K23" i="73" s="1"/>
  <c r="G23" i="73"/>
  <c r="G36" i="73" s="1"/>
  <c r="G141" i="73" s="1"/>
  <c r="G152" i="73" s="1"/>
  <c r="F23" i="73"/>
  <c r="H22" i="73"/>
  <c r="G22" i="73"/>
  <c r="F22" i="73"/>
  <c r="J21" i="73"/>
  <c r="K21" i="73" s="1"/>
  <c r="I21" i="73"/>
  <c r="H21" i="73"/>
  <c r="G21" i="73"/>
  <c r="F21" i="73"/>
  <c r="F36" i="73" s="1"/>
  <c r="F141" i="73" s="1"/>
  <c r="F152" i="73" s="1"/>
  <c r="J18" i="73"/>
  <c r="H18" i="73"/>
  <c r="H150" i="73" s="1"/>
  <c r="C7" i="73"/>
  <c r="I36" i="73" l="1"/>
  <c r="I141" i="73" s="1"/>
  <c r="K22" i="73"/>
  <c r="K36" i="73" s="1"/>
  <c r="K141" i="73" s="1"/>
  <c r="K152" i="73" s="1"/>
  <c r="K108" i="73"/>
  <c r="K147" i="73" s="1"/>
  <c r="I98" i="73"/>
  <c r="I146" i="73" s="1"/>
  <c r="H36" i="73"/>
  <c r="H141" i="73" s="1"/>
  <c r="H152" i="73" s="1"/>
  <c r="K53" i="73"/>
  <c r="K64" i="73" s="1"/>
  <c r="K143" i="73" s="1"/>
  <c r="K18" i="73"/>
  <c r="K150" i="73" s="1"/>
  <c r="J36" i="73"/>
  <c r="J141" i="73" s="1"/>
  <c r="J152" i="73" s="1"/>
  <c r="K89" i="73"/>
  <c r="K103" i="73"/>
  <c r="I22" i="73"/>
  <c r="K42" i="73"/>
  <c r="K49" i="73" s="1"/>
  <c r="K142" i="73" s="1"/>
  <c r="K86" i="73"/>
  <c r="K98" i="73" s="1"/>
  <c r="K146" i="73" s="1"/>
  <c r="I89" i="73"/>
  <c r="F155" i="73" l="1"/>
  <c r="F154" i="73"/>
  <c r="I152" i="73"/>
  <c r="J150" i="72" l="1"/>
  <c r="I150" i="72"/>
  <c r="H150" i="72"/>
  <c r="I149" i="72"/>
  <c r="K148" i="72"/>
  <c r="J146" i="72"/>
  <c r="F146" i="72"/>
  <c r="J144" i="72"/>
  <c r="F144" i="72"/>
  <c r="H143" i="72"/>
  <c r="J142" i="72"/>
  <c r="F142" i="72"/>
  <c r="H141" i="72"/>
  <c r="J137" i="72"/>
  <c r="J149" i="72" s="1"/>
  <c r="I137" i="72"/>
  <c r="H137" i="72"/>
  <c r="H149" i="72" s="1"/>
  <c r="G137" i="72"/>
  <c r="G149" i="72" s="1"/>
  <c r="F137" i="72"/>
  <c r="F149" i="72" s="1"/>
  <c r="K135" i="72"/>
  <c r="K134" i="72"/>
  <c r="K133" i="72"/>
  <c r="K132" i="72"/>
  <c r="K131" i="72"/>
  <c r="K137" i="72" s="1"/>
  <c r="K149" i="72" s="1"/>
  <c r="F119" i="72"/>
  <c r="J108" i="72"/>
  <c r="J147" i="72" s="1"/>
  <c r="G108" i="72"/>
  <c r="G147" i="72" s="1"/>
  <c r="F108" i="72"/>
  <c r="F147" i="72" s="1"/>
  <c r="I106" i="72"/>
  <c r="K106" i="72" s="1"/>
  <c r="I105" i="72"/>
  <c r="K105" i="72" s="1"/>
  <c r="I104" i="72"/>
  <c r="K104" i="72" s="1"/>
  <c r="I103" i="72"/>
  <c r="K103" i="72" s="1"/>
  <c r="I102" i="72"/>
  <c r="I108" i="72" s="1"/>
  <c r="I147" i="72" s="1"/>
  <c r="H102" i="72"/>
  <c r="H108" i="72" s="1"/>
  <c r="H147" i="72" s="1"/>
  <c r="J98" i="72"/>
  <c r="H98" i="72"/>
  <c r="H146" i="72" s="1"/>
  <c r="G98" i="72"/>
  <c r="G146" i="72" s="1"/>
  <c r="F98" i="72"/>
  <c r="K96" i="72"/>
  <c r="I96" i="72"/>
  <c r="K95" i="72"/>
  <c r="I95" i="72"/>
  <c r="K94" i="72"/>
  <c r="I94" i="72"/>
  <c r="K93" i="72"/>
  <c r="I93" i="72"/>
  <c r="K92" i="72"/>
  <c r="I92" i="72"/>
  <c r="K91" i="72"/>
  <c r="I91" i="72"/>
  <c r="K90" i="72"/>
  <c r="I90" i="72"/>
  <c r="K89" i="72"/>
  <c r="I89" i="72"/>
  <c r="K88" i="72"/>
  <c r="I88" i="72"/>
  <c r="K87" i="72"/>
  <c r="K98" i="72" s="1"/>
  <c r="K146" i="72" s="1"/>
  <c r="I87" i="72"/>
  <c r="K86" i="72"/>
  <c r="I86" i="72"/>
  <c r="I98" i="72" s="1"/>
  <c r="I146" i="72" s="1"/>
  <c r="J82" i="72"/>
  <c r="J145" i="72" s="1"/>
  <c r="G82" i="72"/>
  <c r="G145" i="72" s="1"/>
  <c r="F82" i="72"/>
  <c r="F145" i="72" s="1"/>
  <c r="K80" i="72"/>
  <c r="I79" i="72"/>
  <c r="I82" i="72" s="1"/>
  <c r="I145" i="72" s="1"/>
  <c r="H79" i="72"/>
  <c r="H82" i="72" s="1"/>
  <c r="H145" i="72" s="1"/>
  <c r="K78" i="72"/>
  <c r="K77" i="72"/>
  <c r="J74" i="72"/>
  <c r="I74" i="72"/>
  <c r="I144" i="72" s="1"/>
  <c r="H74" i="72"/>
  <c r="H144" i="72" s="1"/>
  <c r="G74" i="72"/>
  <c r="G144" i="72" s="1"/>
  <c r="F74" i="72"/>
  <c r="K72" i="72"/>
  <c r="K71" i="72"/>
  <c r="K70" i="72"/>
  <c r="K74" i="72" s="1"/>
  <c r="K144" i="72" s="1"/>
  <c r="K69" i="72"/>
  <c r="K68" i="72"/>
  <c r="I68" i="72"/>
  <c r="J64" i="72"/>
  <c r="J143" i="72" s="1"/>
  <c r="I64" i="72"/>
  <c r="I143" i="72" s="1"/>
  <c r="H64" i="72"/>
  <c r="G64" i="72"/>
  <c r="G143" i="72" s="1"/>
  <c r="F64" i="72"/>
  <c r="F143" i="72" s="1"/>
  <c r="K62" i="72"/>
  <c r="K61" i="72"/>
  <c r="K60" i="72"/>
  <c r="I60" i="72"/>
  <c r="K59" i="72"/>
  <c r="I59" i="72"/>
  <c r="K58" i="72"/>
  <c r="I58" i="72"/>
  <c r="K57" i="72"/>
  <c r="I57" i="72"/>
  <c r="K56" i="72"/>
  <c r="I56" i="72"/>
  <c r="K55" i="72"/>
  <c r="I55" i="72"/>
  <c r="K54" i="72"/>
  <c r="K64" i="72" s="1"/>
  <c r="K143" i="72" s="1"/>
  <c r="I54" i="72"/>
  <c r="K53" i="72"/>
  <c r="I53" i="72"/>
  <c r="J49" i="72"/>
  <c r="H49" i="72"/>
  <c r="H142" i="72" s="1"/>
  <c r="G49" i="72"/>
  <c r="G142" i="72" s="1"/>
  <c r="F49" i="72"/>
  <c r="K47" i="72"/>
  <c r="I46" i="72"/>
  <c r="K46" i="72" s="1"/>
  <c r="I45" i="72"/>
  <c r="K45" i="72" s="1"/>
  <c r="I44" i="72"/>
  <c r="I49" i="72" s="1"/>
  <c r="I142" i="72" s="1"/>
  <c r="K43" i="72"/>
  <c r="K42" i="72"/>
  <c r="I42" i="72"/>
  <c r="K41" i="72"/>
  <c r="I41" i="72"/>
  <c r="K40" i="72"/>
  <c r="I40" i="72"/>
  <c r="J36" i="72"/>
  <c r="J141" i="72" s="1"/>
  <c r="I36" i="72"/>
  <c r="I141" i="72" s="1"/>
  <c r="H36" i="72"/>
  <c r="G36" i="72"/>
  <c r="G141" i="72" s="1"/>
  <c r="F36" i="72"/>
  <c r="F141" i="72" s="1"/>
  <c r="K34" i="72"/>
  <c r="I34" i="72"/>
  <c r="K33" i="72"/>
  <c r="I33" i="72"/>
  <c r="K32" i="72"/>
  <c r="I32" i="72"/>
  <c r="K31" i="72"/>
  <c r="I31" i="72"/>
  <c r="K30" i="72"/>
  <c r="I30" i="72"/>
  <c r="K29" i="72"/>
  <c r="I29" i="72"/>
  <c r="K28" i="72"/>
  <c r="I28" i="72"/>
  <c r="K27" i="72"/>
  <c r="I27" i="72"/>
  <c r="K26" i="72"/>
  <c r="I26" i="72"/>
  <c r="K25" i="72"/>
  <c r="I25" i="72"/>
  <c r="K24" i="72"/>
  <c r="I24" i="72"/>
  <c r="K23" i="72"/>
  <c r="I23" i="72"/>
  <c r="K22" i="72"/>
  <c r="I22" i="72"/>
  <c r="K21" i="72"/>
  <c r="K36" i="72" s="1"/>
  <c r="K141" i="72" s="1"/>
  <c r="I21" i="72"/>
  <c r="K18" i="72"/>
  <c r="K150" i="72" s="1"/>
  <c r="G152" i="72" l="1"/>
  <c r="I152" i="72"/>
  <c r="F152" i="72"/>
  <c r="J152" i="72"/>
  <c r="H152" i="72"/>
  <c r="K102" i="72"/>
  <c r="K108" i="72" s="1"/>
  <c r="K147" i="72" s="1"/>
  <c r="K44" i="72"/>
  <c r="K49" i="72" s="1"/>
  <c r="K142" i="72" s="1"/>
  <c r="K152" i="72" s="1"/>
  <c r="K79" i="72"/>
  <c r="K82" i="72" s="1"/>
  <c r="K145" i="72" s="1"/>
  <c r="F155" i="72" l="1"/>
  <c r="F154" i="72"/>
  <c r="K150" i="71" l="1"/>
  <c r="J150" i="71"/>
  <c r="I150" i="71"/>
  <c r="H150" i="71"/>
  <c r="G149" i="71"/>
  <c r="K148" i="71"/>
  <c r="J147" i="71"/>
  <c r="G147" i="71"/>
  <c r="F147" i="71"/>
  <c r="H146" i="71"/>
  <c r="J143" i="71"/>
  <c r="F143" i="71"/>
  <c r="I142" i="71"/>
  <c r="H142" i="71"/>
  <c r="J141" i="71"/>
  <c r="G141" i="71"/>
  <c r="F141" i="71"/>
  <c r="J137" i="71"/>
  <c r="J149" i="71" s="1"/>
  <c r="I137" i="71"/>
  <c r="I149" i="71" s="1"/>
  <c r="H137" i="71"/>
  <c r="H149" i="71" s="1"/>
  <c r="G137" i="71"/>
  <c r="F137" i="71"/>
  <c r="F149" i="71" s="1"/>
  <c r="K135" i="71"/>
  <c r="K134" i="71"/>
  <c r="K133" i="71"/>
  <c r="K132" i="71"/>
  <c r="K131" i="71"/>
  <c r="K137" i="71" s="1"/>
  <c r="K149" i="71" s="1"/>
  <c r="F119" i="71"/>
  <c r="J108" i="71"/>
  <c r="H108" i="71"/>
  <c r="H147" i="71" s="1"/>
  <c r="G108" i="71"/>
  <c r="F108" i="71"/>
  <c r="I106" i="71"/>
  <c r="K106" i="71" s="1"/>
  <c r="I105" i="71"/>
  <c r="K105" i="71" s="1"/>
  <c r="K104" i="71"/>
  <c r="K103" i="71"/>
  <c r="I103" i="71"/>
  <c r="I102" i="71"/>
  <c r="I108" i="71" s="1"/>
  <c r="I147" i="71" s="1"/>
  <c r="J98" i="71"/>
  <c r="J146" i="71" s="1"/>
  <c r="H98" i="71"/>
  <c r="G98" i="71"/>
  <c r="G146" i="71" s="1"/>
  <c r="F98" i="71"/>
  <c r="F146" i="71" s="1"/>
  <c r="I96" i="71"/>
  <c r="K96" i="71" s="1"/>
  <c r="K95" i="71"/>
  <c r="I95" i="71"/>
  <c r="I94" i="71"/>
  <c r="K94" i="71" s="1"/>
  <c r="K93" i="71"/>
  <c r="K92" i="71"/>
  <c r="K91" i="71"/>
  <c r="I90" i="71"/>
  <c r="K90" i="71" s="1"/>
  <c r="K89" i="71"/>
  <c r="K88" i="71"/>
  <c r="I87" i="71"/>
  <c r="K87" i="71" s="1"/>
  <c r="K86" i="71"/>
  <c r="I86" i="71"/>
  <c r="I98" i="71" s="1"/>
  <c r="I146" i="71" s="1"/>
  <c r="J82" i="71"/>
  <c r="J145" i="71" s="1"/>
  <c r="I82" i="71"/>
  <c r="I145" i="71" s="1"/>
  <c r="H82" i="71"/>
  <c r="H145" i="71" s="1"/>
  <c r="G82" i="71"/>
  <c r="G145" i="71" s="1"/>
  <c r="F82" i="71"/>
  <c r="F145" i="71" s="1"/>
  <c r="K80" i="71"/>
  <c r="K79" i="71"/>
  <c r="K78" i="71"/>
  <c r="K77" i="71"/>
  <c r="K82" i="71" s="1"/>
  <c r="K145" i="71" s="1"/>
  <c r="J74" i="71"/>
  <c r="J144" i="71" s="1"/>
  <c r="I74" i="71"/>
  <c r="I144" i="71" s="1"/>
  <c r="H74" i="71"/>
  <c r="H144" i="71" s="1"/>
  <c r="G74" i="71"/>
  <c r="G144" i="71" s="1"/>
  <c r="F74" i="71"/>
  <c r="F144" i="71" s="1"/>
  <c r="K72" i="71"/>
  <c r="K71" i="71"/>
  <c r="K70" i="71"/>
  <c r="K69" i="71"/>
  <c r="K68" i="71"/>
  <c r="K74" i="71" s="1"/>
  <c r="K144" i="71" s="1"/>
  <c r="J64" i="71"/>
  <c r="I64" i="71"/>
  <c r="I143" i="71" s="1"/>
  <c r="H64" i="71"/>
  <c r="H143" i="71" s="1"/>
  <c r="G64" i="71"/>
  <c r="G143" i="71" s="1"/>
  <c r="F64" i="71"/>
  <c r="K62" i="71"/>
  <c r="K61" i="71"/>
  <c r="K60" i="71"/>
  <c r="K59" i="71"/>
  <c r="K58" i="71"/>
  <c r="K57" i="71"/>
  <c r="K56" i="71"/>
  <c r="K64" i="71" s="1"/>
  <c r="K143" i="71" s="1"/>
  <c r="K55" i="71"/>
  <c r="K54" i="71"/>
  <c r="K53" i="71"/>
  <c r="J49" i="71"/>
  <c r="J142" i="71" s="1"/>
  <c r="I49" i="71"/>
  <c r="H49" i="71"/>
  <c r="G49" i="71"/>
  <c r="G142" i="71" s="1"/>
  <c r="F49" i="71"/>
  <c r="F142" i="71" s="1"/>
  <c r="K47" i="71"/>
  <c r="K46" i="71"/>
  <c r="K45" i="71"/>
  <c r="K44" i="71"/>
  <c r="K43" i="71"/>
  <c r="K42" i="71"/>
  <c r="K41" i="71"/>
  <c r="K49" i="71" s="1"/>
  <c r="K142" i="71" s="1"/>
  <c r="K40" i="71"/>
  <c r="J36" i="71"/>
  <c r="I36" i="71"/>
  <c r="I141" i="71" s="1"/>
  <c r="H36" i="71"/>
  <c r="H141" i="71" s="1"/>
  <c r="G36" i="71"/>
  <c r="F36" i="71"/>
  <c r="K34" i="71"/>
  <c r="K33" i="71"/>
  <c r="K32" i="71"/>
  <c r="K31" i="71"/>
  <c r="K30" i="71"/>
  <c r="K29" i="71"/>
  <c r="K28" i="71"/>
  <c r="K27" i="71"/>
  <c r="K26" i="71"/>
  <c r="K25" i="71"/>
  <c r="K24" i="71"/>
  <c r="K23" i="71"/>
  <c r="K22" i="71"/>
  <c r="K21" i="71"/>
  <c r="K36" i="71" s="1"/>
  <c r="K141" i="71" s="1"/>
  <c r="K18" i="71"/>
  <c r="J152" i="71" l="1"/>
  <c r="H152" i="71"/>
  <c r="I152" i="71"/>
  <c r="G152" i="71"/>
  <c r="K98" i="71"/>
  <c r="K146" i="71" s="1"/>
  <c r="K152" i="71" s="1"/>
  <c r="F152" i="71"/>
  <c r="K102" i="71"/>
  <c r="K108" i="71" s="1"/>
  <c r="K147" i="71" s="1"/>
  <c r="F154" i="71" l="1"/>
  <c r="F155" i="71"/>
  <c r="K18" i="70" l="1"/>
  <c r="F21" i="70"/>
  <c r="G21" i="70"/>
  <c r="H21" i="70"/>
  <c r="I21" i="70" s="1"/>
  <c r="I22" i="70"/>
  <c r="K22" i="70" s="1"/>
  <c r="I23" i="70"/>
  <c r="K23" i="70"/>
  <c r="I24" i="70"/>
  <c r="K24" i="70" s="1"/>
  <c r="F25" i="70"/>
  <c r="G25" i="70"/>
  <c r="H25" i="70"/>
  <c r="I26" i="70"/>
  <c r="K26" i="70"/>
  <c r="I27" i="70"/>
  <c r="K27" i="70" s="1"/>
  <c r="I28" i="70"/>
  <c r="K28" i="70"/>
  <c r="F29" i="70"/>
  <c r="G29" i="70"/>
  <c r="H29" i="70"/>
  <c r="I29" i="70" s="1"/>
  <c r="F30" i="70"/>
  <c r="G30" i="70"/>
  <c r="H30" i="70"/>
  <c r="I31" i="70"/>
  <c r="K31" i="70"/>
  <c r="I32" i="70"/>
  <c r="K32" i="70" s="1"/>
  <c r="I33" i="70"/>
  <c r="K33" i="70"/>
  <c r="I34" i="70"/>
  <c r="K34" i="70" s="1"/>
  <c r="F36" i="70"/>
  <c r="F141" i="70" s="1"/>
  <c r="J36" i="70"/>
  <c r="J141" i="70" s="1"/>
  <c r="F40" i="70"/>
  <c r="H40" i="70"/>
  <c r="K40" i="70" s="1"/>
  <c r="F41" i="70"/>
  <c r="H41" i="70"/>
  <c r="K41" i="70" s="1"/>
  <c r="K42" i="70"/>
  <c r="K43" i="70"/>
  <c r="F44" i="70"/>
  <c r="H44" i="70"/>
  <c r="K44" i="70" s="1"/>
  <c r="K45" i="70"/>
  <c r="K46" i="70"/>
  <c r="K47" i="70"/>
  <c r="G49" i="70"/>
  <c r="G142" i="70" s="1"/>
  <c r="I49" i="70"/>
  <c r="J49" i="70"/>
  <c r="K53" i="70"/>
  <c r="H54" i="70"/>
  <c r="K54" i="70" s="1"/>
  <c r="K64" i="70" s="1"/>
  <c r="K143" i="70" s="1"/>
  <c r="K55" i="70"/>
  <c r="K56" i="70"/>
  <c r="K57" i="70"/>
  <c r="K58" i="70"/>
  <c r="K59" i="70"/>
  <c r="K60" i="70"/>
  <c r="K61" i="70"/>
  <c r="K62" i="70"/>
  <c r="F64" i="70"/>
  <c r="F143" i="70" s="1"/>
  <c r="G64" i="70"/>
  <c r="I64" i="70"/>
  <c r="I143" i="70" s="1"/>
  <c r="J64" i="70"/>
  <c r="J143" i="70" s="1"/>
  <c r="K68" i="70"/>
  <c r="K69" i="70"/>
  <c r="K70" i="70"/>
  <c r="K71" i="70"/>
  <c r="K72" i="70"/>
  <c r="F74" i="70"/>
  <c r="G74" i="70"/>
  <c r="G144" i="70" s="1"/>
  <c r="H74" i="70"/>
  <c r="I74" i="70"/>
  <c r="J74" i="70"/>
  <c r="K74" i="70"/>
  <c r="K144" i="70" s="1"/>
  <c r="H77" i="70"/>
  <c r="K77" i="70" s="1"/>
  <c r="K78" i="70"/>
  <c r="H79" i="70"/>
  <c r="K79" i="70" s="1"/>
  <c r="K80" i="70"/>
  <c r="F82" i="70"/>
  <c r="F145" i="70" s="1"/>
  <c r="G82" i="70"/>
  <c r="G145" i="70" s="1"/>
  <c r="I82" i="70"/>
  <c r="J82" i="70"/>
  <c r="J145" i="70" s="1"/>
  <c r="I86" i="70"/>
  <c r="K86" i="70" s="1"/>
  <c r="I87" i="70"/>
  <c r="K87" i="70"/>
  <c r="I88" i="70"/>
  <c r="K88" i="70" s="1"/>
  <c r="F89" i="70"/>
  <c r="H89" i="70"/>
  <c r="I90" i="70"/>
  <c r="K90" i="70"/>
  <c r="I91" i="70"/>
  <c r="K91" i="70" s="1"/>
  <c r="I92" i="70"/>
  <c r="K92" i="70"/>
  <c r="F93" i="70"/>
  <c r="H93" i="70"/>
  <c r="I93" i="70" s="1"/>
  <c r="K93" i="70" s="1"/>
  <c r="I94" i="70"/>
  <c r="K94" i="70" s="1"/>
  <c r="I95" i="70"/>
  <c r="K95" i="70"/>
  <c r="I96" i="70"/>
  <c r="K96" i="70" s="1"/>
  <c r="G98" i="70"/>
  <c r="G146" i="70" s="1"/>
  <c r="J98" i="70"/>
  <c r="F102" i="70"/>
  <c r="H102" i="70"/>
  <c r="I102" i="70" s="1"/>
  <c r="F103" i="70"/>
  <c r="H103" i="70"/>
  <c r="I103" i="70" s="1"/>
  <c r="I104" i="70"/>
  <c r="K104" i="70" s="1"/>
  <c r="I105" i="70"/>
  <c r="K105" i="70"/>
  <c r="I106" i="70"/>
  <c r="K106" i="70" s="1"/>
  <c r="G108" i="70"/>
  <c r="G147" i="70" s="1"/>
  <c r="J108" i="70"/>
  <c r="J147" i="70" s="1"/>
  <c r="F119" i="70"/>
  <c r="F127" i="70"/>
  <c r="K131" i="70"/>
  <c r="K137" i="70" s="1"/>
  <c r="K149" i="70" s="1"/>
  <c r="K132" i="70"/>
  <c r="K133" i="70"/>
  <c r="K134" i="70"/>
  <c r="K135" i="70"/>
  <c r="F137" i="70"/>
  <c r="F149" i="70" s="1"/>
  <c r="G137" i="70"/>
  <c r="H137" i="70"/>
  <c r="I137" i="70"/>
  <c r="J137" i="70"/>
  <c r="J149" i="70" s="1"/>
  <c r="I142" i="70"/>
  <c r="J142" i="70"/>
  <c r="G143" i="70"/>
  <c r="F144" i="70"/>
  <c r="H144" i="70"/>
  <c r="I144" i="70"/>
  <c r="J144" i="70"/>
  <c r="I145" i="70"/>
  <c r="J146" i="70"/>
  <c r="K148" i="70"/>
  <c r="G149" i="70"/>
  <c r="H149" i="70"/>
  <c r="I149" i="70"/>
  <c r="H150" i="70"/>
  <c r="I150" i="70"/>
  <c r="J150" i="70"/>
  <c r="K150" i="70"/>
  <c r="F108" i="70" l="1"/>
  <c r="F147" i="70" s="1"/>
  <c r="F152" i="70" s="1"/>
  <c r="K103" i="70"/>
  <c r="K102" i="70"/>
  <c r="K108" i="70" s="1"/>
  <c r="K147" i="70" s="1"/>
  <c r="H108" i="70"/>
  <c r="H147" i="70" s="1"/>
  <c r="H64" i="70"/>
  <c r="H143" i="70" s="1"/>
  <c r="G36" i="70"/>
  <c r="G141" i="70" s="1"/>
  <c r="F98" i="70"/>
  <c r="F146" i="70" s="1"/>
  <c r="F49" i="70"/>
  <c r="F142" i="70" s="1"/>
  <c r="H49" i="70"/>
  <c r="H142" i="70" s="1"/>
  <c r="K29" i="70"/>
  <c r="I108" i="70"/>
  <c r="I147" i="70" s="1"/>
  <c r="K49" i="70"/>
  <c r="K142" i="70" s="1"/>
  <c r="K21" i="70"/>
  <c r="G152" i="70"/>
  <c r="J152" i="70"/>
  <c r="K82" i="70"/>
  <c r="K145" i="70" s="1"/>
  <c r="H98" i="70"/>
  <c r="H146" i="70" s="1"/>
  <c r="I89" i="70"/>
  <c r="K89" i="70" s="1"/>
  <c r="K98" i="70" s="1"/>
  <c r="K146" i="70" s="1"/>
  <c r="H82" i="70"/>
  <c r="H145" i="70" s="1"/>
  <c r="H36" i="70"/>
  <c r="H141" i="70" s="1"/>
  <c r="I30" i="70"/>
  <c r="K30" i="70" s="1"/>
  <c r="I25" i="70"/>
  <c r="H18" i="69"/>
  <c r="H163" i="69" s="1"/>
  <c r="J18" i="69"/>
  <c r="J163" i="69" s="1"/>
  <c r="F21" i="69"/>
  <c r="F36" i="69" s="1"/>
  <c r="F154" i="69" s="1"/>
  <c r="F165" i="69" s="1"/>
  <c r="H21" i="69"/>
  <c r="J21" i="69"/>
  <c r="F22" i="69"/>
  <c r="G22" i="69"/>
  <c r="G36" i="69" s="1"/>
  <c r="G154" i="69" s="1"/>
  <c r="G165" i="69" s="1"/>
  <c r="H22" i="69"/>
  <c r="J22" i="69"/>
  <c r="F23" i="69"/>
  <c r="G23" i="69"/>
  <c r="H23" i="69"/>
  <c r="J23" i="69"/>
  <c r="F24" i="69"/>
  <c r="G24" i="69"/>
  <c r="H24" i="69"/>
  <c r="J24" i="69"/>
  <c r="F25" i="69"/>
  <c r="G25" i="69"/>
  <c r="H25" i="69"/>
  <c r="J25" i="69"/>
  <c r="F26" i="69"/>
  <c r="G26" i="69"/>
  <c r="H26" i="69"/>
  <c r="J26" i="69"/>
  <c r="F27" i="69"/>
  <c r="G27" i="69"/>
  <c r="H27" i="69"/>
  <c r="J27" i="69"/>
  <c r="F28" i="69"/>
  <c r="G28" i="69"/>
  <c r="H28" i="69"/>
  <c r="J28" i="69"/>
  <c r="F29" i="69"/>
  <c r="G29" i="69"/>
  <c r="H29" i="69"/>
  <c r="J29" i="69"/>
  <c r="F30" i="69"/>
  <c r="G30" i="69"/>
  <c r="H30" i="69"/>
  <c r="J30" i="69"/>
  <c r="F31" i="69"/>
  <c r="G31" i="69"/>
  <c r="H31" i="69"/>
  <c r="J31" i="69"/>
  <c r="J32" i="69"/>
  <c r="J33" i="69"/>
  <c r="J34" i="69"/>
  <c r="J36" i="69"/>
  <c r="J154" i="69" s="1"/>
  <c r="J165" i="69" s="1"/>
  <c r="K40" i="69"/>
  <c r="K41" i="69"/>
  <c r="F42" i="69"/>
  <c r="F49" i="69" s="1"/>
  <c r="F155" i="69" s="1"/>
  <c r="G42" i="69"/>
  <c r="G49" i="69" s="1"/>
  <c r="G155" i="69" s="1"/>
  <c r="H42" i="69"/>
  <c r="J42" i="69"/>
  <c r="J49" i="69" s="1"/>
  <c r="J155" i="69" s="1"/>
  <c r="K43" i="69"/>
  <c r="K44" i="69"/>
  <c r="K45" i="69"/>
  <c r="K46" i="69"/>
  <c r="K47" i="69"/>
  <c r="F53" i="69"/>
  <c r="H53" i="69"/>
  <c r="H64" i="69" s="1"/>
  <c r="H156" i="69" s="1"/>
  <c r="F54" i="69"/>
  <c r="H54" i="69"/>
  <c r="F55" i="69"/>
  <c r="H55" i="69"/>
  <c r="F56" i="69"/>
  <c r="H56" i="69"/>
  <c r="F57" i="69"/>
  <c r="H57" i="69"/>
  <c r="F58" i="69"/>
  <c r="H58" i="69"/>
  <c r="F59" i="69"/>
  <c r="H59" i="69"/>
  <c r="F60" i="69"/>
  <c r="H60" i="69"/>
  <c r="F61" i="69"/>
  <c r="H61" i="69"/>
  <c r="F62" i="69"/>
  <c r="H62" i="69"/>
  <c r="F64" i="69"/>
  <c r="F156" i="69" s="1"/>
  <c r="G64" i="69"/>
  <c r="J64" i="69"/>
  <c r="F68" i="69"/>
  <c r="F74" i="69" s="1"/>
  <c r="F157" i="69" s="1"/>
  <c r="H68" i="69"/>
  <c r="J68" i="69"/>
  <c r="K69" i="69"/>
  <c r="F70" i="69"/>
  <c r="G70" i="69"/>
  <c r="G74" i="69" s="1"/>
  <c r="G157" i="69" s="1"/>
  <c r="H70" i="69"/>
  <c r="J70" i="69"/>
  <c r="K71" i="69"/>
  <c r="K72" i="69"/>
  <c r="K77" i="69"/>
  <c r="K78" i="69"/>
  <c r="F79" i="69"/>
  <c r="F82" i="69" s="1"/>
  <c r="F158" i="69" s="1"/>
  <c r="G79" i="69"/>
  <c r="G82" i="69" s="1"/>
  <c r="G158" i="69" s="1"/>
  <c r="H79" i="69"/>
  <c r="J79" i="69"/>
  <c r="J82" i="69" s="1"/>
  <c r="J158" i="69" s="1"/>
  <c r="K80" i="69"/>
  <c r="F102" i="69"/>
  <c r="G102" i="69"/>
  <c r="G109" i="69" s="1"/>
  <c r="G159" i="69" s="1"/>
  <c r="H102" i="69"/>
  <c r="H109" i="69" s="1"/>
  <c r="H159" i="69" s="1"/>
  <c r="J102" i="69"/>
  <c r="J109" i="69" s="1"/>
  <c r="J159" i="69" s="1"/>
  <c r="F109" i="69"/>
  <c r="F159" i="69" s="1"/>
  <c r="F119" i="69"/>
  <c r="G119" i="69"/>
  <c r="H119" i="69"/>
  <c r="J119" i="69"/>
  <c r="F125" i="69"/>
  <c r="I98" i="69" s="1"/>
  <c r="K98" i="69" s="1"/>
  <c r="F130" i="69"/>
  <c r="F134" i="69" s="1"/>
  <c r="K144" i="69"/>
  <c r="K150" i="69" s="1"/>
  <c r="K162" i="69" s="1"/>
  <c r="K145" i="69"/>
  <c r="K146" i="69"/>
  <c r="K147" i="69"/>
  <c r="K148" i="69"/>
  <c r="F150" i="69"/>
  <c r="F162" i="69" s="1"/>
  <c r="G150" i="69"/>
  <c r="H150" i="69"/>
  <c r="I150" i="69"/>
  <c r="J150" i="69"/>
  <c r="J162" i="69" s="1"/>
  <c r="G156" i="69"/>
  <c r="J156" i="69"/>
  <c r="F160" i="69"/>
  <c r="G160" i="69"/>
  <c r="H160" i="69"/>
  <c r="J160" i="69"/>
  <c r="K161" i="69"/>
  <c r="G162" i="69"/>
  <c r="H162" i="69"/>
  <c r="I162" i="69"/>
  <c r="I163" i="69"/>
  <c r="D32" i="126" l="1"/>
  <c r="I36" i="70"/>
  <c r="I141" i="70" s="1"/>
  <c r="H74" i="69"/>
  <c r="H157" i="69" s="1"/>
  <c r="I21" i="69"/>
  <c r="I36" i="69" s="1"/>
  <c r="I154" i="69" s="1"/>
  <c r="I165" i="69" s="1"/>
  <c r="I53" i="69"/>
  <c r="I64" i="69" s="1"/>
  <c r="I156" i="69" s="1"/>
  <c r="I31" i="69"/>
  <c r="K31" i="69" s="1"/>
  <c r="I27" i="69"/>
  <c r="K27" i="69" s="1"/>
  <c r="I23" i="69"/>
  <c r="K23" i="69" s="1"/>
  <c r="I62" i="69"/>
  <c r="K62" i="69" s="1"/>
  <c r="I70" i="69"/>
  <c r="K70" i="69" s="1"/>
  <c r="J74" i="69"/>
  <c r="J157" i="69" s="1"/>
  <c r="I59" i="69"/>
  <c r="K59" i="69" s="1"/>
  <c r="I55" i="69"/>
  <c r="K55" i="69" s="1"/>
  <c r="I32" i="69"/>
  <c r="K32" i="69" s="1"/>
  <c r="I79" i="69"/>
  <c r="I82" i="69" s="1"/>
  <c r="I158" i="69" s="1"/>
  <c r="I61" i="69"/>
  <c r="I57" i="69"/>
  <c r="K57" i="69" s="1"/>
  <c r="I29" i="69"/>
  <c r="I25" i="69"/>
  <c r="K25" i="69" s="1"/>
  <c r="K61" i="69"/>
  <c r="I58" i="69"/>
  <c r="K58" i="69" s="1"/>
  <c r="I54" i="69"/>
  <c r="K54" i="69" s="1"/>
  <c r="I102" i="69"/>
  <c r="K102" i="69" s="1"/>
  <c r="I60" i="69"/>
  <c r="K60" i="69" s="1"/>
  <c r="I56" i="69"/>
  <c r="K56" i="69" s="1"/>
  <c r="I42" i="69"/>
  <c r="I49" i="69" s="1"/>
  <c r="I155" i="69" s="1"/>
  <c r="I98" i="70"/>
  <c r="I146" i="70" s="1"/>
  <c r="I152" i="70" s="1"/>
  <c r="H152" i="70"/>
  <c r="K25" i="70"/>
  <c r="K36" i="70" s="1"/>
  <c r="K141" i="70" s="1"/>
  <c r="K152" i="70" s="1"/>
  <c r="I117" i="69"/>
  <c r="K117" i="69" s="1"/>
  <c r="I99" i="69"/>
  <c r="K99" i="69" s="1"/>
  <c r="I97" i="69"/>
  <c r="H82" i="69"/>
  <c r="H158" i="69" s="1"/>
  <c r="I33" i="69"/>
  <c r="K33" i="69" s="1"/>
  <c r="I28" i="69"/>
  <c r="K28" i="69" s="1"/>
  <c r="I26" i="69"/>
  <c r="K26" i="69" s="1"/>
  <c r="F138" i="69"/>
  <c r="I68" i="69"/>
  <c r="H49" i="69"/>
  <c r="H155" i="69" s="1"/>
  <c r="I34" i="69"/>
  <c r="K34" i="69" s="1"/>
  <c r="K18" i="69"/>
  <c r="K163" i="69" s="1"/>
  <c r="I115" i="69"/>
  <c r="K115" i="69" s="1"/>
  <c r="I113" i="69"/>
  <c r="I107" i="69"/>
  <c r="K107" i="69" s="1"/>
  <c r="I105" i="69"/>
  <c r="K105" i="69" s="1"/>
  <c r="I103" i="69"/>
  <c r="K103" i="69" s="1"/>
  <c r="I101" i="69"/>
  <c r="K101" i="69" s="1"/>
  <c r="H36" i="69"/>
  <c r="H154" i="69" s="1"/>
  <c r="H165" i="69" s="1"/>
  <c r="I30" i="69"/>
  <c r="K30" i="69" s="1"/>
  <c r="K29" i="69"/>
  <c r="I24" i="69"/>
  <c r="K24" i="69" s="1"/>
  <c r="I22" i="69"/>
  <c r="K22" i="69" s="1"/>
  <c r="I116" i="69"/>
  <c r="K116" i="69" s="1"/>
  <c r="I114" i="69"/>
  <c r="K114" i="69" s="1"/>
  <c r="I106" i="69"/>
  <c r="K106" i="69" s="1"/>
  <c r="I104" i="69"/>
  <c r="K104" i="69" s="1"/>
  <c r="I100" i="69"/>
  <c r="K100" i="69" s="1"/>
  <c r="H18" i="68"/>
  <c r="I6" i="60" s="1"/>
  <c r="J18" i="68"/>
  <c r="K6" i="60" s="1"/>
  <c r="F21" i="68"/>
  <c r="G21" i="68"/>
  <c r="H9" i="60" s="1"/>
  <c r="H21" i="68"/>
  <c r="I9" i="60" s="1"/>
  <c r="J21" i="68"/>
  <c r="K9" i="60" s="1"/>
  <c r="F22" i="68"/>
  <c r="G10" i="60" s="1"/>
  <c r="G22" i="68"/>
  <c r="H10" i="60" s="1"/>
  <c r="H22" i="68"/>
  <c r="I10" i="60" s="1"/>
  <c r="J22" i="68"/>
  <c r="K10" i="60" s="1"/>
  <c r="F23" i="68"/>
  <c r="G11" i="60" s="1"/>
  <c r="G23" i="68"/>
  <c r="H11" i="60" s="1"/>
  <c r="H23" i="68"/>
  <c r="I11" i="60" s="1"/>
  <c r="J23" i="68"/>
  <c r="K11" i="60" s="1"/>
  <c r="F24" i="68"/>
  <c r="G12" i="60" s="1"/>
  <c r="G24" i="68"/>
  <c r="H12" i="60" s="1"/>
  <c r="H24" i="68"/>
  <c r="I12" i="60" s="1"/>
  <c r="J24" i="68"/>
  <c r="K12" i="60" s="1"/>
  <c r="F25" i="68"/>
  <c r="G13" i="60" s="1"/>
  <c r="G25" i="68"/>
  <c r="H13" i="60" s="1"/>
  <c r="H25" i="68"/>
  <c r="I13" i="60" s="1"/>
  <c r="J25" i="68"/>
  <c r="K13" i="60" s="1"/>
  <c r="F26" i="68"/>
  <c r="G14" i="60" s="1"/>
  <c r="G26" i="68"/>
  <c r="H14" i="60" s="1"/>
  <c r="H26" i="68"/>
  <c r="I14" i="60" s="1"/>
  <c r="J26" i="68"/>
  <c r="K14" i="60" s="1"/>
  <c r="F27" i="68"/>
  <c r="G15" i="60" s="1"/>
  <c r="G27" i="68"/>
  <c r="H15" i="60" s="1"/>
  <c r="H27" i="68"/>
  <c r="I15" i="60" s="1"/>
  <c r="J27" i="68"/>
  <c r="K15" i="60" s="1"/>
  <c r="F28" i="68"/>
  <c r="G16" i="60" s="1"/>
  <c r="G28" i="68"/>
  <c r="H16" i="60" s="1"/>
  <c r="H28" i="68"/>
  <c r="I16" i="60" s="1"/>
  <c r="J28" i="68"/>
  <c r="K16" i="60" s="1"/>
  <c r="F29" i="68"/>
  <c r="G17" i="60" s="1"/>
  <c r="G29" i="68"/>
  <c r="H17" i="60" s="1"/>
  <c r="H29" i="68"/>
  <c r="I17" i="60" s="1"/>
  <c r="J29" i="68"/>
  <c r="K17" i="60" s="1"/>
  <c r="F30" i="68"/>
  <c r="G18" i="60" s="1"/>
  <c r="G30" i="68"/>
  <c r="H18" i="60" s="1"/>
  <c r="H30" i="68"/>
  <c r="I18" i="60" s="1"/>
  <c r="J30" i="68"/>
  <c r="K18" i="60" s="1"/>
  <c r="F31" i="68"/>
  <c r="G19" i="60" s="1"/>
  <c r="G31" i="68"/>
  <c r="H19" i="60" s="1"/>
  <c r="H31" i="68"/>
  <c r="I19" i="60" s="1"/>
  <c r="J31" i="68"/>
  <c r="K19" i="60" s="1"/>
  <c r="F32" i="68"/>
  <c r="G20" i="60" s="1"/>
  <c r="G32" i="68"/>
  <c r="H20" i="60" s="1"/>
  <c r="H32" i="68"/>
  <c r="I20" i="60" s="1"/>
  <c r="J32" i="68"/>
  <c r="K20" i="60" s="1"/>
  <c r="F33" i="68"/>
  <c r="G21" i="60" s="1"/>
  <c r="G33" i="68"/>
  <c r="H21" i="60" s="1"/>
  <c r="H33" i="68"/>
  <c r="I21" i="60" s="1"/>
  <c r="J33" i="68"/>
  <c r="K21" i="60" s="1"/>
  <c r="F34" i="68"/>
  <c r="G22" i="60" s="1"/>
  <c r="G34" i="68"/>
  <c r="H22" i="60" s="1"/>
  <c r="H34" i="68"/>
  <c r="I22" i="60" s="1"/>
  <c r="J34" i="68"/>
  <c r="K22" i="60" s="1"/>
  <c r="F40" i="68"/>
  <c r="G29" i="60" s="1"/>
  <c r="G40" i="68"/>
  <c r="H29" i="60" s="1"/>
  <c r="H40" i="68"/>
  <c r="I29" i="60" s="1"/>
  <c r="F41" i="68"/>
  <c r="G30" i="60" s="1"/>
  <c r="G41" i="68"/>
  <c r="H30" i="60" s="1"/>
  <c r="H41" i="68"/>
  <c r="I30" i="60" s="1"/>
  <c r="F42" i="68"/>
  <c r="G31" i="60" s="1"/>
  <c r="G42" i="68"/>
  <c r="H31" i="60" s="1"/>
  <c r="H42" i="68"/>
  <c r="I31" i="60" s="1"/>
  <c r="F43" i="68"/>
  <c r="G32" i="60" s="1"/>
  <c r="G43" i="68"/>
  <c r="H32" i="60" s="1"/>
  <c r="H43" i="68"/>
  <c r="I32" i="60" s="1"/>
  <c r="F44" i="68"/>
  <c r="G33" i="60" s="1"/>
  <c r="G44" i="68"/>
  <c r="H33" i="60" s="1"/>
  <c r="H44" i="68"/>
  <c r="I33" i="60" s="1"/>
  <c r="F45" i="68"/>
  <c r="G34" i="60" s="1"/>
  <c r="G45" i="68"/>
  <c r="H34" i="60" s="1"/>
  <c r="H45" i="68"/>
  <c r="I34" i="60" s="1"/>
  <c r="F46" i="68"/>
  <c r="G35" i="60" s="1"/>
  <c r="G46" i="68"/>
  <c r="H35" i="60" s="1"/>
  <c r="H46" i="68"/>
  <c r="I35" i="60" s="1"/>
  <c r="F47" i="68"/>
  <c r="G36" i="60" s="1"/>
  <c r="G47" i="68"/>
  <c r="H36" i="60" s="1"/>
  <c r="H47" i="68"/>
  <c r="I36" i="60" s="1"/>
  <c r="J49" i="68"/>
  <c r="J142" i="68" s="1"/>
  <c r="F53" i="68"/>
  <c r="G53" i="68"/>
  <c r="H53" i="68"/>
  <c r="J53" i="68"/>
  <c r="F54" i="68"/>
  <c r="G54" i="68"/>
  <c r="H54" i="68"/>
  <c r="J54" i="68"/>
  <c r="F55" i="68"/>
  <c r="G55" i="68"/>
  <c r="H55" i="68"/>
  <c r="J55" i="68"/>
  <c r="F56" i="68"/>
  <c r="G56" i="68"/>
  <c r="H56" i="68"/>
  <c r="J56" i="68"/>
  <c r="F57" i="68"/>
  <c r="G57" i="68"/>
  <c r="H57" i="68"/>
  <c r="J57" i="68"/>
  <c r="F58" i="68"/>
  <c r="G58" i="68"/>
  <c r="H58" i="68"/>
  <c r="J58" i="68"/>
  <c r="F59" i="68"/>
  <c r="G59" i="68"/>
  <c r="H59" i="68"/>
  <c r="J59" i="68"/>
  <c r="F60" i="68"/>
  <c r="G60" i="68"/>
  <c r="H60" i="68"/>
  <c r="J60" i="68"/>
  <c r="F61" i="68"/>
  <c r="G61" i="68"/>
  <c r="H61" i="68"/>
  <c r="J61" i="68"/>
  <c r="F62" i="68"/>
  <c r="G62" i="68"/>
  <c r="H62" i="68"/>
  <c r="J62" i="68"/>
  <c r="K68" i="68"/>
  <c r="K69" i="68"/>
  <c r="K70" i="68"/>
  <c r="K71" i="68"/>
  <c r="K72" i="68"/>
  <c r="F74" i="68"/>
  <c r="F144" i="68" s="1"/>
  <c r="G74" i="68"/>
  <c r="G144" i="68" s="1"/>
  <c r="H74" i="68"/>
  <c r="I74" i="68"/>
  <c r="J74" i="68"/>
  <c r="J144" i="68" s="1"/>
  <c r="K74" i="68"/>
  <c r="K144" i="68" s="1"/>
  <c r="F77" i="68"/>
  <c r="G55" i="60" s="1"/>
  <c r="G77" i="68"/>
  <c r="H55" i="60" s="1"/>
  <c r="H77" i="68"/>
  <c r="I55" i="60" s="1"/>
  <c r="J77" i="68"/>
  <c r="K55" i="60" s="1"/>
  <c r="F78" i="68"/>
  <c r="G56" i="60" s="1"/>
  <c r="G78" i="68"/>
  <c r="H56" i="60" s="1"/>
  <c r="H78" i="68"/>
  <c r="I56" i="60" s="1"/>
  <c r="J78" i="68"/>
  <c r="K56" i="60" s="1"/>
  <c r="F79" i="68"/>
  <c r="G57" i="60" s="1"/>
  <c r="G79" i="68"/>
  <c r="H57" i="60" s="1"/>
  <c r="H79" i="68"/>
  <c r="I57" i="60" s="1"/>
  <c r="J79" i="68"/>
  <c r="K57" i="60" s="1"/>
  <c r="F80" i="68"/>
  <c r="G58" i="60" s="1"/>
  <c r="G80" i="68"/>
  <c r="H58" i="60" s="1"/>
  <c r="H80" i="68"/>
  <c r="I58" i="60" s="1"/>
  <c r="J80" i="68"/>
  <c r="K58" i="60" s="1"/>
  <c r="I82" i="68"/>
  <c r="F86" i="68"/>
  <c r="G66" i="60" s="1"/>
  <c r="G86" i="68"/>
  <c r="H66" i="60" s="1"/>
  <c r="H86" i="68"/>
  <c r="I66" i="60" s="1"/>
  <c r="J86" i="68"/>
  <c r="K66" i="60" s="1"/>
  <c r="F87" i="68"/>
  <c r="G67" i="60" s="1"/>
  <c r="G87" i="68"/>
  <c r="H67" i="60" s="1"/>
  <c r="H87" i="68"/>
  <c r="I67" i="60" s="1"/>
  <c r="J87" i="68"/>
  <c r="K67" i="60" s="1"/>
  <c r="F88" i="68"/>
  <c r="G68" i="60" s="1"/>
  <c r="G88" i="68"/>
  <c r="H68" i="60" s="1"/>
  <c r="H88" i="68"/>
  <c r="I68" i="60" s="1"/>
  <c r="J88" i="68"/>
  <c r="K68" i="60" s="1"/>
  <c r="F89" i="68"/>
  <c r="G69" i="60" s="1"/>
  <c r="G89" i="68"/>
  <c r="H69" i="60" s="1"/>
  <c r="H89" i="68"/>
  <c r="I69" i="60" s="1"/>
  <c r="J89" i="68"/>
  <c r="K69" i="60" s="1"/>
  <c r="F90" i="68"/>
  <c r="G70" i="60" s="1"/>
  <c r="G90" i="68"/>
  <c r="H70" i="60" s="1"/>
  <c r="H90" i="68"/>
  <c r="I70" i="60" s="1"/>
  <c r="J90" i="68"/>
  <c r="K70" i="60" s="1"/>
  <c r="F91" i="68"/>
  <c r="G71" i="60" s="1"/>
  <c r="G91" i="68"/>
  <c r="H71" i="60" s="1"/>
  <c r="H91" i="68"/>
  <c r="I71" i="60" s="1"/>
  <c r="J91" i="68"/>
  <c r="K71" i="60" s="1"/>
  <c r="F92" i="68"/>
  <c r="G72" i="60" s="1"/>
  <c r="G92" i="68"/>
  <c r="H72" i="60" s="1"/>
  <c r="H92" i="68"/>
  <c r="I72" i="60" s="1"/>
  <c r="J92" i="68"/>
  <c r="K72" i="60" s="1"/>
  <c r="F93" i="68"/>
  <c r="G73" i="60" s="1"/>
  <c r="G93" i="68"/>
  <c r="H73" i="60" s="1"/>
  <c r="H93" i="68"/>
  <c r="I73" i="60" s="1"/>
  <c r="J93" i="68"/>
  <c r="K73" i="60" s="1"/>
  <c r="F94" i="68"/>
  <c r="G74" i="60" s="1"/>
  <c r="G94" i="68"/>
  <c r="H74" i="60" s="1"/>
  <c r="H94" i="68"/>
  <c r="I74" i="60" s="1"/>
  <c r="J94" i="68"/>
  <c r="K74" i="60" s="1"/>
  <c r="F95" i="68"/>
  <c r="G75" i="60" s="1"/>
  <c r="G95" i="68"/>
  <c r="H75" i="60" s="1"/>
  <c r="H95" i="68"/>
  <c r="I75" i="60" s="1"/>
  <c r="J95" i="68"/>
  <c r="K75" i="60" s="1"/>
  <c r="F96" i="68"/>
  <c r="G76" i="60" s="1"/>
  <c r="G96" i="68"/>
  <c r="H76" i="60" s="1"/>
  <c r="H96" i="68"/>
  <c r="I76" i="60" s="1"/>
  <c r="J96" i="68"/>
  <c r="K76" i="60" s="1"/>
  <c r="F102" i="68"/>
  <c r="G83" i="60" s="1"/>
  <c r="G102" i="68"/>
  <c r="H83" i="60" s="1"/>
  <c r="H102" i="68"/>
  <c r="I83" i="60" s="1"/>
  <c r="J102" i="68"/>
  <c r="K83" i="60" s="1"/>
  <c r="F103" i="68"/>
  <c r="G84" i="60" s="1"/>
  <c r="G103" i="68"/>
  <c r="H84" i="60" s="1"/>
  <c r="H103" i="68"/>
  <c r="I84" i="60" s="1"/>
  <c r="J103" i="68"/>
  <c r="K84" i="60" s="1"/>
  <c r="F104" i="68"/>
  <c r="G85" i="60" s="1"/>
  <c r="G104" i="68"/>
  <c r="H85" i="60" s="1"/>
  <c r="H104" i="68"/>
  <c r="I85" i="60" s="1"/>
  <c r="J104" i="68"/>
  <c r="K85" i="60" s="1"/>
  <c r="F105" i="68"/>
  <c r="G86" i="60" s="1"/>
  <c r="G105" i="68"/>
  <c r="H86" i="60" s="1"/>
  <c r="H105" i="68"/>
  <c r="I86" i="60" s="1"/>
  <c r="J105" i="68"/>
  <c r="K86" i="60" s="1"/>
  <c r="F106" i="68"/>
  <c r="G87" i="60" s="1"/>
  <c r="G106" i="68"/>
  <c r="H87" i="60" s="1"/>
  <c r="H106" i="68"/>
  <c r="I87" i="60" s="1"/>
  <c r="J106" i="68"/>
  <c r="K87" i="60" s="1"/>
  <c r="F111" i="68"/>
  <c r="G93" i="60" s="1"/>
  <c r="F114" i="68"/>
  <c r="F117" i="68"/>
  <c r="F118" i="68"/>
  <c r="F121" i="68"/>
  <c r="G122" i="60" s="1"/>
  <c r="F125" i="68"/>
  <c r="F131" i="68"/>
  <c r="G99" i="60" s="1"/>
  <c r="G131" i="68"/>
  <c r="H99" i="60" s="1"/>
  <c r="H131" i="68"/>
  <c r="I99" i="60" s="1"/>
  <c r="J131" i="68"/>
  <c r="K99" i="60" s="1"/>
  <c r="F132" i="68"/>
  <c r="G100" i="60" s="1"/>
  <c r="G132" i="68"/>
  <c r="H100" i="60" s="1"/>
  <c r="H132" i="68"/>
  <c r="I100" i="60" s="1"/>
  <c r="J132" i="68"/>
  <c r="K100" i="60" s="1"/>
  <c r="F133" i="68"/>
  <c r="G101" i="60" s="1"/>
  <c r="G133" i="68"/>
  <c r="H101" i="60" s="1"/>
  <c r="H133" i="68"/>
  <c r="I101" i="60" s="1"/>
  <c r="J133" i="68"/>
  <c r="K101" i="60" s="1"/>
  <c r="F134" i="68"/>
  <c r="G102" i="60" s="1"/>
  <c r="G134" i="68"/>
  <c r="H102" i="60" s="1"/>
  <c r="H134" i="68"/>
  <c r="I102" i="60" s="1"/>
  <c r="J134" i="68"/>
  <c r="K102" i="60" s="1"/>
  <c r="F135" i="68"/>
  <c r="G103" i="60" s="1"/>
  <c r="G135" i="68"/>
  <c r="H103" i="60" s="1"/>
  <c r="H135" i="68"/>
  <c r="I103" i="60" s="1"/>
  <c r="J135" i="68"/>
  <c r="K103" i="60" s="1"/>
  <c r="I137" i="68"/>
  <c r="I149" i="68" s="1"/>
  <c r="H144" i="68"/>
  <c r="I144" i="68"/>
  <c r="I145" i="68"/>
  <c r="I150" i="68"/>
  <c r="I55" i="68" l="1"/>
  <c r="K80" i="68"/>
  <c r="L58" i="60" s="1"/>
  <c r="J150" i="68"/>
  <c r="I21" i="68"/>
  <c r="J9" i="60" s="1"/>
  <c r="I53" i="68"/>
  <c r="I93" i="68"/>
  <c r="J73" i="60" s="1"/>
  <c r="I25" i="68"/>
  <c r="J13" i="60" s="1"/>
  <c r="F119" i="68"/>
  <c r="F123" i="68" s="1"/>
  <c r="F127" i="68" s="1"/>
  <c r="I103" i="68"/>
  <c r="J84" i="60" s="1"/>
  <c r="H98" i="68"/>
  <c r="H146" i="68" s="1"/>
  <c r="I61" i="68"/>
  <c r="K61" i="68" s="1"/>
  <c r="I59" i="68"/>
  <c r="K59" i="68" s="1"/>
  <c r="I57" i="68"/>
  <c r="I56" i="68"/>
  <c r="K56" i="68" s="1"/>
  <c r="K134" i="68"/>
  <c r="L102" i="60" s="1"/>
  <c r="G137" i="68"/>
  <c r="G149" i="68" s="1"/>
  <c r="K148" i="68"/>
  <c r="M4" i="126"/>
  <c r="M56" i="126" s="1"/>
  <c r="K79" i="68"/>
  <c r="L57" i="60" s="1"/>
  <c r="K78" i="68"/>
  <c r="L56" i="60" s="1"/>
  <c r="I47" i="68"/>
  <c r="J36" i="60" s="1"/>
  <c r="I26" i="68"/>
  <c r="J14" i="60" s="1"/>
  <c r="K135" i="68"/>
  <c r="L103" i="60" s="1"/>
  <c r="K131" i="68"/>
  <c r="L99" i="60" s="1"/>
  <c r="I89" i="68"/>
  <c r="J69" i="60" s="1"/>
  <c r="H82" i="68"/>
  <c r="H145" i="68" s="1"/>
  <c r="I60" i="68"/>
  <c r="K60" i="68" s="1"/>
  <c r="J64" i="68"/>
  <c r="K43" i="60" s="1"/>
  <c r="I43" i="68"/>
  <c r="J32" i="60" s="1"/>
  <c r="K18" i="68"/>
  <c r="L6" i="60" s="1"/>
  <c r="F32" i="126"/>
  <c r="H32" i="126" s="1"/>
  <c r="I105" i="68"/>
  <c r="J86" i="60" s="1"/>
  <c r="F64" i="68"/>
  <c r="G43" i="60" s="1"/>
  <c r="E4" i="126"/>
  <c r="E56" i="126" s="1"/>
  <c r="G108" i="68"/>
  <c r="G147" i="68" s="1"/>
  <c r="I62" i="68"/>
  <c r="I46" i="68"/>
  <c r="J35" i="60" s="1"/>
  <c r="I33" i="68"/>
  <c r="J21" i="60" s="1"/>
  <c r="I30" i="68"/>
  <c r="J18" i="60" s="1"/>
  <c r="I29" i="68"/>
  <c r="J17" i="60" s="1"/>
  <c r="J36" i="68"/>
  <c r="J141" i="68" s="1"/>
  <c r="G9" i="60"/>
  <c r="K21" i="69"/>
  <c r="K36" i="69" s="1"/>
  <c r="K154" i="69" s="1"/>
  <c r="K165" i="69" s="1"/>
  <c r="K53" i="69"/>
  <c r="K64" i="69" s="1"/>
  <c r="K156" i="69" s="1"/>
  <c r="H150" i="68"/>
  <c r="H137" i="68"/>
  <c r="H149" i="68" s="1"/>
  <c r="J82" i="68"/>
  <c r="J145" i="68" s="1"/>
  <c r="I58" i="68"/>
  <c r="K58" i="68" s="1"/>
  <c r="I42" i="68"/>
  <c r="J31" i="60" s="1"/>
  <c r="G49" i="68"/>
  <c r="G142" i="68" s="1"/>
  <c r="I34" i="68"/>
  <c r="J22" i="60" s="1"/>
  <c r="K79" i="69"/>
  <c r="K82" i="69" s="1"/>
  <c r="K158" i="69" s="1"/>
  <c r="K42" i="69"/>
  <c r="K49" i="69" s="1"/>
  <c r="K155" i="69" s="1"/>
  <c r="F137" i="68"/>
  <c r="F149" i="68" s="1"/>
  <c r="F36" i="68"/>
  <c r="F141" i="68" s="1"/>
  <c r="K133" i="68"/>
  <c r="L101" i="60" s="1"/>
  <c r="F155" i="70"/>
  <c r="F154" i="70"/>
  <c r="I74" i="69"/>
  <c r="I157" i="69" s="1"/>
  <c r="K68" i="69"/>
  <c r="K74" i="69" s="1"/>
  <c r="K157" i="69" s="1"/>
  <c r="F167" i="69"/>
  <c r="F168" i="69"/>
  <c r="K113" i="69"/>
  <c r="K119" i="69" s="1"/>
  <c r="K160" i="69" s="1"/>
  <c r="I119" i="69"/>
  <c r="I160" i="69" s="1"/>
  <c r="K97" i="69"/>
  <c r="K109" i="69" s="1"/>
  <c r="K159" i="69" s="1"/>
  <c r="I109" i="69"/>
  <c r="I159" i="69" s="1"/>
  <c r="J98" i="68"/>
  <c r="J146" i="68" s="1"/>
  <c r="I54" i="68"/>
  <c r="H64" i="68"/>
  <c r="I43" i="60" s="1"/>
  <c r="F49" i="68"/>
  <c r="F142" i="68" s="1"/>
  <c r="K132" i="68"/>
  <c r="L100" i="60" s="1"/>
  <c r="J137" i="68"/>
  <c r="J149" i="68" s="1"/>
  <c r="K105" i="68"/>
  <c r="L86" i="60" s="1"/>
  <c r="K77" i="68"/>
  <c r="L55" i="60" s="1"/>
  <c r="K57" i="68"/>
  <c r="G64" i="68"/>
  <c r="H43" i="60" s="1"/>
  <c r="K53" i="68"/>
  <c r="K47" i="68"/>
  <c r="L36" i="60" s="1"/>
  <c r="I44" i="68"/>
  <c r="J33" i="60" s="1"/>
  <c r="K44" i="68"/>
  <c r="L33" i="60" s="1"/>
  <c r="I40" i="68"/>
  <c r="J29" i="60" s="1"/>
  <c r="I22" i="68"/>
  <c r="J10" i="60" s="1"/>
  <c r="H36" i="68"/>
  <c r="H141" i="68" s="1"/>
  <c r="F108" i="68"/>
  <c r="K93" i="68"/>
  <c r="L73" i="60" s="1"/>
  <c r="G98" i="68"/>
  <c r="G146" i="68" s="1"/>
  <c r="G82" i="68"/>
  <c r="G145" i="68" s="1"/>
  <c r="K62" i="68"/>
  <c r="H49" i="68"/>
  <c r="H142" i="68" s="1"/>
  <c r="K25" i="68"/>
  <c r="L13" i="60" s="1"/>
  <c r="G36" i="68"/>
  <c r="G141" i="68" s="1"/>
  <c r="I41" i="68"/>
  <c r="J30" i="60" s="1"/>
  <c r="I45" i="68"/>
  <c r="J34" i="60" s="1"/>
  <c r="I86" i="68"/>
  <c r="J66" i="60" s="1"/>
  <c r="I88" i="68"/>
  <c r="J68" i="60" s="1"/>
  <c r="I90" i="68"/>
  <c r="J70" i="60" s="1"/>
  <c r="I92" i="68"/>
  <c r="J72" i="60" s="1"/>
  <c r="I94" i="68"/>
  <c r="J74" i="60" s="1"/>
  <c r="I96" i="68"/>
  <c r="J76" i="60" s="1"/>
  <c r="I102" i="68"/>
  <c r="J83" i="60" s="1"/>
  <c r="I104" i="68"/>
  <c r="J85" i="60" s="1"/>
  <c r="H108" i="68"/>
  <c r="H147" i="68" s="1"/>
  <c r="I106" i="68"/>
  <c r="J87" i="60" s="1"/>
  <c r="K103" i="68"/>
  <c r="L84" i="60" s="1"/>
  <c r="J108" i="68"/>
  <c r="J147" i="68" s="1"/>
  <c r="I95" i="68"/>
  <c r="J75" i="60" s="1"/>
  <c r="I91" i="68"/>
  <c r="J71" i="60" s="1"/>
  <c r="I87" i="68"/>
  <c r="J67" i="60" s="1"/>
  <c r="F98" i="68"/>
  <c r="F146" i="68" s="1"/>
  <c r="F82" i="68"/>
  <c r="F145" i="68" s="1"/>
  <c r="K55" i="68"/>
  <c r="K34" i="68"/>
  <c r="L22" i="60" s="1"/>
  <c r="I32" i="68"/>
  <c r="J20" i="60" s="1"/>
  <c r="I31" i="68"/>
  <c r="J19" i="60" s="1"/>
  <c r="I28" i="68"/>
  <c r="J16" i="60" s="1"/>
  <c r="I27" i="68"/>
  <c r="J15" i="60" s="1"/>
  <c r="I24" i="68"/>
  <c r="J12" i="60" s="1"/>
  <c r="I23" i="68"/>
  <c r="J11" i="60" s="1"/>
  <c r="K18" i="67"/>
  <c r="H21" i="67"/>
  <c r="I21" i="67"/>
  <c r="I36" i="67" s="1"/>
  <c r="I141" i="67" s="1"/>
  <c r="K21" i="67"/>
  <c r="I22" i="67"/>
  <c r="K22" i="67" s="1"/>
  <c r="I23" i="67"/>
  <c r="K23" i="67"/>
  <c r="F24" i="67"/>
  <c r="G24" i="67"/>
  <c r="H24" i="67"/>
  <c r="K24" i="67" s="1"/>
  <c r="I24" i="67"/>
  <c r="I25" i="67"/>
  <c r="K25" i="67"/>
  <c r="I26" i="67"/>
  <c r="K26" i="67" s="1"/>
  <c r="I27" i="67"/>
  <c r="K27" i="67"/>
  <c r="I28" i="67"/>
  <c r="K28" i="67" s="1"/>
  <c r="I29" i="67"/>
  <c r="K29" i="67"/>
  <c r="I30" i="67"/>
  <c r="K30" i="67" s="1"/>
  <c r="I31" i="67"/>
  <c r="K31" i="67"/>
  <c r="I32" i="67"/>
  <c r="K32" i="67" s="1"/>
  <c r="I33" i="67"/>
  <c r="K33" i="67"/>
  <c r="I34" i="67"/>
  <c r="K34" i="67" s="1"/>
  <c r="F36" i="67"/>
  <c r="G36" i="67"/>
  <c r="G141" i="67" s="1"/>
  <c r="H36" i="67"/>
  <c r="H141" i="67" s="1"/>
  <c r="J36" i="67"/>
  <c r="I40" i="67"/>
  <c r="K40" i="67" s="1"/>
  <c r="K49" i="67" s="1"/>
  <c r="K142" i="67" s="1"/>
  <c r="I41" i="67"/>
  <c r="K41" i="67"/>
  <c r="I42" i="67"/>
  <c r="K42" i="67" s="1"/>
  <c r="K43" i="67"/>
  <c r="I44" i="67"/>
  <c r="K44" i="67"/>
  <c r="I45" i="67"/>
  <c r="K45" i="67"/>
  <c r="I46" i="67"/>
  <c r="K46" i="67"/>
  <c r="I47" i="67"/>
  <c r="K47" i="67"/>
  <c r="F49" i="67"/>
  <c r="G49" i="67"/>
  <c r="H49" i="67"/>
  <c r="J49" i="67"/>
  <c r="F53" i="67"/>
  <c r="G53" i="67"/>
  <c r="H53" i="67"/>
  <c r="K53" i="67" s="1"/>
  <c r="I53" i="67"/>
  <c r="J53" i="67"/>
  <c r="I54" i="67"/>
  <c r="K54" i="67"/>
  <c r="I55" i="67"/>
  <c r="K55" i="67"/>
  <c r="K56" i="67"/>
  <c r="I57" i="67"/>
  <c r="K57" i="67" s="1"/>
  <c r="K58" i="67"/>
  <c r="K59" i="67"/>
  <c r="I60" i="67"/>
  <c r="K60" i="67" s="1"/>
  <c r="K61" i="67"/>
  <c r="I62" i="67"/>
  <c r="K62" i="67"/>
  <c r="F64" i="67"/>
  <c r="G64" i="67"/>
  <c r="H64" i="67"/>
  <c r="I64" i="67"/>
  <c r="J64" i="67"/>
  <c r="I68" i="67"/>
  <c r="K68" i="67"/>
  <c r="K74" i="67" s="1"/>
  <c r="K144" i="67" s="1"/>
  <c r="I69" i="67"/>
  <c r="K69" i="67"/>
  <c r="I70" i="67"/>
  <c r="K70" i="67"/>
  <c r="I71" i="67"/>
  <c r="K71" i="67"/>
  <c r="I72" i="67"/>
  <c r="K72" i="67"/>
  <c r="F74" i="67"/>
  <c r="G74" i="67"/>
  <c r="H74" i="67"/>
  <c r="H144" i="67" s="1"/>
  <c r="I74" i="67"/>
  <c r="I144" i="67" s="1"/>
  <c r="J74" i="67"/>
  <c r="I77" i="67"/>
  <c r="I82" i="67" s="1"/>
  <c r="I145" i="67" s="1"/>
  <c r="K77" i="67"/>
  <c r="K78" i="67"/>
  <c r="I79" i="67"/>
  <c r="K79" i="67"/>
  <c r="I80" i="67"/>
  <c r="K80" i="67" s="1"/>
  <c r="F82" i="67"/>
  <c r="G82" i="67"/>
  <c r="G145" i="67" s="1"/>
  <c r="H82" i="67"/>
  <c r="H145" i="67" s="1"/>
  <c r="J82" i="67"/>
  <c r="I86" i="67"/>
  <c r="K86" i="67" s="1"/>
  <c r="I87" i="67"/>
  <c r="K87" i="67"/>
  <c r="I88" i="67"/>
  <c r="K88" i="67" s="1"/>
  <c r="I89" i="67"/>
  <c r="K89" i="67"/>
  <c r="I90" i="67"/>
  <c r="K90" i="67" s="1"/>
  <c r="I91" i="67"/>
  <c r="K91" i="67"/>
  <c r="I92" i="67"/>
  <c r="K92" i="67" s="1"/>
  <c r="I93" i="67"/>
  <c r="K93" i="67"/>
  <c r="I94" i="67"/>
  <c r="K94" i="67" s="1"/>
  <c r="I95" i="67"/>
  <c r="K95" i="67"/>
  <c r="I96" i="67"/>
  <c r="K96" i="67" s="1"/>
  <c r="F98" i="67"/>
  <c r="G98" i="67"/>
  <c r="H98" i="67"/>
  <c r="H146" i="67" s="1"/>
  <c r="J98" i="67"/>
  <c r="I102" i="67"/>
  <c r="K102" i="67" s="1"/>
  <c r="K108" i="67" s="1"/>
  <c r="K147" i="67" s="1"/>
  <c r="I103" i="67"/>
  <c r="K103" i="67"/>
  <c r="I104" i="67"/>
  <c r="K104" i="67" s="1"/>
  <c r="I105" i="67"/>
  <c r="K105" i="67"/>
  <c r="I106" i="67"/>
  <c r="K106" i="67" s="1"/>
  <c r="F108" i="67"/>
  <c r="G108" i="67"/>
  <c r="G147" i="67" s="1"/>
  <c r="H108" i="67"/>
  <c r="H147" i="67" s="1"/>
  <c r="J108" i="67"/>
  <c r="F119" i="67"/>
  <c r="I131" i="67"/>
  <c r="K131" i="67"/>
  <c r="I132" i="67"/>
  <c r="I137" i="67" s="1"/>
  <c r="I149" i="67" s="1"/>
  <c r="K132" i="67"/>
  <c r="I133" i="67"/>
  <c r="K133" i="67"/>
  <c r="I134" i="67"/>
  <c r="K134" i="67"/>
  <c r="I135" i="67"/>
  <c r="K135" i="67"/>
  <c r="F137" i="67"/>
  <c r="G137" i="67"/>
  <c r="G149" i="67" s="1"/>
  <c r="H137" i="67"/>
  <c r="J137" i="67"/>
  <c r="K137" i="67"/>
  <c r="K149" i="67" s="1"/>
  <c r="F141" i="67"/>
  <c r="J141" i="67"/>
  <c r="F142" i="67"/>
  <c r="F152" i="67" s="1"/>
  <c r="G142" i="67"/>
  <c r="H142" i="67"/>
  <c r="J142" i="67"/>
  <c r="J152" i="67" s="1"/>
  <c r="F143" i="67"/>
  <c r="G143" i="67"/>
  <c r="H143" i="67"/>
  <c r="I143" i="67"/>
  <c r="J143" i="67"/>
  <c r="F144" i="67"/>
  <c r="G144" i="67"/>
  <c r="J144" i="67"/>
  <c r="F145" i="67"/>
  <c r="J145" i="67"/>
  <c r="F146" i="67"/>
  <c r="G146" i="67"/>
  <c r="J146" i="67"/>
  <c r="F147" i="67"/>
  <c r="J147" i="67"/>
  <c r="K148" i="67"/>
  <c r="F149" i="67"/>
  <c r="H149" i="67"/>
  <c r="J149" i="67"/>
  <c r="H150" i="67"/>
  <c r="I150" i="67"/>
  <c r="J150" i="67"/>
  <c r="K150" i="67"/>
  <c r="K42" i="68" l="1"/>
  <c r="L31" i="60" s="1"/>
  <c r="K46" i="68"/>
  <c r="L35" i="60" s="1"/>
  <c r="K33" i="68"/>
  <c r="L21" i="60" s="1"/>
  <c r="K21" i="68"/>
  <c r="L9" i="60" s="1"/>
  <c r="K26" i="68"/>
  <c r="L14" i="60" s="1"/>
  <c r="K89" i="68"/>
  <c r="L69" i="60" s="1"/>
  <c r="K23" i="68"/>
  <c r="L11" i="60" s="1"/>
  <c r="K28" i="68"/>
  <c r="L16" i="60" s="1"/>
  <c r="K104" i="68"/>
  <c r="L85" i="60" s="1"/>
  <c r="K92" i="68"/>
  <c r="L72" i="60" s="1"/>
  <c r="K45" i="68"/>
  <c r="L34" i="60" s="1"/>
  <c r="G143" i="68"/>
  <c r="G152" i="68" s="1"/>
  <c r="H143" i="68"/>
  <c r="K24" i="68"/>
  <c r="L12" i="60" s="1"/>
  <c r="K30" i="68"/>
  <c r="L18" i="60" s="1"/>
  <c r="K87" i="68"/>
  <c r="L67" i="60" s="1"/>
  <c r="K90" i="68"/>
  <c r="L70" i="60" s="1"/>
  <c r="K41" i="68"/>
  <c r="L30" i="60" s="1"/>
  <c r="K29" i="68"/>
  <c r="L17" i="60" s="1"/>
  <c r="K40" i="68"/>
  <c r="L29" i="60" s="1"/>
  <c r="K150" i="68"/>
  <c r="K31" i="68"/>
  <c r="L19" i="60" s="1"/>
  <c r="K91" i="68"/>
  <c r="L71" i="60" s="1"/>
  <c r="K106" i="68"/>
  <c r="L87" i="60" s="1"/>
  <c r="K96" i="68"/>
  <c r="L76" i="60" s="1"/>
  <c r="K88" i="68"/>
  <c r="L68" i="60" s="1"/>
  <c r="F147" i="68"/>
  <c r="D4" i="126"/>
  <c r="K27" i="68"/>
  <c r="L15" i="60" s="1"/>
  <c r="K32" i="68"/>
  <c r="L20" i="60" s="1"/>
  <c r="K94" i="68"/>
  <c r="L74" i="60" s="1"/>
  <c r="K43" i="68"/>
  <c r="L32" i="60" s="1"/>
  <c r="K82" i="68"/>
  <c r="K145" i="68" s="1"/>
  <c r="K95" i="68"/>
  <c r="L75" i="60" s="1"/>
  <c r="F143" i="68"/>
  <c r="F152" i="68" s="1"/>
  <c r="I32" i="126"/>
  <c r="J143" i="68"/>
  <c r="J152" i="68"/>
  <c r="K137" i="68"/>
  <c r="K149" i="68" s="1"/>
  <c r="I64" i="68"/>
  <c r="J43" i="60" s="1"/>
  <c r="K102" i="68"/>
  <c r="L83" i="60" s="1"/>
  <c r="I108" i="68"/>
  <c r="I147" i="68" s="1"/>
  <c r="I36" i="68"/>
  <c r="I141" i="68" s="1"/>
  <c r="K22" i="68"/>
  <c r="L10" i="60" s="1"/>
  <c r="K86" i="68"/>
  <c r="L66" i="60" s="1"/>
  <c r="I98" i="68"/>
  <c r="I146" i="68" s="1"/>
  <c r="I49" i="68"/>
  <c r="I142" i="68" s="1"/>
  <c r="K54" i="68"/>
  <c r="K64" i="68" s="1"/>
  <c r="L43" i="60" s="1"/>
  <c r="H152" i="68"/>
  <c r="G152" i="67"/>
  <c r="K36" i="67"/>
  <c r="K141" i="67" s="1"/>
  <c r="K82" i="67"/>
  <c r="K145" i="67" s="1"/>
  <c r="K64" i="67"/>
  <c r="K143" i="67" s="1"/>
  <c r="K98" i="67"/>
  <c r="K146" i="67" s="1"/>
  <c r="H152" i="67"/>
  <c r="I49" i="67"/>
  <c r="I142" i="67" s="1"/>
  <c r="I152" i="67" s="1"/>
  <c r="I108" i="67"/>
  <c r="I147" i="67" s="1"/>
  <c r="I98" i="67"/>
  <c r="I146" i="67" s="1"/>
  <c r="B29" i="6"/>
  <c r="K49" i="68" l="1"/>
  <c r="K142" i="68" s="1"/>
  <c r="K108" i="68"/>
  <c r="K147" i="68" s="1"/>
  <c r="D58" i="126"/>
  <c r="D56" i="126"/>
  <c r="K36" i="68"/>
  <c r="K141" i="68" s="1"/>
  <c r="I143" i="68"/>
  <c r="I152" i="68" s="1"/>
  <c r="K143" i="68"/>
  <c r="K98" i="68"/>
  <c r="K146" i="68" s="1"/>
  <c r="K152" i="67"/>
  <c r="K152" i="68" l="1"/>
  <c r="F4" i="126" s="1"/>
  <c r="H4" i="126" s="1"/>
  <c r="H56" i="126" s="1"/>
  <c r="F155" i="67"/>
  <c r="F154" i="67"/>
  <c r="D23" i="6"/>
  <c r="B60" i="6"/>
  <c r="B59" i="6"/>
  <c r="F56" i="126" l="1"/>
  <c r="F155" i="68"/>
  <c r="F154" i="68"/>
  <c r="I4" i="126"/>
  <c r="G58" i="126" s="1"/>
  <c r="I56" i="126"/>
  <c r="B56" i="6"/>
  <c r="C60" i="6" l="1"/>
  <c r="C29" i="6"/>
  <c r="D29" i="6"/>
  <c r="E37" i="6"/>
  <c r="F6" i="4"/>
  <c r="J4" i="126" s="1"/>
  <c r="K4" i="126" s="1"/>
  <c r="F7" i="4"/>
  <c r="J5" i="126" s="1"/>
  <c r="K5" i="126" s="1"/>
  <c r="F8" i="4"/>
  <c r="J6" i="126" s="1"/>
  <c r="K6" i="126" s="1"/>
  <c r="F9" i="4"/>
  <c r="J7" i="126" s="1"/>
  <c r="K7" i="126" s="1"/>
  <c r="F10" i="4"/>
  <c r="J8" i="126" s="1"/>
  <c r="K8" i="126" s="1"/>
  <c r="F11" i="4"/>
  <c r="J9" i="126" s="1"/>
  <c r="K9" i="126" s="1"/>
  <c r="F12" i="4"/>
  <c r="J10" i="126" s="1"/>
  <c r="K10" i="126" s="1"/>
  <c r="F13" i="4"/>
  <c r="J11" i="126" s="1"/>
  <c r="K11" i="126" s="1"/>
  <c r="F14" i="4"/>
  <c r="J12" i="126" s="1"/>
  <c r="K12" i="126" s="1"/>
  <c r="F15" i="4"/>
  <c r="J13" i="126" s="1"/>
  <c r="K13" i="126" s="1"/>
  <c r="F16" i="4"/>
  <c r="J14" i="126" s="1"/>
  <c r="K14" i="126" s="1"/>
  <c r="F17" i="4"/>
  <c r="J15" i="126" s="1"/>
  <c r="K15" i="126" s="1"/>
  <c r="F18" i="4"/>
  <c r="J16" i="126" s="1"/>
  <c r="K16" i="126" s="1"/>
  <c r="F19" i="4"/>
  <c r="J17" i="126" s="1"/>
  <c r="K17" i="126" s="1"/>
  <c r="F20" i="4"/>
  <c r="J18" i="126" s="1"/>
  <c r="K18" i="126" s="1"/>
  <c r="F21" i="4"/>
  <c r="J19" i="126" s="1"/>
  <c r="K19" i="126" s="1"/>
  <c r="F22" i="4"/>
  <c r="J20" i="126" s="1"/>
  <c r="K20" i="126" s="1"/>
  <c r="F23" i="4"/>
  <c r="J21" i="126" s="1"/>
  <c r="K21" i="126" s="1"/>
  <c r="F24" i="4"/>
  <c r="J22" i="126" s="1"/>
  <c r="K22" i="126" s="1"/>
  <c r="F25" i="4"/>
  <c r="J23" i="126" s="1"/>
  <c r="K23" i="126" s="1"/>
  <c r="F26" i="4"/>
  <c r="J24" i="126" s="1"/>
  <c r="K24" i="126" s="1"/>
  <c r="F27" i="4"/>
  <c r="J25" i="126" s="1"/>
  <c r="K25" i="126" s="1"/>
  <c r="F28" i="4"/>
  <c r="J26" i="126" s="1"/>
  <c r="K26" i="126" s="1"/>
  <c r="F29" i="4"/>
  <c r="J27" i="126" s="1"/>
  <c r="K27" i="126" s="1"/>
  <c r="F30" i="4"/>
  <c r="J28" i="126" s="1"/>
  <c r="K28" i="126" s="1"/>
  <c r="F31" i="4"/>
  <c r="J29" i="126" s="1"/>
  <c r="K29" i="126" s="1"/>
  <c r="F32" i="4"/>
  <c r="J30" i="126" s="1"/>
  <c r="K30" i="126" s="1"/>
  <c r="F33" i="4"/>
  <c r="J31" i="126" s="1"/>
  <c r="K31" i="126" s="1"/>
  <c r="F34" i="4"/>
  <c r="J32" i="126" s="1"/>
  <c r="K32" i="126" s="1"/>
  <c r="F35" i="4"/>
  <c r="J33" i="126" s="1"/>
  <c r="K33" i="126" s="1"/>
  <c r="F36" i="4"/>
  <c r="J34" i="126" s="1"/>
  <c r="K34" i="126" s="1"/>
  <c r="F37" i="4"/>
  <c r="J35" i="126" s="1"/>
  <c r="K35" i="126" s="1"/>
  <c r="F38" i="4"/>
  <c r="J36" i="126" s="1"/>
  <c r="K36" i="126" s="1"/>
  <c r="F39" i="4"/>
  <c r="J37" i="126" s="1"/>
  <c r="K37" i="126" s="1"/>
  <c r="F40" i="4"/>
  <c r="J38" i="126" s="1"/>
  <c r="K38" i="126" s="1"/>
  <c r="F41" i="4"/>
  <c r="J39" i="126" s="1"/>
  <c r="K39" i="126" s="1"/>
  <c r="F42" i="4"/>
  <c r="J40" i="126" s="1"/>
  <c r="K40" i="126" s="1"/>
  <c r="F43" i="4"/>
  <c r="J41" i="126" s="1"/>
  <c r="K41" i="126" s="1"/>
  <c r="F45" i="4"/>
  <c r="J43" i="126" s="1"/>
  <c r="K43" i="126" s="1"/>
  <c r="F44" i="4"/>
  <c r="J42" i="126" s="1"/>
  <c r="K42" i="126" s="1"/>
  <c r="F46" i="4"/>
  <c r="J44" i="126" s="1"/>
  <c r="K44" i="126" s="1"/>
  <c r="F47" i="4"/>
  <c r="L45" i="126" s="1"/>
  <c r="F51" i="4"/>
  <c r="F57" i="4"/>
  <c r="F48" i="4"/>
  <c r="F50" i="4"/>
  <c r="L51" i="126" s="1"/>
  <c r="F49" i="4"/>
  <c r="F52" i="4"/>
  <c r="L53" i="126" s="1"/>
  <c r="F53" i="4"/>
  <c r="F54" i="4"/>
  <c r="L55" i="126" s="1"/>
  <c r="F55" i="4"/>
  <c r="F5" i="4"/>
  <c r="I55"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2" i="3"/>
  <c r="C41" i="3"/>
  <c r="C43" i="3"/>
  <c r="C44" i="3"/>
  <c r="C45" i="3"/>
  <c r="C46" i="3"/>
  <c r="C47" i="3"/>
  <c r="C48" i="3"/>
  <c r="C50" i="3"/>
  <c r="C51" i="3"/>
  <c r="C52" i="3"/>
  <c r="C53" i="3"/>
  <c r="C54" i="3"/>
  <c r="C3" i="3"/>
  <c r="L43" i="126" l="1"/>
  <c r="L34" i="126"/>
  <c r="L26" i="126"/>
  <c r="L14" i="126"/>
  <c r="L10" i="126"/>
  <c r="L41" i="126"/>
  <c r="L33" i="126"/>
  <c r="L25" i="126"/>
  <c r="L13" i="126"/>
  <c r="L42" i="126"/>
  <c r="L39" i="126"/>
  <c r="L35" i="126"/>
  <c r="L31" i="126"/>
  <c r="L27" i="126"/>
  <c r="L23" i="126"/>
  <c r="L19" i="126"/>
  <c r="L15" i="126"/>
  <c r="L11" i="126"/>
  <c r="L7" i="126"/>
  <c r="L38" i="126"/>
  <c r="L30" i="126"/>
  <c r="L22" i="126"/>
  <c r="L18" i="126"/>
  <c r="L6" i="126"/>
  <c r="L37" i="126"/>
  <c r="L29" i="126"/>
  <c r="L21" i="126"/>
  <c r="L17" i="126"/>
  <c r="L9" i="126"/>
  <c r="L5" i="126"/>
  <c r="L44" i="126"/>
  <c r="L40" i="126"/>
  <c r="L36" i="126"/>
  <c r="L32" i="126"/>
  <c r="L28" i="126"/>
  <c r="L24" i="126"/>
  <c r="L20" i="126"/>
  <c r="L16" i="126"/>
  <c r="L12" i="126"/>
  <c r="L8" i="126"/>
  <c r="L4" i="126"/>
  <c r="B48" i="6"/>
  <c r="L52" i="126"/>
  <c r="L54" i="126"/>
  <c r="L50" i="126"/>
  <c r="J3" i="126"/>
  <c r="K3" i="126" s="1"/>
  <c r="F58" i="4"/>
  <c r="L47" i="126"/>
  <c r="L49" i="126"/>
  <c r="L46" i="126"/>
  <c r="L48" i="126"/>
  <c r="C55" i="3"/>
  <c r="B71" i="6"/>
  <c r="E29" i="6"/>
  <c r="D60" i="6" l="1"/>
  <c r="C71" i="6" s="1"/>
  <c r="L3" i="126"/>
  <c r="K58" i="126" s="1"/>
  <c r="K56" i="126"/>
  <c r="L56" i="126" s="1"/>
  <c r="J56" i="126"/>
  <c r="C48" i="6"/>
  <c r="H55" i="3" l="1"/>
  <c r="Z55" i="3"/>
  <c r="V55" i="3"/>
  <c r="R55" i="3"/>
  <c r="AA55" i="3" l="1"/>
  <c r="AB55" i="3" s="1"/>
  <c r="D3" i="3"/>
  <c r="E3" i="3" s="1"/>
  <c r="D4" i="3"/>
  <c r="E4" i="3" s="1"/>
  <c r="D5" i="3"/>
  <c r="E5" i="3" s="1"/>
  <c r="D6" i="3"/>
  <c r="E6" i="3" s="1"/>
  <c r="D7" i="3"/>
  <c r="E7" i="3" s="1"/>
  <c r="D8" i="3"/>
  <c r="E8" i="3" s="1"/>
  <c r="D9" i="3"/>
  <c r="E9" i="3" s="1"/>
  <c r="D10" i="3"/>
  <c r="E10" i="3" s="1"/>
  <c r="D11" i="3"/>
  <c r="E11" i="3" s="1"/>
  <c r="D12" i="3"/>
  <c r="E12" i="3" s="1"/>
  <c r="D13" i="3"/>
  <c r="E13" i="3" s="1"/>
  <c r="D14" i="3"/>
  <c r="E14" i="3" s="1"/>
  <c r="D15" i="3"/>
  <c r="E15" i="3" s="1"/>
  <c r="D16" i="3"/>
  <c r="E16" i="3" s="1"/>
  <c r="D17" i="3"/>
  <c r="E17" i="3" s="1"/>
  <c r="D18" i="3"/>
  <c r="E18" i="3" s="1"/>
  <c r="D19" i="3"/>
  <c r="E19" i="3" s="1"/>
  <c r="D20" i="3"/>
  <c r="E20" i="3" s="1"/>
  <c r="D2" i="3"/>
  <c r="E2" i="3" s="1"/>
  <c r="M83" i="60" l="1"/>
  <c r="M99" i="60"/>
  <c r="M57" i="60"/>
  <c r="M103" i="60"/>
  <c r="M102" i="60"/>
  <c r="M100" i="60"/>
  <c r="M101" i="60"/>
  <c r="M19" i="60" l="1"/>
  <c r="M18" i="60"/>
  <c r="M17" i="60"/>
  <c r="M14" i="60"/>
  <c r="M13" i="60"/>
  <c r="M11" i="60"/>
  <c r="M10" i="60"/>
  <c r="M35" i="60"/>
  <c r="M31" i="60"/>
  <c r="M43" i="60"/>
  <c r="G38" i="60"/>
  <c r="M36" i="60"/>
  <c r="M49" i="60"/>
  <c r="M16" i="60"/>
  <c r="G24" i="60" l="1"/>
  <c r="K116" i="60"/>
  <c r="J116" i="60"/>
  <c r="H116" i="60"/>
  <c r="G116" i="60"/>
  <c r="B12" i="5" s="1"/>
  <c r="J104" i="60"/>
  <c r="J117" i="60" s="1"/>
  <c r="K104" i="60"/>
  <c r="K117" i="60" s="1"/>
  <c r="H104" i="60"/>
  <c r="H117" i="60" s="1"/>
  <c r="G104" i="60"/>
  <c r="G117" i="60" s="1"/>
  <c r="B11" i="5" s="1"/>
  <c r="K89" i="60"/>
  <c r="K115" i="60" s="1"/>
  <c r="G78" i="60"/>
  <c r="G114" i="60" s="1"/>
  <c r="B9" i="5" s="1"/>
  <c r="H60" i="60"/>
  <c r="H113" i="60" s="1"/>
  <c r="G60" i="60"/>
  <c r="G113" i="60" s="1"/>
  <c r="B8" i="5" s="1"/>
  <c r="H51" i="60"/>
  <c r="H112" i="60" s="1"/>
  <c r="G51" i="60"/>
  <c r="G112" i="60" s="1"/>
  <c r="B7" i="5" s="1"/>
  <c r="K111" i="60"/>
  <c r="J111" i="60"/>
  <c r="I111" i="60"/>
  <c r="H111" i="60"/>
  <c r="G111" i="60"/>
  <c r="B6" i="5" s="1"/>
  <c r="G118" i="60" l="1"/>
  <c r="B3" i="5"/>
  <c r="C12" i="5"/>
  <c r="K60" i="60"/>
  <c r="K113" i="60" s="1"/>
  <c r="K51" i="60"/>
  <c r="K112" i="60" s="1"/>
  <c r="C8" i="5"/>
  <c r="C7" i="5"/>
  <c r="C11" i="5"/>
  <c r="C6" i="5"/>
  <c r="M9" i="60"/>
  <c r="G109" i="60"/>
  <c r="B4" i="5" s="1"/>
  <c r="G110" i="60"/>
  <c r="B5" i="5" s="1"/>
  <c r="J118" i="60"/>
  <c r="M111" i="60"/>
  <c r="L111" i="60"/>
  <c r="D6" i="5" s="1"/>
  <c r="F6" i="5" s="1"/>
  <c r="M104" i="60"/>
  <c r="L104" i="60"/>
  <c r="I104" i="60"/>
  <c r="I117" i="60" s="1"/>
  <c r="J60" i="60" l="1"/>
  <c r="J113" i="60" s="1"/>
  <c r="M117" i="60"/>
  <c r="L117" i="60"/>
  <c r="D11" i="5" s="1"/>
  <c r="F11" i="5" s="1"/>
  <c r="M12" i="60" l="1"/>
  <c r="K118" i="60" l="1"/>
  <c r="J38" i="60" l="1"/>
  <c r="J110" i="60" l="1"/>
  <c r="D21" i="3" l="1"/>
  <c r="E21" i="3" s="1"/>
  <c r="D22" i="3"/>
  <c r="E22" i="3" s="1"/>
  <c r="D23" i="3"/>
  <c r="E23" i="3" s="1"/>
  <c r="D24" i="3"/>
  <c r="E24" i="3" s="1"/>
  <c r="D25" i="3"/>
  <c r="E25" i="3" s="1"/>
  <c r="D26" i="3"/>
  <c r="E26" i="3" s="1"/>
  <c r="D27" i="3"/>
  <c r="E27" i="3" s="1"/>
  <c r="D28" i="3"/>
  <c r="E28" i="3" s="1"/>
  <c r="D29" i="3"/>
  <c r="E29" i="3" s="1"/>
  <c r="D30" i="3"/>
  <c r="E30" i="3" s="1"/>
  <c r="D31" i="3"/>
  <c r="E31" i="3" s="1"/>
  <c r="D32" i="3"/>
  <c r="E32" i="3" s="1"/>
  <c r="D33" i="3"/>
  <c r="E33" i="3" s="1"/>
  <c r="D34" i="3"/>
  <c r="E34" i="3" s="1"/>
  <c r="D35" i="3"/>
  <c r="E35" i="3" s="1"/>
  <c r="D36" i="3"/>
  <c r="E36" i="3" s="1"/>
  <c r="D37" i="3"/>
  <c r="E37" i="3" s="1"/>
  <c r="D38" i="3"/>
  <c r="E38" i="3" s="1"/>
  <c r="D39" i="3"/>
  <c r="E39" i="3" s="1"/>
  <c r="D40" i="3"/>
  <c r="E40" i="3" s="1"/>
  <c r="D42" i="3"/>
  <c r="E42" i="3" s="1"/>
  <c r="D41" i="3"/>
  <c r="E41" i="3" s="1"/>
  <c r="D43" i="3"/>
  <c r="E43" i="3" s="1"/>
  <c r="D44" i="3"/>
  <c r="E44" i="3" s="1"/>
  <c r="D48" i="3"/>
  <c r="E48" i="3" s="1"/>
  <c r="D45" i="3"/>
  <c r="E45" i="3" s="1"/>
  <c r="D46" i="3"/>
  <c r="E46" i="3" s="1"/>
  <c r="D50" i="3"/>
  <c r="E50" i="3" s="1"/>
  <c r="N51" i="3"/>
  <c r="D51" i="3" s="1"/>
  <c r="E51" i="3" s="1"/>
  <c r="D52" i="3"/>
  <c r="E52" i="3" s="1"/>
  <c r="N53" i="3"/>
  <c r="D53" i="3" s="1"/>
  <c r="E53" i="3" s="1"/>
  <c r="D54" i="3"/>
  <c r="E54" i="3" s="1"/>
  <c r="D47" i="3"/>
  <c r="E47" i="3" s="1"/>
  <c r="E2" i="8"/>
  <c r="E3" i="8"/>
  <c r="E4" i="8"/>
  <c r="E5" i="8"/>
  <c r="E6" i="8"/>
  <c r="E7" i="8"/>
  <c r="E8" i="8"/>
  <c r="E10" i="8"/>
  <c r="E14" i="8"/>
  <c r="E15" i="8"/>
  <c r="E22" i="8"/>
  <c r="E23" i="8"/>
  <c r="E26" i="8"/>
  <c r="E30" i="8"/>
  <c r="E31" i="8"/>
  <c r="E38" i="8"/>
  <c r="E39" i="8"/>
  <c r="E45" i="8"/>
  <c r="E44" i="8"/>
  <c r="E43" i="8"/>
  <c r="E46" i="8"/>
  <c r="E47" i="8"/>
  <c r="E49" i="8"/>
  <c r="E51" i="8"/>
  <c r="E53" i="8"/>
  <c r="E52" i="8"/>
  <c r="E54" i="8"/>
  <c r="E55" i="3" l="1"/>
  <c r="D55" i="3"/>
  <c r="N55" i="3"/>
  <c r="E35" i="8"/>
  <c r="E19" i="8"/>
  <c r="E34" i="8"/>
  <c r="E27" i="8"/>
  <c r="E18" i="8"/>
  <c r="E11" i="8"/>
  <c r="E40" i="8"/>
  <c r="E37" i="8"/>
  <c r="E32" i="8"/>
  <c r="E29" i="8"/>
  <c r="E24" i="8"/>
  <c r="E21" i="8"/>
  <c r="E16" i="8"/>
  <c r="E13" i="8"/>
  <c r="E36" i="8"/>
  <c r="E33" i="8"/>
  <c r="E28" i="8"/>
  <c r="E25" i="8"/>
  <c r="E20" i="8"/>
  <c r="E17" i="8"/>
  <c r="E12" i="8"/>
  <c r="E9" i="8"/>
  <c r="E48" i="8"/>
  <c r="E42" i="8"/>
  <c r="E50" i="8"/>
  <c r="E41" i="8"/>
  <c r="E55" i="8" l="1"/>
  <c r="B23" i="6"/>
  <c r="C23" i="6"/>
  <c r="B24" i="6"/>
  <c r="C24" i="6"/>
  <c r="D24" i="6"/>
  <c r="B25" i="6"/>
  <c r="C25" i="6"/>
  <c r="D25" i="6"/>
  <c r="B26" i="6"/>
  <c r="C26" i="6"/>
  <c r="D26" i="6"/>
  <c r="B27" i="6"/>
  <c r="C27" i="6"/>
  <c r="D27" i="6"/>
  <c r="B28" i="6"/>
  <c r="C28" i="6"/>
  <c r="D28" i="6"/>
  <c r="E31" i="6"/>
  <c r="E32" i="6"/>
  <c r="E33" i="6"/>
  <c r="E34" i="6"/>
  <c r="E35" i="6"/>
  <c r="E36" i="6"/>
  <c r="B54" i="6"/>
  <c r="C54" i="6"/>
  <c r="B55" i="6"/>
  <c r="C55" i="6"/>
  <c r="C56" i="6"/>
  <c r="B57" i="6"/>
  <c r="C57" i="6"/>
  <c r="B58" i="6"/>
  <c r="C58" i="6"/>
  <c r="C59" i="6"/>
  <c r="B46" i="6" l="1"/>
  <c r="B45" i="6"/>
  <c r="B47" i="6"/>
  <c r="B42" i="6"/>
  <c r="E27" i="6"/>
  <c r="D58" i="6" s="1"/>
  <c r="E23" i="6"/>
  <c r="D54" i="6" s="1"/>
  <c r="B66" i="6"/>
  <c r="B68" i="6"/>
  <c r="B43" i="6"/>
  <c r="B70" i="6"/>
  <c r="B69" i="6"/>
  <c r="E28" i="6"/>
  <c r="D59" i="6" s="1"/>
  <c r="E24" i="6"/>
  <c r="D55" i="6" s="1"/>
  <c r="E25" i="6"/>
  <c r="E26" i="6"/>
  <c r="D57" i="6" s="1"/>
  <c r="B67" i="6"/>
  <c r="B65" i="6"/>
  <c r="B44" i="6"/>
  <c r="D56" i="6" l="1"/>
  <c r="C67" i="6" s="1"/>
  <c r="C70" i="6"/>
  <c r="C45" i="6"/>
  <c r="C68" i="6"/>
  <c r="C43" i="6"/>
  <c r="C66" i="6"/>
  <c r="C42" i="6"/>
  <c r="C65" i="6"/>
  <c r="C46" i="6"/>
  <c r="C69" i="6"/>
  <c r="H118" i="60"/>
  <c r="C47" i="6"/>
  <c r="C44" i="6"/>
  <c r="H38" i="60" l="1"/>
  <c r="H110" i="60" s="1"/>
  <c r="C5" i="5" s="1"/>
  <c r="H24" i="60"/>
  <c r="H109" i="60" s="1"/>
  <c r="C4" i="5" s="1"/>
  <c r="C3" i="5"/>
  <c r="I116" i="60" l="1"/>
  <c r="M20" i="60"/>
  <c r="H89" i="60" l="1"/>
  <c r="H115" i="60" s="1"/>
  <c r="C10" i="5" s="1"/>
  <c r="M22" i="60"/>
  <c r="M21" i="60"/>
  <c r="K78" i="60"/>
  <c r="K114" i="60" s="1"/>
  <c r="L116" i="60"/>
  <c r="D12" i="5" s="1"/>
  <c r="D14" i="5" s="1"/>
  <c r="M116" i="60"/>
  <c r="M76" i="60" l="1"/>
  <c r="F12" i="5"/>
  <c r="F14" i="5" s="1"/>
  <c r="M75" i="60"/>
  <c r="M87" i="60"/>
  <c r="I118" i="60" l="1"/>
  <c r="K24" i="60"/>
  <c r="K109" i="60" s="1"/>
  <c r="H78" i="60"/>
  <c r="H114" i="60" s="1"/>
  <c r="H120" i="60" s="1"/>
  <c r="I24" i="60"/>
  <c r="I109" i="60" s="1"/>
  <c r="G89" i="60" l="1"/>
  <c r="G115" i="60" s="1"/>
  <c r="G120" i="60" s="1"/>
  <c r="M109" i="60"/>
  <c r="I51" i="60"/>
  <c r="I112" i="60" s="1"/>
  <c r="M112" i="60" s="1"/>
  <c r="K38" i="60"/>
  <c r="K110" i="60" s="1"/>
  <c r="K120" i="60" s="1"/>
  <c r="C9" i="5"/>
  <c r="C15" i="5" s="1"/>
  <c r="M118" i="60"/>
  <c r="L118" i="60"/>
  <c r="M58" i="60"/>
  <c r="I78" i="60"/>
  <c r="M34" i="60"/>
  <c r="J24" i="60"/>
  <c r="J109" i="60" s="1"/>
  <c r="L109" i="60" s="1"/>
  <c r="I38" i="60"/>
  <c r="I110" i="60" s="1"/>
  <c r="M6" i="60"/>
  <c r="M33" i="60"/>
  <c r="I60" i="60"/>
  <c r="I113" i="60" s="1"/>
  <c r="M32" i="60"/>
  <c r="I89" i="60"/>
  <c r="I115" i="60" s="1"/>
  <c r="M56" i="60"/>
  <c r="D3" i="5" l="1"/>
  <c r="I114" i="60"/>
  <c r="I120" i="60" s="1"/>
  <c r="B10" i="5"/>
  <c r="B15" i="5" s="1"/>
  <c r="M115" i="60"/>
  <c r="D4" i="5"/>
  <c r="F4" i="5" s="1"/>
  <c r="J51" i="60"/>
  <c r="J112" i="60" s="1"/>
  <c r="L112" i="60" s="1"/>
  <c r="D7" i="5" s="1"/>
  <c r="F7" i="5" s="1"/>
  <c r="J78" i="60"/>
  <c r="J114" i="60" s="1"/>
  <c r="M110" i="60"/>
  <c r="L110" i="60"/>
  <c r="D5" i="5" s="1"/>
  <c r="F5" i="5" s="1"/>
  <c r="M86" i="60"/>
  <c r="M74" i="60"/>
  <c r="J89" i="60"/>
  <c r="J115" i="60" s="1"/>
  <c r="L115" i="60" s="1"/>
  <c r="D10" i="5" s="1"/>
  <c r="M69" i="60"/>
  <c r="M72" i="60"/>
  <c r="M67" i="60"/>
  <c r="M30" i="60"/>
  <c r="M48" i="60"/>
  <c r="M68" i="60"/>
  <c r="M113" i="60"/>
  <c r="L113" i="60"/>
  <c r="D8" i="5" s="1"/>
  <c r="M70" i="60"/>
  <c r="M29" i="60"/>
  <c r="M71" i="60"/>
  <c r="M73" i="60"/>
  <c r="M114" i="60" l="1"/>
  <c r="F3" i="5"/>
  <c r="L114" i="60"/>
  <c r="D9" i="5" s="1"/>
  <c r="D15" i="5" s="1"/>
  <c r="E14" i="5" s="1"/>
  <c r="M120" i="60"/>
  <c r="G126" i="60" s="1"/>
  <c r="F10" i="5"/>
  <c r="M84" i="60"/>
  <c r="J120" i="60"/>
  <c r="M15" i="60"/>
  <c r="L24" i="60"/>
  <c r="M24" i="60" s="1"/>
  <c r="L38" i="60"/>
  <c r="M38" i="60" s="1"/>
  <c r="M47" i="60"/>
  <c r="M51" i="60" s="1"/>
  <c r="L51" i="60"/>
  <c r="M55" i="60"/>
  <c r="M60" i="60" s="1"/>
  <c r="L60" i="60"/>
  <c r="F8" i="5"/>
  <c r="M85" i="60"/>
  <c r="M66" i="60"/>
  <c r="M78" i="60" s="1"/>
  <c r="L78" i="60"/>
  <c r="F9" i="5"/>
  <c r="F15" i="5" l="1"/>
  <c r="G14" i="5" s="1"/>
  <c r="E13" i="5"/>
  <c r="L120" i="60"/>
  <c r="G124" i="60" s="1"/>
  <c r="E12" i="5"/>
  <c r="E8" i="5"/>
  <c r="G7" i="5"/>
  <c r="E9" i="5"/>
  <c r="E11" i="5"/>
  <c r="E5" i="5"/>
  <c r="E4" i="5"/>
  <c r="L89" i="60"/>
  <c r="M89" i="60"/>
  <c r="G13" i="5" l="1"/>
  <c r="E7" i="5"/>
  <c r="E10" i="5"/>
  <c r="E6" i="5"/>
  <c r="E3" i="5"/>
  <c r="G3" i="5"/>
  <c r="G10" i="5"/>
  <c r="G9" i="5"/>
  <c r="G6" i="5"/>
  <c r="G12" i="5"/>
  <c r="G4" i="5"/>
  <c r="G8" i="5"/>
  <c r="G11" i="5"/>
  <c r="G5" i="5"/>
  <c r="E15" i="5" l="1"/>
  <c r="G15" i="5"/>
</calcChain>
</file>

<file path=xl/comments1.xml><?xml version="1.0" encoding="utf-8"?>
<comments xmlns="http://schemas.openxmlformats.org/spreadsheetml/2006/main">
  <authors>
    <author>Lucas McCormley</author>
  </authors>
  <commentList>
    <comment ref="I21" authorId="0" shapeId="0">
      <text>
        <r>
          <rPr>
            <b/>
            <sz val="9"/>
            <color indexed="81"/>
            <rFont val="Tahoma"/>
            <family val="2"/>
          </rPr>
          <t>Lucas McCormley:</t>
        </r>
        <r>
          <rPr>
            <sz val="9"/>
            <color indexed="81"/>
            <rFont val="Tahoma"/>
            <family val="2"/>
          </rPr>
          <t xml:space="preserve">
+146505 plug removed</t>
        </r>
      </text>
    </comment>
    <comment ref="F102" authorId="0" shapeId="0">
      <text>
        <r>
          <rPr>
            <b/>
            <sz val="9"/>
            <color indexed="81"/>
            <rFont val="Tahoma"/>
            <family val="2"/>
          </rPr>
          <t>Lucas McCormley:</t>
        </r>
        <r>
          <rPr>
            <sz val="9"/>
            <color indexed="81"/>
            <rFont val="Tahoma"/>
            <family val="2"/>
          </rPr>
          <t xml:space="preserve">
Includes Financ's estimate of 0.1 FTE</t>
        </r>
      </text>
    </comment>
    <comment ref="H102" authorId="0" shapeId="0">
      <text>
        <r>
          <rPr>
            <b/>
            <sz val="9"/>
            <color indexed="81"/>
            <rFont val="Tahoma"/>
            <family val="2"/>
          </rPr>
          <t>Lucas McCormley:</t>
        </r>
        <r>
          <rPr>
            <sz val="9"/>
            <color indexed="81"/>
            <rFont val="Tahoma"/>
            <family val="2"/>
          </rPr>
          <t xml:space="preserve">
Assumed Finance time of 0.1 FTE estimate, which is the same as last year.</t>
        </r>
      </text>
    </comment>
  </commentList>
</comments>
</file>

<file path=xl/comments2.xml><?xml version="1.0" encoding="utf-8"?>
<comments xmlns="http://schemas.openxmlformats.org/spreadsheetml/2006/main">
  <authors>
    <author>Lucas McCormley</author>
  </authors>
  <commentList>
    <comment ref="I21" authorId="0" shapeId="0">
      <text>
        <r>
          <rPr>
            <b/>
            <sz val="9"/>
            <color indexed="81"/>
            <rFont val="Tahoma"/>
            <family val="2"/>
          </rPr>
          <t>Lucas McCormley:</t>
        </r>
        <r>
          <rPr>
            <sz val="9"/>
            <color indexed="81"/>
            <rFont val="Tahoma"/>
            <family val="2"/>
          </rPr>
          <t xml:space="preserve">
+146505 plug removed</t>
        </r>
      </text>
    </comment>
    <comment ref="H66" authorId="0" shapeId="0">
      <text>
        <r>
          <rPr>
            <b/>
            <sz val="9"/>
            <color indexed="81"/>
            <rFont val="Tahoma"/>
            <family val="2"/>
          </rPr>
          <t>Lucas McCormley:</t>
        </r>
        <r>
          <rPr>
            <sz val="9"/>
            <color indexed="81"/>
            <rFont val="Tahoma"/>
            <family val="2"/>
          </rPr>
          <t xml:space="preserve">
Joan said this is ok…  "we did it right…!"</t>
        </r>
      </text>
    </comment>
    <comment ref="H67" authorId="0" shapeId="0">
      <text>
        <r>
          <rPr>
            <b/>
            <sz val="9"/>
            <color indexed="81"/>
            <rFont val="Tahoma"/>
            <family val="2"/>
          </rPr>
          <t>Lucas McCormley:</t>
        </r>
        <r>
          <rPr>
            <sz val="9"/>
            <color indexed="81"/>
            <rFont val="Tahoma"/>
            <family val="2"/>
          </rPr>
          <t xml:space="preserve">
Link broke…  check prior version for location</t>
        </r>
      </text>
    </comment>
    <comment ref="F109" authorId="0" shapeId="0">
      <text>
        <r>
          <rPr>
            <b/>
            <sz val="9"/>
            <color indexed="81"/>
            <rFont val="Tahoma"/>
            <family val="2"/>
          </rPr>
          <t>Lucas McCormley:</t>
        </r>
        <r>
          <rPr>
            <sz val="9"/>
            <color indexed="81"/>
            <rFont val="Tahoma"/>
            <family val="2"/>
          </rPr>
          <t xml:space="preserve">
Includes Financ's estimate of 0.1 FTE</t>
        </r>
      </text>
    </comment>
    <comment ref="H109" authorId="0" shapeId="0">
      <text>
        <r>
          <rPr>
            <b/>
            <sz val="9"/>
            <color indexed="81"/>
            <rFont val="Tahoma"/>
            <family val="2"/>
          </rPr>
          <t>Lucas McCormley:</t>
        </r>
        <r>
          <rPr>
            <sz val="9"/>
            <color indexed="81"/>
            <rFont val="Tahoma"/>
            <family val="2"/>
          </rPr>
          <t xml:space="preserve">
Assumed Finance time of 0.1 FTE estimate, which is the same as last year.</t>
        </r>
      </text>
    </comment>
  </commentList>
</comments>
</file>

<file path=xl/sharedStrings.xml><?xml version="1.0" encoding="utf-8"?>
<sst xmlns="http://schemas.openxmlformats.org/spreadsheetml/2006/main" count="16946" uniqueCount="1030">
  <si>
    <t>GENERAL INFORMATION</t>
  </si>
  <si>
    <t>Contact Person:</t>
  </si>
  <si>
    <t>Contact Number:</t>
  </si>
  <si>
    <t>HSCRC Hospital ID #:</t>
  </si>
  <si>
    <t># of Employees:</t>
  </si>
  <si>
    <t>Screenings</t>
  </si>
  <si>
    <t>Support Groups</t>
  </si>
  <si>
    <t>TOTAL</t>
  </si>
  <si>
    <t>COMMUNITY BENEFIT ACTIVITES</t>
  </si>
  <si>
    <t># OF STAFF HOURS</t>
  </si>
  <si>
    <t>Scholarships/Funding for Professional Education</t>
  </si>
  <si>
    <t>Other Health Professionals</t>
  </si>
  <si>
    <t>RESEARCH</t>
  </si>
  <si>
    <t>In-Kind Donations</t>
  </si>
  <si>
    <t>Economic Development</t>
  </si>
  <si>
    <t>FINANCIAL DATA</t>
  </si>
  <si>
    <t>OPERATING REVENUE</t>
  </si>
  <si>
    <t>Net Patient Service Revenue</t>
  </si>
  <si>
    <t>Other Revenue</t>
  </si>
  <si>
    <t>Total Revenue</t>
  </si>
  <si>
    <t>NET REVENUE (LOSS) FROM OPERATIONS</t>
  </si>
  <si>
    <t>NON-OPERATING GAINS (LOSSES)</t>
  </si>
  <si>
    <t>NET REVENUE (LOSS)</t>
  </si>
  <si>
    <t>FOUNDATION COMMUNITY BENEFIT</t>
  </si>
  <si>
    <t>Community Services</t>
  </si>
  <si>
    <t>Community Building</t>
  </si>
  <si>
    <t>TOTAL HOSPITAL COMMUNITY BENEFIT</t>
  </si>
  <si>
    <t>TOTAL FOUNDATION COMMUNITY BENEFIT</t>
  </si>
  <si>
    <t>% OF OPERATING EXPENSES</t>
  </si>
  <si>
    <t>DIRECT COST($)</t>
  </si>
  <si>
    <t>INDIRECT COST($)</t>
  </si>
  <si>
    <t>Physicians/Medical Students</t>
  </si>
  <si>
    <t>Contact Email:</t>
  </si>
  <si>
    <t>OFFSETTING REVENUE($)</t>
  </si>
  <si>
    <t>NET COMMUNITY BENEFIT</t>
  </si>
  <si>
    <t>INDIRECT COST RATIO</t>
  </si>
  <si>
    <t>TOTAL OPERATING EXPENSES</t>
  </si>
  <si>
    <t># OF ENCOUNTERS</t>
  </si>
  <si>
    <t>MISSION DRIVEN HEALTH SERVICES (please list)</t>
  </si>
  <si>
    <t>CHARITY CARE (report total only)</t>
  </si>
  <si>
    <t>Hospital Name:</t>
  </si>
  <si>
    <t>COMMUNITY HEALTH SERVICES</t>
  </si>
  <si>
    <t>Community Health Education</t>
  </si>
  <si>
    <t>Self-Help</t>
  </si>
  <si>
    <t>Community-Based Clinical Services</t>
  </si>
  <si>
    <t>One-Time/Occasionally Held Clinics</t>
  </si>
  <si>
    <t>Free Clinics</t>
  </si>
  <si>
    <t>Mobile Units</t>
  </si>
  <si>
    <t>Health Care Support Services</t>
  </si>
  <si>
    <t>HEALTH PROFESSIONS EDUCATION</t>
  </si>
  <si>
    <t>Nurses/Nursing Students</t>
  </si>
  <si>
    <t>C10</t>
  </si>
  <si>
    <t>Clinical Research</t>
  </si>
  <si>
    <t>Community Health Research</t>
  </si>
  <si>
    <t>Cash Donations</t>
  </si>
  <si>
    <t>Grants</t>
  </si>
  <si>
    <t>Cost of Fund Raising for Community Programs</t>
  </si>
  <si>
    <t>COMMUNITY BUILDING ACTIVITIES</t>
  </si>
  <si>
    <t>Environmental Improvements</t>
  </si>
  <si>
    <t>Leadership Development/Training for Community Members</t>
  </si>
  <si>
    <t>Coalition Building</t>
  </si>
  <si>
    <t>Community Benefit Operations</t>
  </si>
  <si>
    <t>Community health/health assets assessments</t>
  </si>
  <si>
    <t>COMMUNITY BENEFIT OPERATIONS</t>
  </si>
  <si>
    <t>Community Health Services</t>
  </si>
  <si>
    <t>Health Professions Education</t>
  </si>
  <si>
    <t>Mission Driven Health Care Services</t>
  </si>
  <si>
    <t>Research</t>
  </si>
  <si>
    <t>Financial Contributions</t>
  </si>
  <si>
    <t>Community Building Activities</t>
  </si>
  <si>
    <t>Charity Care</t>
  </si>
  <si>
    <t>Foundation Funded Community Benefit</t>
  </si>
  <si>
    <t>% of NET REVENUE</t>
  </si>
  <si>
    <t>N/A</t>
  </si>
  <si>
    <t>A00.</t>
  </si>
  <si>
    <t>A10</t>
  </si>
  <si>
    <t>A11</t>
  </si>
  <si>
    <t>A12</t>
  </si>
  <si>
    <t>A20</t>
  </si>
  <si>
    <t>A21</t>
  </si>
  <si>
    <t>A22</t>
  </si>
  <si>
    <t>A23</t>
  </si>
  <si>
    <t>A24</t>
  </si>
  <si>
    <t>A30</t>
  </si>
  <si>
    <t>A40</t>
  </si>
  <si>
    <t xml:space="preserve"> </t>
  </si>
  <si>
    <t>B00</t>
  </si>
  <si>
    <t>B10</t>
  </si>
  <si>
    <t>B20</t>
  </si>
  <si>
    <t>B30</t>
  </si>
  <si>
    <t>B40</t>
  </si>
  <si>
    <t>B50</t>
  </si>
  <si>
    <t>C00</t>
  </si>
  <si>
    <t>C20</t>
  </si>
  <si>
    <t>C30</t>
  </si>
  <si>
    <t>C40</t>
  </si>
  <si>
    <t>C50</t>
  </si>
  <si>
    <t>C60</t>
  </si>
  <si>
    <t>C70</t>
  </si>
  <si>
    <t>C80</t>
  </si>
  <si>
    <t>C90</t>
  </si>
  <si>
    <t>C91</t>
  </si>
  <si>
    <t>D00</t>
  </si>
  <si>
    <t>D10</t>
  </si>
  <si>
    <t>D20</t>
  </si>
  <si>
    <t>E00</t>
  </si>
  <si>
    <t>Cash and In-Kind Contributions</t>
  </si>
  <si>
    <t>E10</t>
  </si>
  <si>
    <t>E20</t>
  </si>
  <si>
    <t>E30</t>
  </si>
  <si>
    <t>E40</t>
  </si>
  <si>
    <t>F00</t>
  </si>
  <si>
    <t>F10</t>
  </si>
  <si>
    <t>Physical Improvements and Housing</t>
  </si>
  <si>
    <t>F20</t>
  </si>
  <si>
    <t>F30</t>
  </si>
  <si>
    <t>Community Support</t>
  </si>
  <si>
    <t>F40</t>
  </si>
  <si>
    <t>F50</t>
  </si>
  <si>
    <t>F60</t>
  </si>
  <si>
    <t>F70</t>
  </si>
  <si>
    <t>Advocacy for Community Health Improvements</t>
  </si>
  <si>
    <t>F80</t>
  </si>
  <si>
    <t>Workforce Development</t>
  </si>
  <si>
    <t>F90</t>
  </si>
  <si>
    <t>F91</t>
  </si>
  <si>
    <t>F92</t>
  </si>
  <si>
    <t>G31</t>
  </si>
  <si>
    <t>G30</t>
  </si>
  <si>
    <t>G32</t>
  </si>
  <si>
    <t>G00</t>
  </si>
  <si>
    <t>G10</t>
  </si>
  <si>
    <t>G20</t>
  </si>
  <si>
    <t>A41</t>
  </si>
  <si>
    <t>A42</t>
  </si>
  <si>
    <t>A43</t>
  </si>
  <si>
    <t>A44</t>
  </si>
  <si>
    <t>A99</t>
  </si>
  <si>
    <t>Total Community Health Services</t>
  </si>
  <si>
    <t>B51</t>
  </si>
  <si>
    <t>B52</t>
  </si>
  <si>
    <t>B53</t>
  </si>
  <si>
    <t>B99</t>
  </si>
  <si>
    <t>Total Health Professions Education</t>
  </si>
  <si>
    <t>C99</t>
  </si>
  <si>
    <t>Total Mission Driven Health Services</t>
  </si>
  <si>
    <t>D99</t>
  </si>
  <si>
    <t>Total Research</t>
  </si>
  <si>
    <t>E99</t>
  </si>
  <si>
    <t>Total Cash and In-Kind Contributions</t>
  </si>
  <si>
    <t>F99</t>
  </si>
  <si>
    <t>Total Community Building Activities</t>
  </si>
  <si>
    <t>Assigned Staff</t>
  </si>
  <si>
    <t>G99</t>
  </si>
  <si>
    <t>Total Community Benefit Operations</t>
  </si>
  <si>
    <t>H99</t>
  </si>
  <si>
    <t>H00</t>
  </si>
  <si>
    <t>J00</t>
  </si>
  <si>
    <t>J10</t>
  </si>
  <si>
    <t>J20</t>
  </si>
  <si>
    <t>J30</t>
  </si>
  <si>
    <t>J31</t>
  </si>
  <si>
    <t>J32</t>
  </si>
  <si>
    <t>J99</t>
  </si>
  <si>
    <t>Total Charity Care</t>
  </si>
  <si>
    <t>K99</t>
  </si>
  <si>
    <t>K00</t>
  </si>
  <si>
    <t>S99</t>
  </si>
  <si>
    <t>U99</t>
  </si>
  <si>
    <t>V99</t>
  </si>
  <si>
    <t>I00</t>
  </si>
  <si>
    <t>I10</t>
  </si>
  <si>
    <t>I20</t>
  </si>
  <si>
    <t>I30</t>
  </si>
  <si>
    <t>I40</t>
  </si>
  <si>
    <t>I50</t>
  </si>
  <si>
    <t>I60</t>
  </si>
  <si>
    <t>I70</t>
  </si>
  <si>
    <t>D30</t>
  </si>
  <si>
    <t>D31</t>
  </si>
  <si>
    <t>D32</t>
  </si>
  <si>
    <t>UNREIMBURSED MEDICAID COST</t>
  </si>
  <si>
    <t>Medicaid Costs</t>
  </si>
  <si>
    <t>Medicaid Assessments</t>
  </si>
  <si>
    <t>T00</t>
  </si>
  <si>
    <t>T99</t>
  </si>
  <si>
    <t>Medicaid Assesments</t>
  </si>
  <si>
    <t>FY 2014 Data Collection Sheet</t>
  </si>
  <si>
    <t>Raquel Samuels</t>
  </si>
  <si>
    <t>301-315-3283</t>
  </si>
  <si>
    <t>rsamuels@adventisthealthcare.com</t>
  </si>
  <si>
    <t>Hospital Based Physicians</t>
  </si>
  <si>
    <t>Non-Residential House Staff and Hospitalists</t>
  </si>
  <si>
    <t>Coverage of ED On Call</t>
  </si>
  <si>
    <t>Physician Provision of Financial Assistance</t>
  </si>
  <si>
    <t>Recruitment of Physicians to Meet Community Needs</t>
  </si>
  <si>
    <t>Fundraising support</t>
  </si>
  <si>
    <t>Immunizations</t>
  </si>
  <si>
    <t>UCC IN RATES</t>
  </si>
  <si>
    <t>Meritus</t>
  </si>
  <si>
    <t>Meritus Medical Center</t>
  </si>
  <si>
    <t>Frederick Memorial</t>
  </si>
  <si>
    <t>St. Agnes</t>
  </si>
  <si>
    <t>Bon Secours</t>
  </si>
  <si>
    <t>Western Maryland Regional Medical Center</t>
  </si>
  <si>
    <t xml:space="preserve">Union Hospital of Cecil County               </t>
  </si>
  <si>
    <t xml:space="preserve">Carroll County General Hospital              </t>
  </si>
  <si>
    <t>GBMC</t>
  </si>
  <si>
    <t>McCready</t>
  </si>
  <si>
    <t>Atlantic General</t>
  </si>
  <si>
    <t>Total</t>
  </si>
  <si>
    <t>Education Rate Support</t>
  </si>
  <si>
    <t>Final DME</t>
  </si>
  <si>
    <t>NSP1</t>
  </si>
  <si>
    <t>Total Education</t>
  </si>
  <si>
    <t xml:space="preserve">University of Maryland Medical Center                 </t>
  </si>
  <si>
    <t>Hospital</t>
  </si>
  <si>
    <t>HOSPID</t>
  </si>
  <si>
    <t>Committee Recom.</t>
  </si>
  <si>
    <t xml:space="preserve">Prince George's Hospital Center               </t>
  </si>
  <si>
    <t xml:space="preserve">Holy Cross Hospital                  </t>
  </si>
  <si>
    <t xml:space="preserve">Frederick Memorial Hospital            </t>
  </si>
  <si>
    <t>Hospital Name</t>
  </si>
  <si>
    <t>P4</t>
  </si>
  <si>
    <t>P5</t>
  </si>
  <si>
    <t xml:space="preserve">Harford Memorial Hospital            </t>
  </si>
  <si>
    <t xml:space="preserve">Mercy Medical Center                </t>
  </si>
  <si>
    <t xml:space="preserve">Johns Hopkins Hospital                 </t>
  </si>
  <si>
    <t xml:space="preserve">Saint Agnes Hospital                  </t>
  </si>
  <si>
    <t xml:space="preserve">Sinai Hospital                   </t>
  </si>
  <si>
    <t xml:space="preserve">Bon Secours Hospital                 </t>
  </si>
  <si>
    <t xml:space="preserve">Washington Adventist Hospital               </t>
  </si>
  <si>
    <t xml:space="preserve">Garrett County Memorial Hospital               </t>
  </si>
  <si>
    <t xml:space="preserve">Peninsula Regional Hospital           </t>
  </si>
  <si>
    <t xml:space="preserve">Suburban Hospital                    </t>
  </si>
  <si>
    <t xml:space="preserve">Anne Arundel Medical Center                 </t>
  </si>
  <si>
    <t xml:space="preserve">Western Maryland        </t>
  </si>
  <si>
    <t xml:space="preserve">Johns Hopkins Bayview Medical Center        </t>
  </si>
  <si>
    <t xml:space="preserve">Calvert Memorial Hospital             </t>
  </si>
  <si>
    <t xml:space="preserve">Northwest Hospital Center                    </t>
  </si>
  <si>
    <t xml:space="preserve">G.B.M.C                       </t>
  </si>
  <si>
    <t xml:space="preserve">McCready Hospital                     </t>
  </si>
  <si>
    <t xml:space="preserve">Howard County General Hospital                </t>
  </si>
  <si>
    <t xml:space="preserve">Upper Chesapeake Medical Center             </t>
  </si>
  <si>
    <t xml:space="preserve">Doctors Community Hospital       </t>
  </si>
  <si>
    <t xml:space="preserve">Laurel Regional Hospital              </t>
  </si>
  <si>
    <t xml:space="preserve">Fort Washington medical Center               </t>
  </si>
  <si>
    <t xml:space="preserve">Atlantic General Hospital                 </t>
  </si>
  <si>
    <t>Levindale</t>
  </si>
  <si>
    <t>Mt. Washington</t>
  </si>
  <si>
    <t>Sheppard Pratt</t>
  </si>
  <si>
    <t xml:space="preserve">University MIEMSS             </t>
  </si>
  <si>
    <t>DME</t>
  </si>
  <si>
    <t>CHARITY CARE IN RATES</t>
  </si>
  <si>
    <t>Total Rate support</t>
  </si>
  <si>
    <t>Community Benefit Category</t>
  </si>
  <si>
    <t>Number of Staff Hours</t>
  </si>
  <si>
    <t>Number of Encounters</t>
  </si>
  <si>
    <t>Net Community Benefit Expense</t>
  </si>
  <si>
    <t>Percent of Total CB Expenditures</t>
  </si>
  <si>
    <t>Net Community Benefit Expense Less: Rate Support</t>
  </si>
  <si>
    <t>Percent of Total CB Expenditures w/o Rate Support</t>
  </si>
  <si>
    <t>Unreimbursed Medicaid Cost</t>
  </si>
  <si>
    <t>Health Professions Education *</t>
  </si>
  <si>
    <t>Mission Driven Health Services</t>
  </si>
  <si>
    <t>Foundation</t>
  </si>
  <si>
    <t>% of Operating Expense less rate support</t>
  </si>
  <si>
    <t>% of Operating Expense</t>
  </si>
  <si>
    <t>Fiscal Year</t>
  </si>
  <si>
    <t>Net Community Benefit</t>
  </si>
  <si>
    <t>Offsetting Revenue</t>
  </si>
  <si>
    <t>Total Operating Expenses</t>
  </si>
  <si>
    <t>CB Expense Less Rate Support</t>
  </si>
  <si>
    <t>CB Expense</t>
  </si>
  <si>
    <t>NSP (1)</t>
  </si>
  <si>
    <t>Category</t>
  </si>
  <si>
    <t>Employees</t>
  </si>
  <si>
    <t xml:space="preserve">Total Staff Hours CB Operations </t>
  </si>
  <si>
    <t>Total Hospital Operating Expense</t>
  </si>
  <si>
    <t>Total Community Benefit</t>
  </si>
  <si>
    <t>Total CB as % of Total Operating Expense</t>
  </si>
  <si>
    <t>Total Net CB(minus charity Care, DME, NSPI in Rates) as % of Operating Expense</t>
  </si>
  <si>
    <t>CB Reported Charity Care</t>
  </si>
  <si>
    <t>Totals</t>
  </si>
  <si>
    <t>Adventist Behavioral Health Rockville</t>
  </si>
  <si>
    <t>UMMC</t>
  </si>
  <si>
    <t>Dimensions Prince Georges Hospital Center</t>
  </si>
  <si>
    <t>Holy Cross Hospital</t>
  </si>
  <si>
    <t>UM Harford Memorial</t>
  </si>
  <si>
    <t>Mercy Medical Center</t>
  </si>
  <si>
    <t>Johns Hopkins Hospital</t>
  </si>
  <si>
    <t>UM Shore Medical Dorchester</t>
  </si>
  <si>
    <t>LifeBridge Sinai</t>
  </si>
  <si>
    <t>MedStar Franklin Square</t>
  </si>
  <si>
    <t>Adventist Washington Adventist</t>
  </si>
  <si>
    <t>Garrett County Hospital</t>
  </si>
  <si>
    <t>MedStar Montgomery General</t>
  </si>
  <si>
    <t>Peninsula Regional</t>
  </si>
  <si>
    <t>Suburban Hospital</t>
  </si>
  <si>
    <t>Anne Arundel Medical Center</t>
  </si>
  <si>
    <t>MedStar Union Memorial</t>
  </si>
  <si>
    <t>Western Maryland Health System</t>
  </si>
  <si>
    <t>MedStar St. Mary’s Hospital</t>
  </si>
  <si>
    <t>Johns Hopkins Bayview Medical Center</t>
  </si>
  <si>
    <t>UM Shore Medical Chestertown</t>
  </si>
  <si>
    <t>Union Hospital of Cecil County</t>
  </si>
  <si>
    <t>Carroll Hospital Center</t>
  </si>
  <si>
    <t>MedStar Harbor Hospital</t>
  </si>
  <si>
    <t>UM Charles Regional Medical Center</t>
  </si>
  <si>
    <t>UM Shore Medical Easton</t>
  </si>
  <si>
    <t>UM Midtown</t>
  </si>
  <si>
    <t>Calvert Hospital</t>
  </si>
  <si>
    <t>Lifebridge Northwest Hospital</t>
  </si>
  <si>
    <t>UM Baltimore Washington</t>
  </si>
  <si>
    <t>Howard County Hospital</t>
  </si>
  <si>
    <t>UM Upper Chesapeake</t>
  </si>
  <si>
    <t>Doctors Community</t>
  </si>
  <si>
    <t>Dimensions Laurel Regional Hospital</t>
  </si>
  <si>
    <t>Fort Washington Medical Center</t>
  </si>
  <si>
    <t>MedStar Southern Maryland</t>
  </si>
  <si>
    <t>UM St. Joseph</t>
  </si>
  <si>
    <t>Lifebridge Levindale</t>
  </si>
  <si>
    <t>UM Rehabilitation and Ortho Institute</t>
  </si>
  <si>
    <t>MedStar Good Samaritan</t>
  </si>
  <si>
    <t>Adventist Rehab of Maryland</t>
  </si>
  <si>
    <t>Adventist Behavioral Health at Eastern Shore</t>
  </si>
  <si>
    <t>Mt. Washington Pediatrics</t>
  </si>
  <si>
    <t>Adventist Shady Grove Hospital</t>
  </si>
  <si>
    <t xml:space="preserve">MedStar Good Samaritan Hospital               </t>
  </si>
  <si>
    <t xml:space="preserve">UM Saint Josephs Medical Center       </t>
  </si>
  <si>
    <t>UM Baltimore Washington Medical Center</t>
  </si>
  <si>
    <t xml:space="preserve">UM Shore Medical Center at Easton            </t>
  </si>
  <si>
    <t xml:space="preserve">UM Charles Regional Medical Center                </t>
  </si>
  <si>
    <t xml:space="preserve">MedStar Harbor Hospital Center              </t>
  </si>
  <si>
    <t xml:space="preserve">MedStar Saint Mary's Hospital                  </t>
  </si>
  <si>
    <t xml:space="preserve">MedStar Union Memorial Hospital               </t>
  </si>
  <si>
    <t xml:space="preserve">MedStar Montgomery General Hospital           </t>
  </si>
  <si>
    <t>NSPI FY14 Requested Budget Amount</t>
  </si>
  <si>
    <t>210057</t>
  </si>
  <si>
    <t>Other</t>
  </si>
  <si>
    <t xml:space="preserve">Washington Adventist Hospital </t>
  </si>
  <si>
    <t>210016</t>
  </si>
  <si>
    <t>Bob Reilly</t>
  </si>
  <si>
    <t>443-481-1308</t>
  </si>
  <si>
    <t>breilly@aahs.org</t>
  </si>
  <si>
    <t>Pharmacy Assistance Program</t>
  </si>
  <si>
    <t>AACo Fire Department EMT Supply</t>
  </si>
  <si>
    <t>Pre-Natal Care @ Health Dept.</t>
  </si>
  <si>
    <t>Annapolis Outreach Center</t>
  </si>
  <si>
    <t>Community Health Clinic</t>
  </si>
  <si>
    <t>KI Urgent Care Facility</t>
  </si>
  <si>
    <t>Physician Recruting</t>
  </si>
  <si>
    <t>Pathways</t>
  </si>
  <si>
    <t>Anne Arundel Diagnostics</t>
  </si>
  <si>
    <t>Hospice</t>
  </si>
  <si>
    <t xml:space="preserve">ED Physician Uncompensated Care </t>
  </si>
  <si>
    <t>ED Call Coverage</t>
  </si>
  <si>
    <t>C92</t>
  </si>
  <si>
    <t>Physician Community Services</t>
  </si>
  <si>
    <t>My Chart Electronic Records</t>
  </si>
  <si>
    <t>Patient Family Centered Care Initiative</t>
  </si>
  <si>
    <t>Atlantic General Hospital</t>
  </si>
  <si>
    <t>Bruce Todd</t>
  </si>
  <si>
    <t>410-641-9095</t>
  </si>
  <si>
    <t>mtodd@atlanticgeneral.org</t>
  </si>
  <si>
    <t>SAFE program</t>
  </si>
  <si>
    <t>410-362-4487</t>
  </si>
  <si>
    <t>Kimberly_Thomas2@bshsi.org</t>
  </si>
  <si>
    <t>Community Health Improvement</t>
  </si>
  <si>
    <t>B1</t>
  </si>
  <si>
    <t>B2</t>
  </si>
  <si>
    <t>B3</t>
  </si>
  <si>
    <t>B4</t>
  </si>
  <si>
    <t>Transportation</t>
  </si>
  <si>
    <t>D1</t>
  </si>
  <si>
    <t>D2</t>
  </si>
  <si>
    <t>E1</t>
  </si>
  <si>
    <t>E2</t>
  </si>
  <si>
    <t>E3</t>
  </si>
  <si>
    <t>E4</t>
  </si>
  <si>
    <t>F1</t>
  </si>
  <si>
    <t>F2</t>
  </si>
  <si>
    <t>F3</t>
  </si>
  <si>
    <t>F4</t>
  </si>
  <si>
    <t>F5</t>
  </si>
  <si>
    <t>F6</t>
  </si>
  <si>
    <t>F7</t>
  </si>
  <si>
    <t>F8</t>
  </si>
  <si>
    <t>G1</t>
  </si>
  <si>
    <t>G2</t>
  </si>
  <si>
    <t>J1</t>
  </si>
  <si>
    <t>J2</t>
  </si>
  <si>
    <t>Calvert Memorial Hospital</t>
  </si>
  <si>
    <t>Margaret Fowler</t>
  </si>
  <si>
    <t>mfowler@cmhlink.org</t>
  </si>
  <si>
    <t>21-0033</t>
  </si>
  <si>
    <t>Selena Brewer</t>
  </si>
  <si>
    <t>410-871-7251</t>
  </si>
  <si>
    <t>sbrewer@CarrollHospitalCenter.org</t>
  </si>
  <si>
    <t>Interpreter Services</t>
  </si>
  <si>
    <t>Forensic Nurse Examiner Program</t>
  </si>
  <si>
    <t>Job Shadow</t>
  </si>
  <si>
    <t>Access Carroll - free medical practice</t>
  </si>
  <si>
    <t>Physician Support</t>
  </si>
  <si>
    <t>Physician Recruitment</t>
  </si>
  <si>
    <t xml:space="preserve">Doctors Community Hospital </t>
  </si>
  <si>
    <t>21-0051</t>
  </si>
  <si>
    <t>301-552-8601</t>
  </si>
  <si>
    <t>21-0005</t>
  </si>
  <si>
    <t>HANNAH JACOBS</t>
  </si>
  <si>
    <t>240-566-3320</t>
  </si>
  <si>
    <t>HJACOBS@FMH.ORG</t>
  </si>
  <si>
    <t>Physician Hospitalist</t>
  </si>
  <si>
    <t>Physician OB Call</t>
  </si>
  <si>
    <t>Physician Anesthesia Call</t>
  </si>
  <si>
    <t>Physician Interventional Cardiology</t>
  </si>
  <si>
    <t>Physician Debt Forgiveness</t>
  </si>
  <si>
    <t>Prenatal OB Center</t>
  </si>
  <si>
    <t>Judy Mitchell</t>
  </si>
  <si>
    <t>jmitchell@nexushealth.org</t>
  </si>
  <si>
    <t>SARAH TROTTIER</t>
  </si>
  <si>
    <t>301-533-4257</t>
  </si>
  <si>
    <t>strottier@gcmh.com</t>
  </si>
  <si>
    <t>G.B.M.C</t>
  </si>
  <si>
    <t>Michael Myers</t>
  </si>
  <si>
    <t>443-849-4328</t>
  </si>
  <si>
    <t>mmyers@gbmc.org</t>
  </si>
  <si>
    <t>Senior Services Geriatric Nurse Practitioner</t>
  </si>
  <si>
    <t>Women's Services OB Clinic</t>
  </si>
  <si>
    <t>Administration of Charity Care</t>
  </si>
  <si>
    <t>Kimberley McBride</t>
  </si>
  <si>
    <t>301-754-7149</t>
  </si>
  <si>
    <t>mcbrik@holycrosshealth.org</t>
  </si>
  <si>
    <t>Coverage of Emergency Department Calls</t>
  </si>
  <si>
    <t>Physician Contracts for the Uninsured</t>
  </si>
  <si>
    <t>Anesthesiologists</t>
  </si>
  <si>
    <t>Health Care Clinics for the Uninsured</t>
  </si>
  <si>
    <t>Pediatric Attending Physcians for the Uninsured</t>
  </si>
  <si>
    <t>Outpatient Lactation Services - Breast Pump Rentals for Uninsured</t>
  </si>
  <si>
    <t>Medical Adult Day Care</t>
  </si>
  <si>
    <t>Howard County General Hospital</t>
  </si>
  <si>
    <t>21-0048</t>
  </si>
  <si>
    <t>Fran Moll</t>
  </si>
  <si>
    <t>443-997-0627</t>
  </si>
  <si>
    <t>fmoll1@jhmi.edu</t>
  </si>
  <si>
    <t>0029</t>
  </si>
  <si>
    <t>Patricia Carroll or Kim Moeller</t>
  </si>
  <si>
    <t>410-550-0289 or 443-997-0639</t>
  </si>
  <si>
    <t>pcarroll@jhmi.edu or kmoelle@jhmi.edu</t>
  </si>
  <si>
    <t>Social Work Prescriptions</t>
  </si>
  <si>
    <t xml:space="preserve">Trauma on-call </t>
  </si>
  <si>
    <t>Emergency Medicine on-call</t>
  </si>
  <si>
    <t>Wyman Park Community Services</t>
  </si>
  <si>
    <t>Teaching Community Education</t>
  </si>
  <si>
    <t>Baltimore Medical System (BMS)</t>
  </si>
  <si>
    <t>Health Education &amp; Social Services</t>
  </si>
  <si>
    <t>TAP</t>
  </si>
  <si>
    <t>Other On-call Coverage</t>
  </si>
  <si>
    <t>Health Leads</t>
  </si>
  <si>
    <t>Cancer Registry</t>
  </si>
  <si>
    <t>The Johns Hopkins Hospital</t>
  </si>
  <si>
    <t>0009</t>
  </si>
  <si>
    <t>Sharon Tiebert-Maddox</t>
  </si>
  <si>
    <t>443-287-9900</t>
  </si>
  <si>
    <t>tiebert@jhu.edu</t>
  </si>
  <si>
    <t>Communiity Health Services - Other</t>
  </si>
  <si>
    <t>Health Professions  Education - Other</t>
  </si>
  <si>
    <t>CPP Case Management</t>
  </si>
  <si>
    <t>Broadway Center IOP/OP Grant</t>
  </si>
  <si>
    <t>Wilson House</t>
  </si>
  <si>
    <t>Geriatric Psych Day Hospital Patient Transportation</t>
  </si>
  <si>
    <t>Eating Disorders Day Hospital Supportive Housing</t>
  </si>
  <si>
    <t>Schizophrenia Day Hospital Housing</t>
  </si>
  <si>
    <t>Supportive Housing for Male Substance Abuse Patients</t>
  </si>
  <si>
    <t>Pain Treatment Day Hospital Housing</t>
  </si>
  <si>
    <t>Mission Driven - Other</t>
  </si>
  <si>
    <t>Community Building Activities - Other</t>
  </si>
  <si>
    <t>Office Expense</t>
  </si>
  <si>
    <t>Laurel Regional Hospital</t>
  </si>
  <si>
    <t>21-0055</t>
  </si>
  <si>
    <t>301-617-8606</t>
  </si>
  <si>
    <t>michael.jacobs@dimensionshealth.org</t>
  </si>
  <si>
    <t>Anesthesia services to the community</t>
  </si>
  <si>
    <t>OB/GYN services to the community</t>
  </si>
  <si>
    <t>Emergency services to the community</t>
  </si>
  <si>
    <t>Psychiatric services to the community</t>
  </si>
  <si>
    <t>Julie Sessa</t>
  </si>
  <si>
    <t>410-601-7238</t>
  </si>
  <si>
    <t>jsessa@lifebridgehealth.org</t>
  </si>
  <si>
    <t>SNFists</t>
  </si>
  <si>
    <t xml:space="preserve"> Lauren Rose </t>
  </si>
  <si>
    <t>410-933-2313</t>
  </si>
  <si>
    <t>Lauren.Rose@medstar.net</t>
  </si>
  <si>
    <t>Emergency and Trauma Services</t>
  </si>
  <si>
    <t>Hospital Outpatient Services</t>
  </si>
  <si>
    <t>Women's and Children's Services</t>
  </si>
  <si>
    <t>Other Resources</t>
  </si>
  <si>
    <t xml:space="preserve">Lauren Rose </t>
  </si>
  <si>
    <t>lauren.rose@medstar.net</t>
  </si>
  <si>
    <t xml:space="preserve">Emergency and Trauma Services </t>
  </si>
  <si>
    <t xml:space="preserve">Subsidized Continuing Care </t>
  </si>
  <si>
    <t xml:space="preserve">Behavioral Health Services </t>
  </si>
  <si>
    <t>G3</t>
  </si>
  <si>
    <t>Lauren Rose</t>
  </si>
  <si>
    <t>Behavioral Health Services</t>
  </si>
  <si>
    <t>D3</t>
  </si>
  <si>
    <t>F9</t>
  </si>
  <si>
    <t xml:space="preserve">410-933-2313				</t>
  </si>
  <si>
    <t xml:space="preserve">Lauren.rose@medtsar.net 				</t>
  </si>
  <si>
    <t xml:space="preserve">Women's and Children's Services </t>
  </si>
  <si>
    <t xml:space="preserve">Other Research </t>
  </si>
  <si>
    <t>Radiology Students</t>
  </si>
  <si>
    <t>G4</t>
  </si>
  <si>
    <t>G5</t>
  </si>
  <si>
    <t>other</t>
  </si>
  <si>
    <t>Subsidized Continuing Care</t>
  </si>
  <si>
    <t>410.933.2313</t>
  </si>
  <si>
    <t>Renal Dialysis Services</t>
  </si>
  <si>
    <t>Mercy Medical Center, Inc.</t>
  </si>
  <si>
    <t>#0008</t>
  </si>
  <si>
    <t>Justin Deibel</t>
  </si>
  <si>
    <t>410-659-2905</t>
  </si>
  <si>
    <t>jdeibel@mdmercy.com</t>
  </si>
  <si>
    <t>Physician Charity Care</t>
  </si>
  <si>
    <t>Healthcare for the Homeless</t>
  </si>
  <si>
    <t>SAFE Program</t>
  </si>
  <si>
    <t>The Medication Assistance Center</t>
  </si>
  <si>
    <t>Hospital Owned Psychiatric Practice</t>
  </si>
  <si>
    <t>Mt. Washington Pediatric Hospital</t>
  </si>
  <si>
    <t>Melissa Beasley</t>
  </si>
  <si>
    <t>mstokes@mwph.org</t>
  </si>
  <si>
    <t>Weigh Smart Childhood Obesity Program</t>
  </si>
  <si>
    <t>Northwest Hospital</t>
  </si>
  <si>
    <t>Anesthesia</t>
  </si>
  <si>
    <t>ER</t>
  </si>
  <si>
    <t>Hospitalists</t>
  </si>
  <si>
    <t>Physcian Charity Care</t>
  </si>
  <si>
    <t>Rita Mecca</t>
  </si>
  <si>
    <t>rita.mecca@peninsula.org</t>
  </si>
  <si>
    <t>Pediatric Specialties</t>
  </si>
  <si>
    <t>Peninsula Partners</t>
  </si>
  <si>
    <t>Trauma On-Call</t>
  </si>
  <si>
    <t>Physician Subsidies - Hospitalists</t>
  </si>
  <si>
    <t>Physician Subsidies - Recruitment</t>
  </si>
  <si>
    <t>21-0003</t>
  </si>
  <si>
    <t>Intensive Care services to the community</t>
  </si>
  <si>
    <t>Cardiology services to the community</t>
  </si>
  <si>
    <t>mlomax@stagnes.org</t>
  </si>
  <si>
    <t>West Baltimore Care (Health Enterprise Zone)</t>
  </si>
  <si>
    <t>Morrell Park</t>
  </si>
  <si>
    <t>Community Care Center</t>
  </si>
  <si>
    <t>Physician Emergency Department Indigent Care Subsidies</t>
  </si>
  <si>
    <t>Perinatology Practice Subsidy</t>
  </si>
  <si>
    <t>Sheppard Pratt Health System, Inc.</t>
  </si>
  <si>
    <t>Bonnie B. Katz</t>
  </si>
  <si>
    <t>410-938-3154</t>
  </si>
  <si>
    <t>Telepsychiatry</t>
  </si>
  <si>
    <t>Physician Subsidies</t>
  </si>
  <si>
    <t>Therapy Referral Service</t>
  </si>
  <si>
    <t>Crisis Walk In Clinic</t>
  </si>
  <si>
    <t xml:space="preserve">Shore Regional Health Easton </t>
  </si>
  <si>
    <t>Kathleen McGrath / Frank Fields</t>
  </si>
  <si>
    <t xml:space="preserve">410 822 1000 </t>
  </si>
  <si>
    <t>Shore Wellness Partners</t>
  </si>
  <si>
    <t>Antithrombosis Clinic</t>
  </si>
  <si>
    <t xml:space="preserve">MHE Anesthesia Physician Subsidy </t>
  </si>
  <si>
    <t>MHE ER Physician Subsidy</t>
  </si>
  <si>
    <t>Physician Recruitment Professional Services Development</t>
  </si>
  <si>
    <t>SCF: INPATIENT PHYSICIANS MHE CONT: HOSPITALIST</t>
  </si>
  <si>
    <t>RCC: CHEMOTHERAPY CLINIC SUBSIDIES</t>
  </si>
  <si>
    <t>SCF: SHORE SURGICAL PRACTICE SUBSIDIES</t>
  </si>
  <si>
    <t>SCF: SPECIALTY OTHER SUBSIDIES</t>
  </si>
  <si>
    <t>Physician On Call Coverage</t>
  </si>
  <si>
    <t>Outpatient Onclogy Social Service (C30)</t>
  </si>
  <si>
    <t xml:space="preserve">Analysis of CBR </t>
  </si>
  <si>
    <t>LESS:</t>
  </si>
  <si>
    <t>Adjusted TOTAL HOSPITAL COMMUNITY BENEFIT</t>
  </si>
  <si>
    <t>DGH Anesthesia Subsidy</t>
  </si>
  <si>
    <t>DGH Emergency Room Subsidy</t>
  </si>
  <si>
    <t>SCF: INPATIENT PHYSICIANS DGH CONT: HOSPITALIST</t>
  </si>
  <si>
    <t>SCF: INPATIENT PSYCH PHYSICIANS DGH CONT</t>
  </si>
  <si>
    <t>Shore Regional Health Chester River</t>
  </si>
  <si>
    <t>Coumadin Clinic / Transitions in Care</t>
  </si>
  <si>
    <t>Hospitalist Program</t>
  </si>
  <si>
    <t>Emergency Physician Coverage</t>
  </si>
  <si>
    <t>Physician On Call</t>
  </si>
  <si>
    <t>Anesthesiolgy</t>
  </si>
  <si>
    <t>Sinai Hospital</t>
  </si>
  <si>
    <t>Primary Care</t>
  </si>
  <si>
    <t>Radiology</t>
  </si>
  <si>
    <t>NICU Subsidy</t>
  </si>
  <si>
    <t>Hospital OP Services</t>
  </si>
  <si>
    <t>Grant Writing</t>
  </si>
  <si>
    <t>21-0022</t>
  </si>
  <si>
    <t>Monique Sanfuentes</t>
  </si>
  <si>
    <t>301-896-3572</t>
  </si>
  <si>
    <t>Social and Environment Improvement Act</t>
  </si>
  <si>
    <t>Trauma On Call Coverage (ER)</t>
  </si>
  <si>
    <t>Readmissions Prevention Program</t>
  </si>
  <si>
    <t>Heartwell Program</t>
  </si>
  <si>
    <t>ENT On Call (ER)</t>
  </si>
  <si>
    <t>OB/GYN On Call (ER)</t>
  </si>
  <si>
    <t>Behav. Health On Call (ER)</t>
  </si>
  <si>
    <t>Urology On Call (ER)</t>
  </si>
  <si>
    <t>Cardiology On Call (ER)</t>
  </si>
  <si>
    <t>Anesthesiology On Call (ER)</t>
  </si>
  <si>
    <t>Community Health/Health Assets Assessments</t>
  </si>
  <si>
    <t>Other - Community Support</t>
  </si>
  <si>
    <t>University of Maryland Baltimore Washington Medical Center</t>
  </si>
  <si>
    <t>Other resources</t>
  </si>
  <si>
    <t>Physician Subsidy</t>
  </si>
  <si>
    <t>Medical Library</t>
  </si>
  <si>
    <t>0038</t>
  </si>
  <si>
    <t>University of Maryland St. Joseph Medical Center</t>
  </si>
  <si>
    <t>21-0007</t>
  </si>
  <si>
    <t>Other Community Health Services</t>
  </si>
  <si>
    <t>Specialty Care</t>
  </si>
  <si>
    <t>Emergency Dept</t>
  </si>
  <si>
    <t>Mental Health</t>
  </si>
  <si>
    <t>Women's Health Associates</t>
  </si>
  <si>
    <t>OB/GYN</t>
  </si>
  <si>
    <t>Lab</t>
  </si>
  <si>
    <t>Non-Resident House Staff</t>
  </si>
  <si>
    <t>UNIVERSITY OF MARYLAND MEDICAL CENTER</t>
  </si>
  <si>
    <t>0002, 8992, 8994</t>
  </si>
  <si>
    <t>ALICIA CUNNINGHAM</t>
  </si>
  <si>
    <t>410-328-1380</t>
  </si>
  <si>
    <t>ACUNNINGHAM@UMM.EDU</t>
  </si>
  <si>
    <t>UNIVERSITY CARE COMMUNITY CLINICS/UCARE</t>
  </si>
  <si>
    <t>COMMUNITY OUTPATIENT PSYCHIATRIC CLINICS</t>
  </si>
  <si>
    <t>410 448 6447</t>
  </si>
  <si>
    <t>BIAM</t>
  </si>
  <si>
    <t>Wheelchair Basketball Clinic</t>
  </si>
  <si>
    <t>Jean-Marie Donahoo</t>
  </si>
  <si>
    <t>jmdonahoo@uhcc.com</t>
  </si>
  <si>
    <t>Social and Environmental Improvements</t>
  </si>
  <si>
    <t>Palliative Care</t>
  </si>
  <si>
    <t>Scott Lutton</t>
  </si>
  <si>
    <t>240-964-8032</t>
  </si>
  <si>
    <t>slutton@wmhs.com</t>
  </si>
  <si>
    <t>Other Education Support</t>
  </si>
  <si>
    <t>Organizationally Owned Urgent Care Centers Frostburg and Hunt Club</t>
  </si>
  <si>
    <t>Psychiatric Physician Practice</t>
  </si>
  <si>
    <t>Obstetric Physician Practice</t>
  </si>
  <si>
    <t>Primary Care Physician Practices</t>
  </si>
  <si>
    <t>Outpatient Dialysis and Peritoneal Dialysis</t>
  </si>
  <si>
    <t>Center for Clinical Resources</t>
  </si>
  <si>
    <t>Net Community Benefit W/Indirect Cost</t>
  </si>
  <si>
    <t>Net Community Benefit W/O Indirect Cost</t>
  </si>
  <si>
    <t>Direct Cost ($)</t>
  </si>
  <si>
    <t>Indirect Cost ($)</t>
  </si>
  <si>
    <t>B.</t>
  </si>
  <si>
    <t>C.</t>
  </si>
  <si>
    <t>MISSION DRIVEN HEALTH SERVICES</t>
  </si>
  <si>
    <t>D.</t>
  </si>
  <si>
    <t>E.</t>
  </si>
  <si>
    <t>F.</t>
  </si>
  <si>
    <t>Physical Improvements/Housing</t>
  </si>
  <si>
    <t>Support System Enhancements</t>
  </si>
  <si>
    <t>Community Health Improvement Advocacy</t>
  </si>
  <si>
    <t>Workforce Enhancement</t>
  </si>
  <si>
    <t>F11</t>
  </si>
  <si>
    <t>G.</t>
  </si>
  <si>
    <t>Dedicated Staff</t>
  </si>
  <si>
    <t>H.</t>
  </si>
  <si>
    <t>J.</t>
  </si>
  <si>
    <t>K</t>
  </si>
  <si>
    <t>A</t>
  </si>
  <si>
    <t>B</t>
  </si>
  <si>
    <t>C</t>
  </si>
  <si>
    <t>D</t>
  </si>
  <si>
    <t>E</t>
  </si>
  <si>
    <t>F</t>
  </si>
  <si>
    <t>G</t>
  </si>
  <si>
    <t>H</t>
  </si>
  <si>
    <t>J</t>
  </si>
  <si>
    <t>TOTAL OPERATING EXPENSE</t>
  </si>
  <si>
    <t>% OF OPERATING EXPENSES W/IC</t>
  </si>
  <si>
    <t>% OF OPERATING EXPENSES W/O IC</t>
  </si>
  <si>
    <t>J3</t>
  </si>
  <si>
    <t>J4</t>
  </si>
  <si>
    <t>J5</t>
  </si>
  <si>
    <t>Shady Grove</t>
  </si>
  <si>
    <t>UCC PROVIDED IN RATES</t>
  </si>
  <si>
    <t>% CHARITY CARE</t>
  </si>
  <si>
    <t>Amount of Charity Care in Rates</t>
  </si>
  <si>
    <t>UMMC*</t>
  </si>
  <si>
    <t>210002*</t>
  </si>
  <si>
    <t>*Contains both UMMC and Shock Trauma</t>
  </si>
  <si>
    <t>Total Rate Support</t>
  </si>
  <si>
    <t>Total operating Expense</t>
  </si>
  <si>
    <t>* Rate supported expenditures</t>
  </si>
  <si>
    <t>Attachment I - All Hospitals</t>
  </si>
  <si>
    <t>Ft. Washington</t>
  </si>
  <si>
    <t>Net Benefit less rate support</t>
  </si>
  <si>
    <t>Adventist Washington Adventist*</t>
  </si>
  <si>
    <t>Shady Grove*</t>
  </si>
  <si>
    <t>Adventist Rehab of Maryland*</t>
  </si>
  <si>
    <t>Adventist Behavioral Health at Eastern Shore*</t>
  </si>
  <si>
    <t>Adventist Behavioral Health Rockville*</t>
  </si>
  <si>
    <t>Charts based on All Hospitals</t>
  </si>
  <si>
    <t>Hospitalists Subsidy</t>
  </si>
  <si>
    <t xml:space="preserve">On-Call Fees Emergency Specialists </t>
  </si>
  <si>
    <t>Hospice Voluntary Write -offs</t>
  </si>
  <si>
    <t>Level III Trauma</t>
  </si>
  <si>
    <t>Hospital Owned Respiratory Care Outreach</t>
  </si>
  <si>
    <t>Hospital Owned Diabetes Education Center and Endocrinology Practice</t>
  </si>
  <si>
    <t>Community Health Professional Education</t>
  </si>
  <si>
    <t>allen.twigg@meritushealth.com</t>
  </si>
  <si>
    <t>301-790-8263</t>
  </si>
  <si>
    <t>Allen Twigg</t>
  </si>
  <si>
    <t>1984</t>
  </si>
  <si>
    <t>210001</t>
  </si>
  <si>
    <t>FY 2015 Data Collection Sheet</t>
  </si>
  <si>
    <t>Tumor Registry</t>
  </si>
  <si>
    <t>Mid-Level Providers</t>
  </si>
  <si>
    <t>Ebola Emergency Preparedness</t>
  </si>
  <si>
    <t>PaulNicholson@umm.edu</t>
  </si>
  <si>
    <t>410-337-1602</t>
  </si>
  <si>
    <t>Paul Nicholson</t>
  </si>
  <si>
    <t>Red Cross Blood Drive</t>
  </si>
  <si>
    <t>acunningham@umm.edu</t>
  </si>
  <si>
    <t>Alicia Cunningham</t>
  </si>
  <si>
    <t>1480</t>
  </si>
  <si>
    <t>Midtown Campus</t>
  </si>
  <si>
    <t>Laurie Fetterman</t>
  </si>
  <si>
    <t>410-787-4491</t>
  </si>
  <si>
    <t>lfetterman@bwmc.umms.org</t>
  </si>
  <si>
    <t>Subsidized Continuing Care (Hospitalists)</t>
  </si>
  <si>
    <t>Behavioral Health Servcies</t>
  </si>
  <si>
    <t>Other Resources-Mileage</t>
  </si>
  <si>
    <t>University of Maryland - Rehab and Ortho Institute</t>
  </si>
  <si>
    <t>Cynthia A Kelleher</t>
  </si>
  <si>
    <t>ckellher@umm.edu</t>
  </si>
  <si>
    <t>Blood Drives</t>
  </si>
  <si>
    <t>Dental Education</t>
  </si>
  <si>
    <t>Social Work</t>
  </si>
  <si>
    <t>Adaptive Golf Program</t>
  </si>
  <si>
    <t>Adapted Sports festival</t>
  </si>
  <si>
    <t>Athletic Training Services</t>
  </si>
  <si>
    <t>Wheelchiar Rugby</t>
  </si>
  <si>
    <t>Physican Service and Activites</t>
  </si>
  <si>
    <t>Think First, Brain and Supports Injury Prevention Program</t>
  </si>
  <si>
    <t>Dental Education in Schools</t>
  </si>
  <si>
    <t>UNIVERSITY OF MARYLAND HARFORD MEMORIAL HOSPITAL</t>
  </si>
  <si>
    <t>CURT OHLER</t>
  </si>
  <si>
    <t>443 643-3346</t>
  </si>
  <si>
    <t>COHLER@UCHS.ORG</t>
  </si>
  <si>
    <t>Nurse Suppport Program I</t>
  </si>
  <si>
    <t>Nurse Suppport Program II</t>
  </si>
  <si>
    <t>UMD Harford Memorial Hospital  Emergency Department Physician subsidies</t>
  </si>
  <si>
    <t>UMD Harford Memorial Hospital Anesthesiology Physician subsidies</t>
  </si>
  <si>
    <t>UNIVERSITY OF MARYLAND UPPER CHESAPEAKE MEDICAL CENTER</t>
  </si>
  <si>
    <t>Nurse Support Program I</t>
  </si>
  <si>
    <t>Nurse Support Program II</t>
  </si>
  <si>
    <t>UMD Upper Chesapeake Medical Center Emergency Department Physician Subsidies</t>
  </si>
  <si>
    <t>UMD Upper Chesapeake Medical Center Anesthesiology Physician Subsidies</t>
  </si>
  <si>
    <t>410-578-5064</t>
  </si>
  <si>
    <t>Social and Environmental Improvement Activities</t>
  </si>
  <si>
    <t>Pharmacy Programs</t>
  </si>
  <si>
    <t>Mammogram Assistance Program (MAPS/Mobile Med)</t>
  </si>
  <si>
    <t>HCH Foundation</t>
  </si>
  <si>
    <t>FREDERICK MEMORIAL HOSPITAL, INC</t>
  </si>
  <si>
    <t>1740</t>
  </si>
  <si>
    <t>Physician ED/Surgeon Call</t>
  </si>
  <si>
    <t>Physician Intensivist</t>
  </si>
  <si>
    <t>3224</t>
  </si>
  <si>
    <t xml:space="preserve">Charity Presription </t>
  </si>
  <si>
    <t>SBFHC</t>
  </si>
  <si>
    <t>Library/Resources</t>
  </si>
  <si>
    <t>ED Physician</t>
  </si>
  <si>
    <t>PA Support Charity Services</t>
  </si>
  <si>
    <t>OB Coverage/On Call</t>
  </si>
  <si>
    <t>Psych ED Coverage</t>
  </si>
  <si>
    <t>Detox Program</t>
  </si>
  <si>
    <t>Dental Clinic Charity Care</t>
  </si>
  <si>
    <t>FY 2015 COMMUNITY BENEFIT INVENTORY SPREADSHEET</t>
  </si>
  <si>
    <t>Saint Agnes</t>
  </si>
  <si>
    <t>Mitch Lomax</t>
  </si>
  <si>
    <t>667.234.2926</t>
  </si>
  <si>
    <t>Seton Primary Care Clinic in Southwest Baltimore Subsidy</t>
  </si>
  <si>
    <t>Baltimore Medical System OB House Coverage</t>
  </si>
  <si>
    <t>Bon Secours Hospital</t>
  </si>
  <si>
    <t>21-0013</t>
  </si>
  <si>
    <t>Kimberly Thomas</t>
  </si>
  <si>
    <t>MedStar Franklin Square Medical Center</t>
  </si>
  <si>
    <t>Emergency and Trauma</t>
  </si>
  <si>
    <t>Womens's and Children's Services</t>
  </si>
  <si>
    <t>GARRETT REGIONAL MEDICAL CENTER</t>
  </si>
  <si>
    <t>Indegent Drug Program</t>
  </si>
  <si>
    <t xml:space="preserve">MedStar Montgomery Medical Center </t>
  </si>
  <si>
    <t>Peninsula Regional Medical Center</t>
  </si>
  <si>
    <t>410-543-7530 ext 4894</t>
  </si>
  <si>
    <t>Transitions Services</t>
  </si>
  <si>
    <t>Population Health</t>
  </si>
  <si>
    <t xml:space="preserve">Partial Hospitalization Program </t>
  </si>
  <si>
    <t>C93</t>
  </si>
  <si>
    <t>AAMC Subsidized Health Services</t>
  </si>
  <si>
    <t>Assigned Staff (Community Outreach Coordinator &amp; Director of Wellness)</t>
  </si>
  <si>
    <t>Senior Leadership time spent on Community Benefit</t>
  </si>
  <si>
    <t>MedStar Union Memorial Hospital</t>
  </si>
  <si>
    <t>Emergency</t>
  </si>
  <si>
    <t>Women and Children</t>
  </si>
  <si>
    <t>Renal Dialysis</t>
  </si>
  <si>
    <t>Behavioral Health</t>
  </si>
  <si>
    <t>Prescription  Medication</t>
  </si>
  <si>
    <t>ACHI and CBISA</t>
  </si>
  <si>
    <t>MedStar St Mary's Hospital</t>
  </si>
  <si>
    <t>subsidies</t>
  </si>
  <si>
    <t>(443) 674-1290</t>
  </si>
  <si>
    <t xml:space="preserve">Hospital Outpatient Services </t>
  </si>
  <si>
    <t>Carroll Hospital</t>
  </si>
  <si>
    <t>Behavorial Health Services</t>
  </si>
  <si>
    <t>Charles Regional Medical Center</t>
  </si>
  <si>
    <t>Erik Boas</t>
  </si>
  <si>
    <t>301-609-4130</t>
  </si>
  <si>
    <t>eboas@umm.edu</t>
  </si>
  <si>
    <t>410-414-4573</t>
  </si>
  <si>
    <t>Student Job Shadowing</t>
  </si>
  <si>
    <t xml:space="preserve"> Urgent Care Service Centers</t>
  </si>
  <si>
    <t xml:space="preserve"> Health Care Clinic Services</t>
  </si>
  <si>
    <t xml:space="preserve"> Transitional Care Unit (SNF)Services</t>
  </si>
  <si>
    <t xml:space="preserve"> Hospital Emergency &amp; Behavioral Health S</t>
  </si>
  <si>
    <t xml:space="preserve"> Acute Care &amp; Pediatric Hospitalist Progr</t>
  </si>
  <si>
    <t xml:space="preserve"> Intensive Care Unit Call Coverage</t>
  </si>
  <si>
    <t xml:space="preserve"> Physician Subsidies Fulfilling Health Ca</t>
  </si>
  <si>
    <t>ER Call</t>
  </si>
  <si>
    <t>IRC Cardiac Registry</t>
  </si>
  <si>
    <t>Healthy Families Howard County</t>
  </si>
  <si>
    <t>Agewell Grant</t>
  </si>
  <si>
    <t>Pastoral Counseling</t>
  </si>
  <si>
    <t>Mary Dudley</t>
  </si>
  <si>
    <t>Mdudley@dchweb.org</t>
  </si>
  <si>
    <t>MedStar Good Samaritan Hospital</t>
  </si>
  <si>
    <t>Physician/Coverage Subsidy - Hospitalists and Primary care</t>
  </si>
  <si>
    <t>Sunsidized Continuing Care</t>
  </si>
  <si>
    <t>Fort Washington Medical Center, Inc.</t>
  </si>
  <si>
    <t>301-686-9010</t>
  </si>
  <si>
    <t xml:space="preserve">HEALTHY EATING ACTIVE LIVING INITIATIVE </t>
  </si>
  <si>
    <t>PG COUNTY HEALTH DEPT GRANT--DIABETES SELF AWARENESS EDUCATION</t>
  </si>
  <si>
    <t>FORT WASHINGTON MEDICAL CENTER COMMUNITY WALKING &amp; EDUCATION PROGRAM</t>
  </si>
  <si>
    <t>Medical Services for Woodrow Wilson Half Marathon</t>
  </si>
  <si>
    <t>Southern Maryland Regional Coalition for Care Transition (TLC-MD)</t>
  </si>
  <si>
    <t>Diabetes  Awareness and Education (Awarness Day)</t>
  </si>
  <si>
    <t>Successful Regional Planning for Care Transition (Conference Presentation)</t>
  </si>
  <si>
    <t>Diaster Preparedness Planning</t>
  </si>
  <si>
    <t>Integrated Public Health and Medical Preparedness</t>
  </si>
  <si>
    <t>Pallitive Care</t>
  </si>
  <si>
    <t xml:space="preserve">Diabetic Support </t>
  </si>
  <si>
    <t>Recruitment</t>
  </si>
  <si>
    <t>Amortization of Physician Loans</t>
  </si>
  <si>
    <t>Health System Losses</t>
  </si>
  <si>
    <t>MEDSTAR SOUTHERN MARYLAND HOSPITAL CENTER, INC.</t>
  </si>
  <si>
    <t>Free Hospital Transportation/St Charles Mall Walkers/Farmers Market</t>
  </si>
  <si>
    <t>CNA Students/Lab Students/Radiology Students</t>
  </si>
  <si>
    <t>Lab Students</t>
  </si>
  <si>
    <t xml:space="preserve">Subacute </t>
  </si>
  <si>
    <t>Community Benefits Meetings</t>
  </si>
  <si>
    <t>Levindale Hebrew and Geriatric Center and Hospital</t>
  </si>
  <si>
    <t>bkatz@sheppardprtt.org</t>
  </si>
  <si>
    <t>Enrollment for Entitlements</t>
  </si>
  <si>
    <t>Free Transportation for Clinical Services</t>
  </si>
  <si>
    <t>Free Discharge Medications</t>
  </si>
  <si>
    <t>Professional Education</t>
  </si>
  <si>
    <t>Positive Behavioral Interventions and Supports</t>
  </si>
  <si>
    <t>Life Space Crisis Intervention</t>
  </si>
  <si>
    <t>Harford Mobile Crisis Stablization and Disaster Assistance</t>
  </si>
  <si>
    <t>Crisis Referral Outpatient Program</t>
  </si>
  <si>
    <t>Holy Cross Germantown Hospital</t>
  </si>
  <si>
    <t>OB/GYN Clinic</t>
  </si>
  <si>
    <t>kfmcgrath@umm.edu ffields@umm.edu</t>
  </si>
  <si>
    <t>Shore Regional Health Dorchester</t>
  </si>
  <si>
    <t xml:space="preserve">Kathleen McGrath, Frank Fields </t>
  </si>
  <si>
    <t>Safe Nursing</t>
  </si>
  <si>
    <t>Ambulance Grant</t>
  </si>
  <si>
    <t>Prince George's Hospital Center</t>
  </si>
  <si>
    <t>Michael Jacobs</t>
  </si>
  <si>
    <t>Physicians on call</t>
  </si>
  <si>
    <t>Clinics services to the community</t>
  </si>
  <si>
    <t>Trauma services to the community</t>
  </si>
  <si>
    <t>Other services to the community</t>
  </si>
  <si>
    <t>Imaging services to the community</t>
  </si>
  <si>
    <t>Behavioral health services to the community</t>
  </si>
  <si>
    <t>msanfuentes@suburbanhospital.org</t>
  </si>
  <si>
    <t>C82</t>
  </si>
  <si>
    <t>Gastroenterology (ER)</t>
  </si>
  <si>
    <t>Ophthalmology On Call (ER)</t>
  </si>
  <si>
    <t>Stroke On Call (ER)</t>
  </si>
  <si>
    <t>Vascular On Call (ER)</t>
  </si>
  <si>
    <t>C94</t>
  </si>
  <si>
    <t>Emergency Room Coverage (ER)</t>
  </si>
  <si>
    <t>C96</t>
  </si>
  <si>
    <t>Hospital Based Physicians (includes Hospitalist, intensivists, cardiac surgeons)</t>
  </si>
  <si>
    <t>C97</t>
  </si>
  <si>
    <t>General Surgery</t>
  </si>
  <si>
    <t>C98</t>
  </si>
  <si>
    <t>Ortho and Spine Surgey</t>
  </si>
  <si>
    <t>Adventist HealthCare: Shady Grove Medical Center</t>
  </si>
  <si>
    <t>Adventist HealthCare: Behavioral Health and Wellness - Rockville</t>
  </si>
  <si>
    <t>Adventist HealthCare: Behavioral Health and Wellness - Eastern Shore</t>
  </si>
  <si>
    <t>Edward W. McCready Hospital at McCready Health</t>
  </si>
  <si>
    <t>Camesha Giddins</t>
  </si>
  <si>
    <t>410-968-9225</t>
  </si>
  <si>
    <t>cgiddins@mccreadyhealth.org</t>
  </si>
  <si>
    <t>Adolescent Program</t>
  </si>
  <si>
    <t>ER S.A.F.E Program</t>
  </si>
  <si>
    <t>Emergency Specialty Service Subsidies</t>
  </si>
  <si>
    <t>Adventist HealthCare: Physical Health &amp; Rehabilitation</t>
  </si>
  <si>
    <t>Holy Cross Germantown</t>
  </si>
  <si>
    <t>Combined Other (for specifics see Blue Suburban Page in back)</t>
  </si>
  <si>
    <t>Physician Community Services + AAMC Subsidized Health Svcs</t>
  </si>
  <si>
    <t>NSP</t>
  </si>
  <si>
    <t>*Data:2013 Financial Disclosure Report</t>
  </si>
  <si>
    <t>Patient Revenue*</t>
  </si>
  <si>
    <t>0.1% of Patient Rev</t>
  </si>
  <si>
    <t xml:space="preserve">UM Shore Medical Center at Dorchester        </t>
  </si>
  <si>
    <t xml:space="preserve">MedStar Franklin Square Hospital             </t>
  </si>
  <si>
    <t xml:space="preserve">UM Shore Medical Center at Chestertown              </t>
  </si>
  <si>
    <t xml:space="preserve">UMM Midtown Campus             </t>
  </si>
  <si>
    <t xml:space="preserve">MedStar Southern Maryland Hospital Center             </t>
  </si>
  <si>
    <t xml:space="preserve">UM Rehab &amp; Ortho Institute                       </t>
  </si>
  <si>
    <t>Adventist Rehab Hosp of MD</t>
  </si>
  <si>
    <t xml:space="preserve">Shady Grove                  </t>
  </si>
  <si>
    <t>Uncompensated Care Amounts In Rates For Maryland Hospitals In FY 2015</t>
  </si>
  <si>
    <t>HOSPNUMB</t>
  </si>
  <si>
    <t>HOSPNAME</t>
  </si>
  <si>
    <t>Prince George Hospital</t>
  </si>
  <si>
    <t>Holy Cross</t>
  </si>
  <si>
    <t>Frederick</t>
  </si>
  <si>
    <t>UM-Harford Memorial</t>
  </si>
  <si>
    <t>Mercy Med. Cntr</t>
  </si>
  <si>
    <t>Johns Hopkins</t>
  </si>
  <si>
    <t>UM Dorchester</t>
  </si>
  <si>
    <t>St Agnes</t>
  </si>
  <si>
    <t>Sinai</t>
  </si>
  <si>
    <t>Medstar Franklin Sq</t>
  </si>
  <si>
    <t>Washington Adventist</t>
  </si>
  <si>
    <t>Garrett County</t>
  </si>
  <si>
    <t>Medstar Montgomery General</t>
  </si>
  <si>
    <t>Peninsula General</t>
  </si>
  <si>
    <t>Suburban</t>
  </si>
  <si>
    <t>Anne Arundel</t>
  </si>
  <si>
    <t>Medstar Union Memorial</t>
  </si>
  <si>
    <t>Western Maryland</t>
  </si>
  <si>
    <t>Medstar St Marys</t>
  </si>
  <si>
    <t>JH Bayview</t>
  </si>
  <si>
    <t>UM Chestertown</t>
  </si>
  <si>
    <t>Union Hospital of Cecil Co</t>
  </si>
  <si>
    <t>Medstar Harbor</t>
  </si>
  <si>
    <t>UM Charles Regional</t>
  </si>
  <si>
    <t>UM Easton</t>
  </si>
  <si>
    <t>UMMC Midtown</t>
  </si>
  <si>
    <t>Calvert</t>
  </si>
  <si>
    <t>LifeBridge Northwest</t>
  </si>
  <si>
    <t>UM Baltimore Washington Med Ctr</t>
  </si>
  <si>
    <t>JH Howard County</t>
  </si>
  <si>
    <t>UCH-Upper Chesapeake</t>
  </si>
  <si>
    <t>Laurel Regional</t>
  </si>
  <si>
    <t>FT. Washignton</t>
  </si>
  <si>
    <t>Medstar Southern MD</t>
  </si>
  <si>
    <t>UM Rehab &amp; Ortho Inst</t>
  </si>
  <si>
    <t>UM MEIMS</t>
  </si>
  <si>
    <t>Total Revenues</t>
  </si>
  <si>
    <t>FY 2015</t>
  </si>
  <si>
    <t>Community Benefit Report FY2015</t>
  </si>
  <si>
    <t>NSP I</t>
  </si>
  <si>
    <t>Gross FY13
Patient Revenue*</t>
  </si>
  <si>
    <t>NSPI FY15 Maximum Allowance 
(0.1% of Patient Rev)</t>
  </si>
  <si>
    <t>FY2008 - FY2015 - Rate Support - for all hospitals</t>
  </si>
  <si>
    <t>FY2008-FY2015 - Net expense with &amp; without rate support</t>
  </si>
  <si>
    <t>FY 2015 Amount in Rates for Charity Care, DME, and NSPI*</t>
  </si>
  <si>
    <t>Attachment III - Aggregated Hospital CBR Data FY2015 - Including Specialty Hospitals</t>
  </si>
  <si>
    <t>Table I FY2015 All Hospitals Community Benefit Expenditures</t>
  </si>
  <si>
    <t>University and Shock Trauma together</t>
  </si>
  <si>
    <t>21-0063</t>
  </si>
  <si>
    <t xml:space="preserve">FY 2015 Analysis </t>
  </si>
  <si>
    <t>Total Net CB minus Charity Care, DME, NSPI in Rates + ACA Expansion Expense</t>
  </si>
  <si>
    <t>FY 2015 Hospital Expense for Expanded Medicaid coverage due to ACA</t>
  </si>
  <si>
    <t>University - Shock Trauma</t>
  </si>
  <si>
    <t>Shady Grove Adventist</t>
  </si>
  <si>
    <t>Medstar Good Samaritan</t>
  </si>
  <si>
    <t>University - Rehab &amp; Ortho</t>
  </si>
  <si>
    <t>Bowie</t>
  </si>
  <si>
    <t>University - Queen Anne's</t>
  </si>
  <si>
    <t>Germantown Emergency</t>
  </si>
  <si>
    <t>University St. Joe's</t>
  </si>
  <si>
    <t>Atlantic</t>
  </si>
  <si>
    <t xml:space="preserve">Ft. Washington </t>
  </si>
  <si>
    <t>Greater Laurel</t>
  </si>
  <si>
    <t>Doctor's</t>
  </si>
  <si>
    <t>Upper Cheasapeake</t>
  </si>
  <si>
    <t>Howard</t>
  </si>
  <si>
    <t>University Balt - Wash</t>
  </si>
  <si>
    <t>Northwest</t>
  </si>
  <si>
    <t>University Midtown</t>
  </si>
  <si>
    <t>University - Easton</t>
  </si>
  <si>
    <t>University - Charles</t>
  </si>
  <si>
    <t xml:space="preserve">Medstar Harbor </t>
  </si>
  <si>
    <t>Carroll</t>
  </si>
  <si>
    <t>Union of Cecil</t>
  </si>
  <si>
    <t>University - Chestertown</t>
  </si>
  <si>
    <t>Bayview</t>
  </si>
  <si>
    <t>Medstar St. Mary's</t>
  </si>
  <si>
    <t xml:space="preserve">Western Maryland </t>
  </si>
  <si>
    <t>AAMC</t>
  </si>
  <si>
    <t>Peninsula</t>
  </si>
  <si>
    <t>Medstar Montgomery</t>
  </si>
  <si>
    <t>Medstar Franklin Square</t>
  </si>
  <si>
    <t>University - Dorchester</t>
  </si>
  <si>
    <t>Mercy</t>
  </si>
  <si>
    <t>Harford Memorial</t>
  </si>
  <si>
    <t xml:space="preserve">Prince George's </t>
  </si>
  <si>
    <t>University</t>
  </si>
  <si>
    <t>Hospital Expense for FY 2015</t>
  </si>
  <si>
    <t>% chg</t>
  </si>
  <si>
    <t>Change</t>
  </si>
  <si>
    <t>of Acute hospitals</t>
  </si>
  <si>
    <t>Medicaid Expansion Analysis</t>
  </si>
  <si>
    <r>
      <rPr>
        <sz val="11"/>
        <color theme="1"/>
        <rFont val="Calibri"/>
        <family val="2"/>
      </rPr>
      <t>*</t>
    </r>
    <r>
      <rPr>
        <sz val="11"/>
        <color theme="1"/>
        <rFont val="Calibri"/>
        <family val="2"/>
        <scheme val="minor"/>
      </rPr>
      <t>87</t>
    </r>
  </si>
  <si>
    <t>*88</t>
  </si>
  <si>
    <t>*333</t>
  </si>
  <si>
    <t>*Freestanding Emergency Centers not included in the Community Benefit Reports</t>
  </si>
  <si>
    <t>Total Community Benefit W/Medicaid Expansion Expense</t>
  </si>
  <si>
    <t>Net Community Benefit with ACA Medicaid Expansion Expense</t>
  </si>
  <si>
    <t>ACA Medicaid Expansion + Charity Care*</t>
  </si>
  <si>
    <t>Charity Care*</t>
  </si>
  <si>
    <t>ACA Medicaid Expansion Expense</t>
  </si>
  <si>
    <t>ACA Expansion Expense + Charity Care *</t>
  </si>
  <si>
    <t xml:space="preserve"> * The Adventist Hospital System has requested and received permission to report their Community Benefit activities on a CY Basis.  This allows them to more acurately reflect their true activities during the Community Benefit Cycle.  The numbers listed in the 'FY 2015 Amount in Rates for Charity Care, DME, and NSPI' Column as well as the Medicaid Deficit Assessments  rom the Inventory spreadsheets reflect the Commission's activities for FY15 and therefore will be different from the numbers reported by the Adventist Hospitals.</t>
  </si>
  <si>
    <t>All Hospitals</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</si>
</sst>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5" formatCode="&quot;$&quot;#,##0_);\(&quot;$&quot;#,##0\)"/>
    <numFmt numFmtId="6" formatCode="&quot;$&quot;#,##0_);[Red]\(&quot;$&quot;#,##0\)"/>
    <numFmt numFmtId="7" formatCode="&quot;$&quot;#,##0.00_);\(&quot;$&quot;#,##0.00\)"/>
    <numFmt numFmtId="8" formatCode="&quot;$&quot;#,##0.00_);[Red]\(&quot;$&quot;#,##0.00\)"/>
    <numFmt numFmtId="41" formatCode="_(* #,##0_);_(* \(#,##0\);_(* &quot;-&quot;_);_(@_)"/>
    <numFmt numFmtId="44" formatCode="_(&quot;$&quot;* #,##0.00_);_(&quot;$&quot;* \(#,##0.00\);_(&quot;$&quot;* &quot;-&quot;??_);_(@_)"/>
    <numFmt numFmtId="43" formatCode="_(* #,##0.00_);_(* \(#,##0.00\);_(* &quot;-&quot;??_);_(@_)"/>
    <numFmt numFmtId="164" formatCode="&quot;$&quot;#,##0.00"/>
    <numFmt numFmtId="165" formatCode="[&lt;=9999999]###\-####;\(###\)\ ###\-####"/>
    <numFmt numFmtId="166" formatCode="_(* #,##0_);_(* \(#,##0\);_(* &quot;-&quot;??_);_(@_)"/>
    <numFmt numFmtId="167" formatCode="&quot;$&quot;#,##0"/>
    <numFmt numFmtId="168" formatCode="_(&quot;$&quot;* #,##0_);_(&quot;$&quot;* \(#,##0\);_(&quot;$&quot;* &quot;-&quot;??_);_(@_)"/>
    <numFmt numFmtId="169" formatCode="0.0%"/>
    <numFmt numFmtId="170" formatCode="0.0"/>
    <numFmt numFmtId="171" formatCode="#,##0.0"/>
    <numFmt numFmtId="172" formatCode="_(* #,##0.0_);_(* \(#,##0.0\);_(* &quot;-&quot;??_);_(@_)"/>
    <numFmt numFmtId="173" formatCode="_(&quot;$&quot;* #,##0.0_);_(&quot;$&quot;* \(#,##0.0\);_(&quot;$&quot;* &quot;-&quot;?_);_(@_)"/>
  </numFmts>
  <fonts count="8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i/>
      <sz val="10"/>
      <name val="Arial"/>
      <family val="2"/>
    </font>
    <font>
      <sz val="8"/>
      <name val="Arial"/>
      <family val="2"/>
    </font>
    <font>
      <b/>
      <sz val="12"/>
      <name val="Arial"/>
      <family val="2"/>
    </font>
    <font>
      <b/>
      <i/>
      <sz val="9"/>
      <name val="Arial"/>
      <family val="2"/>
    </font>
    <font>
      <sz val="9"/>
      <name val="Arial"/>
      <family val="2"/>
    </font>
    <font>
      <b/>
      <sz val="11"/>
      <color theme="1"/>
      <name val="Calibri"/>
      <family val="2"/>
      <scheme val="minor"/>
    </font>
    <font>
      <sz val="24"/>
      <name val="Times New Roman"/>
      <family val="1"/>
    </font>
    <font>
      <sz val="12"/>
      <name val="Arial"/>
      <family val="2"/>
    </font>
    <font>
      <sz val="12"/>
      <name val="Times New Roman"/>
      <family val="1"/>
    </font>
    <font>
      <sz val="12"/>
      <color indexed="8"/>
      <name val="Times New Roman"/>
      <family val="1"/>
    </font>
    <font>
      <sz val="11"/>
      <color theme="1"/>
      <name val="Calibri"/>
      <family val="2"/>
    </font>
    <font>
      <sz val="11"/>
      <name val="Calibri"/>
      <family val="2"/>
    </font>
    <font>
      <b/>
      <sz val="11"/>
      <color rgb="FF000000"/>
      <name val="Calibri"/>
      <family val="2"/>
    </font>
    <font>
      <u/>
      <sz val="11"/>
      <color rgb="FF000000"/>
      <name val="Calibri"/>
      <family val="2"/>
    </font>
    <font>
      <b/>
      <u/>
      <sz val="11"/>
      <color rgb="FF000000"/>
      <name val="Calibri"/>
      <family val="2"/>
    </font>
    <font>
      <sz val="10"/>
      <name val="System"/>
      <family val="2"/>
    </font>
    <font>
      <b/>
      <sz val="18"/>
      <color theme="1"/>
      <name val="Calibri"/>
      <family val="2"/>
      <scheme val="minor"/>
    </font>
    <font>
      <b/>
      <sz val="12"/>
      <color theme="1"/>
      <name val="Calibri"/>
      <family val="2"/>
      <scheme val="minor"/>
    </font>
    <font>
      <b/>
      <sz val="14"/>
      <color theme="1"/>
      <name val="Calibri"/>
      <family val="2"/>
      <scheme val="minor"/>
    </font>
    <font>
      <u/>
      <sz val="11"/>
      <color theme="1"/>
      <name val="Calibri"/>
      <family val="2"/>
      <scheme val="minor"/>
    </font>
    <font>
      <b/>
      <sz val="10"/>
      <color theme="1"/>
      <name val="Calibri"/>
      <family val="2"/>
      <scheme val="minor"/>
    </font>
    <font>
      <sz val="10"/>
      <color theme="1"/>
      <name val="Calibri"/>
      <family val="2"/>
      <scheme val="minor"/>
    </font>
    <font>
      <b/>
      <i/>
      <u val="double"/>
      <sz val="14"/>
      <color theme="1"/>
      <name val="Calibri"/>
      <family val="2"/>
      <scheme val="minor"/>
    </font>
    <font>
      <b/>
      <i/>
      <sz val="14"/>
      <color theme="1"/>
      <name val="Calibri"/>
      <family val="2"/>
      <scheme val="minor"/>
    </font>
    <font>
      <b/>
      <i/>
      <u val="singleAccounting"/>
      <sz val="11"/>
      <color theme="1"/>
      <name val="Calibri"/>
      <family val="2"/>
      <scheme val="minor"/>
    </font>
    <font>
      <u val="singleAccounting"/>
      <sz val="11"/>
      <color theme="1"/>
      <name val="Calibri"/>
      <family val="2"/>
      <scheme val="minor"/>
    </font>
    <font>
      <b/>
      <i/>
      <u val="doubleAccounting"/>
      <sz val="11"/>
      <color theme="1"/>
      <name val="Calibri"/>
      <family val="2"/>
      <scheme val="minor"/>
    </font>
    <font>
      <b/>
      <i/>
      <sz val="11"/>
      <color theme="1"/>
      <name val="Calibri"/>
      <family val="2"/>
      <scheme val="minor"/>
    </font>
    <font>
      <i/>
      <sz val="11"/>
      <color theme="1"/>
      <name val="Calibri"/>
      <family val="2"/>
      <scheme val="minor"/>
    </font>
    <font>
      <b/>
      <u/>
      <sz val="14"/>
      <color theme="1"/>
      <name val="Calibri"/>
      <family val="2"/>
      <scheme val="minor"/>
    </font>
    <font>
      <u/>
      <sz val="10"/>
      <color theme="10"/>
      <name val="Arial"/>
      <family val="2"/>
    </font>
    <font>
      <b/>
      <i/>
      <sz val="12"/>
      <name val="Arial"/>
      <family val="2"/>
    </font>
    <font>
      <u/>
      <sz val="12"/>
      <color theme="10"/>
      <name val="Arial"/>
      <family val="2"/>
    </font>
    <font>
      <sz val="10"/>
      <name val="Arial"/>
      <family val="2"/>
    </font>
    <font>
      <sz val="12"/>
      <name val="Times New Roman"/>
      <family val="1"/>
    </font>
    <font>
      <u/>
      <sz val="11"/>
      <color theme="10"/>
      <name val="Calibri"/>
      <family val="2"/>
      <scheme val="minor"/>
    </font>
    <font>
      <sz val="11"/>
      <color theme="1"/>
      <name val="Cambria"/>
      <family val="1"/>
      <scheme val="major"/>
    </font>
    <font>
      <sz val="10"/>
      <color rgb="FFFFFF00"/>
      <name val="Arial"/>
      <family val="2"/>
    </font>
    <font>
      <b/>
      <u/>
      <sz val="10"/>
      <name val="Arial"/>
      <family val="2"/>
    </font>
    <font>
      <sz val="10"/>
      <color indexed="12"/>
      <name val="Arial"/>
      <family val="2"/>
    </font>
    <font>
      <b/>
      <sz val="10"/>
      <color indexed="12"/>
      <name val="Arial"/>
      <family val="2"/>
    </font>
    <font>
      <u/>
      <sz val="10"/>
      <color theme="10"/>
      <name val="Arial"/>
      <family val="2"/>
    </font>
    <font>
      <b/>
      <sz val="16"/>
      <name val="Arial"/>
      <family val="2"/>
    </font>
    <font>
      <b/>
      <sz val="8"/>
      <name val="Arial"/>
      <family val="2"/>
    </font>
    <font>
      <sz val="12"/>
      <color indexed="8"/>
      <name val="SWISS"/>
    </font>
    <font>
      <sz val="9"/>
      <color theme="1"/>
      <name val="Calibri"/>
      <family val="2"/>
      <scheme val="minor"/>
    </font>
    <font>
      <b/>
      <sz val="9"/>
      <color theme="1"/>
      <name val="Calibri"/>
      <family val="2"/>
      <scheme val="minor"/>
    </font>
    <font>
      <b/>
      <i/>
      <sz val="11"/>
      <color rgb="FFFF0000"/>
      <name val="Calibri"/>
      <family val="2"/>
      <scheme val="minor"/>
    </font>
    <font>
      <sz val="11"/>
      <name val="Calibri"/>
      <family val="2"/>
      <scheme val="minor"/>
    </font>
    <font>
      <u/>
      <sz val="11"/>
      <color theme="10"/>
      <name val="Calibri"/>
      <family val="2"/>
    </font>
    <font>
      <sz val="10"/>
      <color rgb="FF000000"/>
      <name val="Arial"/>
      <family val="2"/>
    </font>
    <font>
      <sz val="8"/>
      <color indexed="8"/>
      <name val="Arial"/>
      <family val="2"/>
    </font>
    <font>
      <sz val="10"/>
      <name val="Arial"/>
      <family val="2"/>
    </font>
    <font>
      <sz val="10"/>
      <color theme="1"/>
      <name val="Arial"/>
      <family val="2"/>
    </font>
    <font>
      <b/>
      <sz val="10"/>
      <color rgb="FFFF0000"/>
      <name val="Arial"/>
      <family val="2"/>
    </font>
    <font>
      <b/>
      <sz val="9"/>
      <color indexed="81"/>
      <name val="Tahoma"/>
      <family val="2"/>
    </font>
    <font>
      <sz val="9"/>
      <color indexed="81"/>
      <name val="Tahoma"/>
      <family val="2"/>
    </font>
    <font>
      <sz val="11"/>
      <color indexed="8"/>
      <name val="Calibri"/>
      <family val="2"/>
      <scheme val="minor"/>
    </font>
    <font>
      <sz val="12"/>
      <color indexed="8"/>
      <name val="Arial"/>
      <family val="2"/>
    </font>
    <font>
      <sz val="10"/>
      <color rgb="FFFF0000"/>
      <name val="Arial"/>
      <family val="2"/>
    </font>
    <font>
      <sz val="12"/>
      <color rgb="FFFF0000"/>
      <name val="Times New Roman"/>
      <family val="1"/>
    </font>
  </fonts>
  <fills count="15">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51"/>
        <bgColor indexed="64"/>
      </patternFill>
    </fill>
    <fill>
      <patternFill patternType="solid">
        <fgColor rgb="FFFFFF00"/>
        <bgColor indexed="64"/>
      </patternFill>
    </fill>
    <fill>
      <patternFill patternType="solid">
        <fgColor rgb="FFFFCC00"/>
        <bgColor indexed="64"/>
      </patternFill>
    </fill>
    <fill>
      <patternFill patternType="solid">
        <fgColor rgb="FFFFFF00"/>
        <bgColor rgb="FF000000"/>
      </patternFill>
    </fill>
    <fill>
      <patternFill patternType="solid">
        <fgColor rgb="FFFFFFFF"/>
        <bgColor rgb="FF000000"/>
      </patternFill>
    </fill>
    <fill>
      <patternFill patternType="solid">
        <fgColor indexed="65"/>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C000"/>
        <bgColor indexed="64"/>
      </patternFill>
    </fill>
    <fill>
      <patternFill patternType="solid">
        <fgColor theme="4" tint="0.79998168889431442"/>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s>
  <cellStyleXfs count="51">
    <xf numFmtId="0" fontId="0" fillId="0" borderId="0"/>
    <xf numFmtId="9" fontId="19" fillId="0" borderId="0" applyFont="0" applyFill="0" applyBorder="0" applyAlignment="0" applyProtection="0"/>
    <xf numFmtId="0" fontId="19" fillId="0" borderId="0"/>
    <xf numFmtId="0" fontId="18" fillId="0" borderId="0"/>
    <xf numFmtId="0" fontId="28" fillId="0" borderId="0"/>
    <xf numFmtId="43" fontId="18" fillId="0" borderId="0" applyFont="0" applyFill="0" applyBorder="0" applyAlignment="0" applyProtection="0"/>
    <xf numFmtId="9" fontId="18" fillId="0" borderId="0" applyFont="0" applyFill="0" applyBorder="0" applyAlignment="0" applyProtection="0"/>
    <xf numFmtId="0" fontId="36" fillId="0" borderId="0"/>
    <xf numFmtId="44" fontId="18" fillId="0" borderId="0" applyFont="0" applyFill="0" applyBorder="0" applyAlignment="0" applyProtection="0"/>
    <xf numFmtId="0" fontId="17" fillId="0" borderId="0"/>
    <xf numFmtId="0" fontId="17" fillId="0" borderId="0"/>
    <xf numFmtId="0" fontId="51" fillId="0" borderId="0" applyNumberFormat="0" applyFill="0" applyBorder="0" applyAlignment="0" applyProtection="0"/>
    <xf numFmtId="9" fontId="54" fillId="0" borderId="0" applyFont="0" applyFill="0" applyBorder="0" applyAlignment="0" applyProtection="0"/>
    <xf numFmtId="0" fontId="16" fillId="0" borderId="0"/>
    <xf numFmtId="0" fontId="55" fillId="0" borderId="0"/>
    <xf numFmtId="43" fontId="29" fillId="0" borderId="0" applyFont="0" applyFill="0" applyBorder="0" applyAlignment="0" applyProtection="0"/>
    <xf numFmtId="9" fontId="19" fillId="0" borderId="0" applyFont="0" applyFill="0" applyBorder="0" applyAlignment="0" applyProtection="0"/>
    <xf numFmtId="0" fontId="56" fillId="0" borderId="0" applyNumberFormat="0" applyFill="0" applyBorder="0" applyAlignment="0" applyProtection="0"/>
    <xf numFmtId="0" fontId="15" fillId="0" borderId="0"/>
    <xf numFmtId="43" fontId="54" fillId="0" borderId="0" applyFont="0" applyFill="0" applyBorder="0" applyAlignment="0" applyProtection="0"/>
    <xf numFmtId="44" fontId="54" fillId="0" borderId="0" applyFont="0" applyFill="0" applyBorder="0" applyAlignment="0" applyProtection="0"/>
    <xf numFmtId="0" fontId="14" fillId="0" borderId="0"/>
    <xf numFmtId="0" fontId="62" fillId="0" borderId="0" applyNumberFormat="0" applyFill="0" applyBorder="0" applyAlignment="0" applyProtection="0"/>
    <xf numFmtId="0" fontId="19" fillId="0" borderId="0"/>
    <xf numFmtId="44" fontId="14" fillId="0" borderId="0" applyFont="0" applyFill="0" applyBorder="0" applyAlignment="0" applyProtection="0"/>
    <xf numFmtId="9" fontId="19"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0" fontId="13" fillId="0" borderId="0"/>
    <xf numFmtId="44" fontId="13" fillId="0" borderId="0" applyFont="0" applyFill="0" applyBorder="0" applyAlignment="0" applyProtection="0"/>
    <xf numFmtId="0" fontId="28" fillId="0" borderId="0"/>
    <xf numFmtId="0" fontId="8" fillId="0" borderId="0"/>
    <xf numFmtId="9" fontId="8" fillId="0" borderId="0" applyFont="0" applyFill="0" applyBorder="0" applyAlignment="0" applyProtection="0"/>
    <xf numFmtId="44" fontId="8" fillId="0" borderId="0" applyFont="0" applyFill="0" applyBorder="0" applyAlignment="0" applyProtection="0"/>
    <xf numFmtId="44" fontId="19" fillId="0" borderId="0" applyFont="0" applyFill="0" applyBorder="0" applyAlignment="0" applyProtection="0"/>
    <xf numFmtId="0" fontId="70" fillId="0" borderId="0" applyNumberFormat="0" applyFill="0" applyBorder="0" applyAlignment="0" applyProtection="0">
      <alignment vertical="top"/>
      <protection locked="0"/>
    </xf>
    <xf numFmtId="43" fontId="8" fillId="0" borderId="0" applyFont="0" applyFill="0" applyBorder="0" applyAlignment="0" applyProtection="0"/>
    <xf numFmtId="0" fontId="71" fillId="0" borderId="0"/>
    <xf numFmtId="43" fontId="71" fillId="0" borderId="0" applyFont="0" applyFill="0" applyBorder="0" applyAlignment="0" applyProtection="0"/>
    <xf numFmtId="43" fontId="19" fillId="0" borderId="0" applyFont="0" applyFill="0" applyBorder="0" applyAlignment="0" applyProtection="0"/>
    <xf numFmtId="44" fontId="73" fillId="0" borderId="0" applyFont="0" applyFill="0" applyBorder="0" applyAlignment="0" applyProtection="0"/>
    <xf numFmtId="9" fontId="73" fillId="0" borderId="0" applyFont="0" applyFill="0" applyBorder="0" applyAlignment="0" applyProtection="0"/>
    <xf numFmtId="43" fontId="73" fillId="0" borderId="0" applyFont="0" applyFill="0" applyBorder="0" applyAlignment="0" applyProtection="0"/>
    <xf numFmtId="0" fontId="7" fillId="0" borderId="0"/>
    <xf numFmtId="9"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0" fontId="6" fillId="0" borderId="0"/>
    <xf numFmtId="9" fontId="6" fillId="0" borderId="0" applyFont="0" applyFill="0" applyBorder="0" applyAlignment="0" applyProtection="0"/>
    <xf numFmtId="0" fontId="3" fillId="0" borderId="0"/>
    <xf numFmtId="44" fontId="3" fillId="0" borderId="0" applyFont="0" applyFill="0" applyBorder="0" applyAlignment="0" applyProtection="0"/>
  </cellStyleXfs>
  <cellXfs count="1130">
    <xf numFmtId="0" fontId="0" fillId="0" borderId="0" xfId="0"/>
    <xf numFmtId="0" fontId="20" fillId="0" borderId="0" xfId="0" applyFont="1"/>
    <xf numFmtId="0" fontId="20" fillId="0" borderId="0" xfId="0" applyFont="1" applyAlignment="1">
      <alignment horizontal="centerContinuous"/>
    </xf>
    <xf numFmtId="0" fontId="0" fillId="0" borderId="0" xfId="0" applyAlignment="1">
      <alignment horizontal="centerContinuous"/>
    </xf>
    <xf numFmtId="0" fontId="20" fillId="0" borderId="0" xfId="0" applyFont="1" applyAlignment="1">
      <alignment horizontal="right"/>
    </xf>
    <xf numFmtId="0" fontId="20" fillId="0" borderId="0" xfId="0" applyFont="1" applyAlignment="1">
      <alignment horizontal="left"/>
    </xf>
    <xf numFmtId="0" fontId="21" fillId="0" borderId="0" xfId="0" applyFont="1" applyFill="1" applyBorder="1" applyAlignment="1">
      <alignment horizontal="left"/>
    </xf>
    <xf numFmtId="0" fontId="0" fillId="0" borderId="0" xfId="0" applyAlignment="1">
      <alignment horizontal="left"/>
    </xf>
    <xf numFmtId="0" fontId="20" fillId="0" borderId="0" xfId="0" applyFont="1" applyAlignment="1">
      <alignment horizontal="center" wrapText="1"/>
    </xf>
    <xf numFmtId="0" fontId="0" fillId="0" borderId="0" xfId="0" applyBorder="1"/>
    <xf numFmtId="0" fontId="0" fillId="0" borderId="1" xfId="0" applyBorder="1" applyAlignment="1">
      <alignment horizontal="left"/>
    </xf>
    <xf numFmtId="0" fontId="20" fillId="0" borderId="1" xfId="0" applyFont="1" applyBorder="1"/>
    <xf numFmtId="0" fontId="0" fillId="0" borderId="1" xfId="0" applyBorder="1"/>
    <xf numFmtId="3" fontId="0" fillId="2" borderId="2" xfId="0" applyNumberFormat="1" applyFill="1" applyBorder="1" applyProtection="1">
      <protection locked="0"/>
    </xf>
    <xf numFmtId="164" fontId="0" fillId="2" borderId="2" xfId="0" applyNumberFormat="1" applyFill="1" applyBorder="1" applyProtection="1">
      <protection locked="0"/>
    </xf>
    <xf numFmtId="164" fontId="0" fillId="2" borderId="2" xfId="0" applyNumberFormat="1" applyFill="1" applyBorder="1"/>
    <xf numFmtId="164" fontId="0" fillId="2" borderId="2" xfId="0" applyNumberFormat="1" applyFill="1" applyBorder="1" applyProtection="1"/>
    <xf numFmtId="3" fontId="0" fillId="2" borderId="2" xfId="0" applyNumberFormat="1" applyFill="1" applyBorder="1"/>
    <xf numFmtId="3" fontId="0" fillId="0" borderId="3" xfId="0" applyNumberFormat="1" applyFill="1" applyBorder="1"/>
    <xf numFmtId="164" fontId="0" fillId="0" borderId="3" xfId="0" applyNumberFormat="1" applyFill="1" applyBorder="1"/>
    <xf numFmtId="0" fontId="0" fillId="2" borderId="2" xfId="0" applyFill="1" applyBorder="1" applyProtection="1"/>
    <xf numFmtId="0" fontId="0" fillId="0" borderId="0" xfId="0" applyFill="1" applyBorder="1"/>
    <xf numFmtId="1" fontId="0" fillId="2" borderId="2" xfId="0" applyNumberFormat="1" applyFill="1" applyBorder="1"/>
    <xf numFmtId="0" fontId="0" fillId="0" borderId="3" xfId="0" applyBorder="1"/>
    <xf numFmtId="10" fontId="0" fillId="2" borderId="2" xfId="0" applyNumberFormat="1" applyFill="1" applyBorder="1" applyProtection="1">
      <protection locked="0"/>
    </xf>
    <xf numFmtId="49" fontId="0" fillId="2" borderId="8" xfId="0" applyNumberFormat="1" applyFill="1" applyBorder="1" applyAlignment="1" applyProtection="1">
      <protection locked="0"/>
    </xf>
    <xf numFmtId="3" fontId="0" fillId="2" borderId="9" xfId="0" applyNumberFormat="1" applyFill="1" applyBorder="1" applyProtection="1">
      <protection locked="0"/>
    </xf>
    <xf numFmtId="164" fontId="0" fillId="2" borderId="9" xfId="0" applyNumberFormat="1" applyFill="1" applyBorder="1" applyProtection="1">
      <protection locked="0"/>
    </xf>
    <xf numFmtId="164" fontId="0" fillId="2" borderId="9" xfId="0" applyNumberFormat="1" applyFill="1" applyBorder="1"/>
    <xf numFmtId="3" fontId="0" fillId="2" borderId="10" xfId="0" applyNumberFormat="1" applyFill="1" applyBorder="1" applyProtection="1">
      <protection locked="0"/>
    </xf>
    <xf numFmtId="164" fontId="0" fillId="2" borderId="10" xfId="0" applyNumberFormat="1" applyFill="1" applyBorder="1" applyProtection="1">
      <protection locked="0"/>
    </xf>
    <xf numFmtId="164" fontId="0" fillId="3" borderId="2" xfId="0" applyNumberFormat="1" applyFill="1" applyBorder="1"/>
    <xf numFmtId="3" fontId="0" fillId="2" borderId="9" xfId="0" applyNumberFormat="1" applyFill="1" applyBorder="1"/>
    <xf numFmtId="3" fontId="0" fillId="3" borderId="9" xfId="0" applyNumberFormat="1" applyFill="1" applyBorder="1"/>
    <xf numFmtId="164" fontId="0" fillId="3" borderId="9" xfId="0" applyNumberFormat="1" applyFill="1" applyBorder="1"/>
    <xf numFmtId="164" fontId="0" fillId="0" borderId="2" xfId="0" applyNumberFormat="1" applyFill="1" applyBorder="1"/>
    <xf numFmtId="164" fontId="0" fillId="3" borderId="11" xfId="0" applyNumberFormat="1" applyFill="1" applyBorder="1"/>
    <xf numFmtId="164" fontId="0" fillId="3" borderId="4" xfId="0" applyNumberFormat="1" applyFill="1" applyBorder="1" applyProtection="1"/>
    <xf numFmtId="0" fontId="0" fillId="0" borderId="12" xfId="0" applyBorder="1"/>
    <xf numFmtId="3" fontId="0" fillId="2" borderId="13" xfId="0" applyNumberFormat="1" applyFill="1" applyBorder="1"/>
    <xf numFmtId="164" fontId="0" fillId="2" borderId="4" xfId="0" applyNumberFormat="1" applyFill="1" applyBorder="1" applyProtection="1">
      <protection locked="0"/>
    </xf>
    <xf numFmtId="0" fontId="0" fillId="2" borderId="2" xfId="0" applyFill="1" applyBorder="1" applyProtection="1">
      <protection locked="0"/>
    </xf>
    <xf numFmtId="164" fontId="0" fillId="2" borderId="4" xfId="0" applyNumberFormat="1" applyFill="1" applyBorder="1" applyProtection="1"/>
    <xf numFmtId="3" fontId="0" fillId="5" borderId="2" xfId="0" applyNumberFormat="1" applyFill="1" applyBorder="1" applyProtection="1">
      <protection locked="0"/>
    </xf>
    <xf numFmtId="164" fontId="0" fillId="5" borderId="4" xfId="0" applyNumberFormat="1" applyFill="1" applyBorder="1" applyProtection="1">
      <protection locked="0"/>
    </xf>
    <xf numFmtId="164" fontId="0" fillId="5" borderId="2" xfId="0" applyNumberFormat="1" applyFill="1" applyBorder="1" applyProtection="1"/>
    <xf numFmtId="0" fontId="20" fillId="0" borderId="0" xfId="0" applyFont="1" applyBorder="1" applyAlignment="1">
      <alignment horizontal="center" wrapText="1"/>
    </xf>
    <xf numFmtId="0" fontId="0" fillId="3" borderId="0" xfId="0" applyFill="1" applyBorder="1"/>
    <xf numFmtId="164" fontId="0" fillId="3" borderId="0" xfId="0" applyNumberFormat="1" applyFill="1" applyBorder="1" applyProtection="1"/>
    <xf numFmtId="164" fontId="0" fillId="3" borderId="0" xfId="0" applyNumberFormat="1" applyFill="1" applyBorder="1"/>
    <xf numFmtId="3" fontId="0" fillId="3" borderId="0" xfId="0" applyNumberFormat="1" applyFill="1" applyBorder="1" applyProtection="1">
      <protection locked="0"/>
    </xf>
    <xf numFmtId="164" fontId="0" fillId="3" borderId="0" xfId="0" applyNumberFormat="1" applyFill="1" applyBorder="1" applyProtection="1">
      <protection locked="0"/>
    </xf>
    <xf numFmtId="0" fontId="20" fillId="0" borderId="0" xfId="0" applyFont="1" applyBorder="1"/>
    <xf numFmtId="10" fontId="0" fillId="2" borderId="2" xfId="1" applyNumberFormat="1" applyFont="1" applyFill="1" applyBorder="1" applyProtection="1"/>
    <xf numFmtId="0" fontId="18" fillId="0" borderId="0" xfId="3"/>
    <xf numFmtId="0" fontId="18" fillId="0" borderId="0" xfId="3" applyAlignment="1">
      <alignment horizontal="center" wrapText="1"/>
    </xf>
    <xf numFmtId="3" fontId="18" fillId="0" borderId="0" xfId="3" applyNumberFormat="1" applyBorder="1"/>
    <xf numFmtId="166" fontId="0" fillId="0" borderId="0" xfId="5" applyNumberFormat="1" applyFont="1" applyBorder="1"/>
    <xf numFmtId="11" fontId="31" fillId="0" borderId="0" xfId="3" applyNumberFormat="1" applyFont="1" applyFill="1" applyBorder="1" applyAlignment="1" applyProtection="1"/>
    <xf numFmtId="1" fontId="31" fillId="0" borderId="0" xfId="3" applyNumberFormat="1" applyFont="1" applyFill="1" applyBorder="1" applyAlignment="1" applyProtection="1"/>
    <xf numFmtId="43" fontId="33" fillId="0" borderId="0" xfId="3" applyNumberFormat="1" applyFont="1" applyFill="1" applyBorder="1"/>
    <xf numFmtId="0" fontId="18" fillId="0" borderId="0" xfId="3" applyBorder="1"/>
    <xf numFmtId="3" fontId="18" fillId="0" borderId="0" xfId="3" applyNumberFormat="1"/>
    <xf numFmtId="11" fontId="34" fillId="0" borderId="0" xfId="3" applyNumberFormat="1" applyFont="1" applyFill="1" applyBorder="1" applyAlignment="1" applyProtection="1">
      <alignment horizontal="center"/>
    </xf>
    <xf numFmtId="1" fontId="34" fillId="0" borderId="0" xfId="3" applyNumberFormat="1" applyFont="1" applyFill="1" applyBorder="1" applyAlignment="1" applyProtection="1"/>
    <xf numFmtId="0" fontId="35" fillId="0" borderId="0" xfId="3" applyFont="1" applyFill="1" applyBorder="1" applyAlignment="1">
      <alignment horizontal="center"/>
    </xf>
    <xf numFmtId="0" fontId="26" fillId="0" borderId="0" xfId="3" applyFont="1"/>
    <xf numFmtId="0" fontId="18" fillId="0" borderId="0" xfId="3" applyFill="1"/>
    <xf numFmtId="43" fontId="0" fillId="0" borderId="0" xfId="5" applyFont="1"/>
    <xf numFmtId="41" fontId="33" fillId="0" borderId="0" xfId="3" applyNumberFormat="1" applyFont="1" applyFill="1" applyBorder="1"/>
    <xf numFmtId="0" fontId="37" fillId="0" borderId="0" xfId="3" applyFont="1"/>
    <xf numFmtId="38" fontId="18" fillId="0" borderId="0" xfId="3" applyNumberFormat="1"/>
    <xf numFmtId="5" fontId="18" fillId="0" borderId="0" xfId="3" applyNumberFormat="1"/>
    <xf numFmtId="0" fontId="38" fillId="0" borderId="4" xfId="3" applyFont="1" applyBorder="1" applyAlignment="1">
      <alignment horizontal="center" wrapText="1"/>
    </xf>
    <xf numFmtId="37" fontId="38" fillId="0" borderId="2" xfId="3" applyNumberFormat="1" applyFont="1" applyBorder="1" applyAlignment="1">
      <alignment horizontal="center" wrapText="1"/>
    </xf>
    <xf numFmtId="38" fontId="38" fillId="0" borderId="5" xfId="3" applyNumberFormat="1" applyFont="1" applyBorder="1" applyAlignment="1">
      <alignment horizontal="center" wrapText="1"/>
    </xf>
    <xf numFmtId="0" fontId="18" fillId="0" borderId="0" xfId="3" applyAlignment="1">
      <alignment wrapText="1"/>
    </xf>
    <xf numFmtId="166" fontId="0" fillId="0" borderId="0" xfId="5" applyNumberFormat="1" applyFont="1"/>
    <xf numFmtId="5" fontId="26" fillId="0" borderId="0" xfId="3" applyNumberFormat="1" applyFont="1"/>
    <xf numFmtId="9" fontId="0" fillId="0" borderId="0" xfId="6" applyFont="1"/>
    <xf numFmtId="0" fontId="41" fillId="0" borderId="2" xfId="3" applyFont="1" applyBorder="1" applyAlignment="1">
      <alignment horizontal="center" vertical="center" wrapText="1"/>
    </xf>
    <xf numFmtId="3" fontId="42" fillId="0" borderId="2" xfId="3" applyNumberFormat="1" applyFont="1" applyBorder="1"/>
    <xf numFmtId="10" fontId="43" fillId="0" borderId="0" xfId="6" applyNumberFormat="1" applyFont="1"/>
    <xf numFmtId="0" fontId="44" fillId="0" borderId="0" xfId="3" applyFont="1"/>
    <xf numFmtId="168" fontId="45" fillId="0" borderId="0" xfId="8" applyNumberFormat="1" applyFont="1"/>
    <xf numFmtId="168" fontId="46" fillId="0" borderId="0" xfId="3" applyNumberFormat="1" applyFont="1"/>
    <xf numFmtId="168" fontId="45" fillId="0" borderId="0" xfId="3" applyNumberFormat="1" applyFont="1"/>
    <xf numFmtId="168" fontId="47" fillId="0" borderId="0" xfId="8" applyNumberFormat="1" applyFont="1"/>
    <xf numFmtId="166" fontId="47" fillId="0" borderId="0" xfId="3" applyNumberFormat="1" applyFont="1"/>
    <xf numFmtId="44" fontId="48" fillId="0" borderId="0" xfId="8" applyFont="1"/>
    <xf numFmtId="0" fontId="48" fillId="0" borderId="0" xfId="3" applyFont="1"/>
    <xf numFmtId="166" fontId="48" fillId="0" borderId="0" xfId="3" applyNumberFormat="1" applyFont="1"/>
    <xf numFmtId="166" fontId="46" fillId="0" borderId="0" xfId="5" applyNumberFormat="1" applyFont="1"/>
    <xf numFmtId="0" fontId="49" fillId="0" borderId="0" xfId="3" applyFont="1"/>
    <xf numFmtId="0" fontId="18" fillId="0" borderId="0" xfId="3" applyFont="1"/>
    <xf numFmtId="5" fontId="48" fillId="0" borderId="0" xfId="3" applyNumberFormat="1" applyFont="1"/>
    <xf numFmtId="38" fontId="48" fillId="0" borderId="0" xfId="3" applyNumberFormat="1" applyFont="1"/>
    <xf numFmtId="0" fontId="39" fillId="0" borderId="1" xfId="3" applyFont="1" applyBorder="1" applyAlignment="1">
      <alignment horizontal="center" wrapText="1"/>
    </xf>
    <xf numFmtId="0" fontId="39" fillId="0" borderId="1" xfId="3" applyFont="1" applyBorder="1" applyAlignment="1">
      <alignment horizontal="center"/>
    </xf>
    <xf numFmtId="0" fontId="50" fillId="0" borderId="0" xfId="3" applyFont="1"/>
    <xf numFmtId="166" fontId="18" fillId="0" borderId="0" xfId="3" applyNumberFormat="1"/>
    <xf numFmtId="169" fontId="0" fillId="0" borderId="0" xfId="6" applyNumberFormat="1" applyFont="1"/>
    <xf numFmtId="0" fontId="18" fillId="0" borderId="2" xfId="3" applyBorder="1" applyAlignment="1">
      <alignment horizontal="center" wrapText="1"/>
    </xf>
    <xf numFmtId="6" fontId="18" fillId="0" borderId="0" xfId="3" applyNumberFormat="1"/>
    <xf numFmtId="0" fontId="39" fillId="0" borderId="0" xfId="3" applyFont="1"/>
    <xf numFmtId="49" fontId="26" fillId="0" borderId="2" xfId="3" applyNumberFormat="1" applyFont="1" applyBorder="1" applyAlignment="1">
      <alignment wrapText="1"/>
    </xf>
    <xf numFmtId="49" fontId="26" fillId="0" borderId="2" xfId="3" applyNumberFormat="1" applyFont="1" applyBorder="1" applyAlignment="1">
      <alignment horizontal="right" wrapText="1"/>
    </xf>
    <xf numFmtId="49" fontId="26" fillId="0" borderId="2" xfId="3" applyNumberFormat="1" applyFont="1" applyBorder="1" applyAlignment="1">
      <alignment horizontal="center" wrapText="1"/>
    </xf>
    <xf numFmtId="167" fontId="26" fillId="0" borderId="2" xfId="3" applyNumberFormat="1" applyFont="1" applyBorder="1" applyAlignment="1">
      <alignment horizontal="center" wrapText="1"/>
    </xf>
    <xf numFmtId="9" fontId="26" fillId="0" borderId="2" xfId="6" applyFont="1" applyBorder="1" applyAlignment="1">
      <alignment horizontal="center" wrapText="1"/>
    </xf>
    <xf numFmtId="167" fontId="26" fillId="0" borderId="2" xfId="8" applyNumberFormat="1" applyFont="1" applyBorder="1" applyAlignment="1">
      <alignment horizontal="center" wrapText="1"/>
    </xf>
    <xf numFmtId="0" fontId="18" fillId="0" borderId="2" xfId="3" applyBorder="1"/>
    <xf numFmtId="3" fontId="18" fillId="0" borderId="2" xfId="3" applyNumberFormat="1" applyBorder="1" applyAlignment="1">
      <alignment horizontal="right"/>
    </xf>
    <xf numFmtId="10" fontId="0" fillId="0" borderId="2" xfId="6" applyNumberFormat="1" applyFont="1" applyBorder="1"/>
    <xf numFmtId="166" fontId="0" fillId="0" borderId="2" xfId="5" applyNumberFormat="1" applyFont="1" applyBorder="1"/>
    <xf numFmtId="167" fontId="0" fillId="0" borderId="2" xfId="8" applyNumberFormat="1" applyFont="1" applyBorder="1"/>
    <xf numFmtId="0" fontId="18" fillId="0" borderId="2" xfId="3" applyBorder="1" applyAlignment="1">
      <alignment horizontal="right"/>
    </xf>
    <xf numFmtId="37" fontId="26" fillId="0" borderId="2" xfId="3" applyNumberFormat="1" applyFont="1" applyBorder="1" applyAlignment="1">
      <alignment horizontal="right"/>
    </xf>
    <xf numFmtId="37" fontId="26" fillId="0" borderId="2" xfId="3" applyNumberFormat="1" applyFont="1" applyBorder="1"/>
    <xf numFmtId="167" fontId="26" fillId="0" borderId="2" xfId="3" applyNumberFormat="1" applyFont="1" applyBorder="1"/>
    <xf numFmtId="10" fontId="26" fillId="0" borderId="2" xfId="6" applyNumberFormat="1" applyFont="1" applyBorder="1" applyAlignment="1">
      <alignment horizontal="right"/>
    </xf>
    <xf numFmtId="167" fontId="26" fillId="0" borderId="2" xfId="8" applyNumberFormat="1" applyFont="1" applyBorder="1"/>
    <xf numFmtId="167" fontId="26" fillId="0" borderId="2" xfId="3" applyNumberFormat="1" applyFont="1" applyBorder="1" applyAlignment="1">
      <alignment horizontal="right"/>
    </xf>
    <xf numFmtId="167" fontId="18" fillId="0" borderId="0" xfId="3" applyNumberFormat="1"/>
    <xf numFmtId="0" fontId="26" fillId="0" borderId="0" xfId="3" applyFont="1" applyAlignment="1">
      <alignment horizontal="right"/>
    </xf>
    <xf numFmtId="0" fontId="26" fillId="0" borderId="0" xfId="3" applyFont="1" applyAlignment="1"/>
    <xf numFmtId="167" fontId="26" fillId="0" borderId="0" xfId="3" applyNumberFormat="1" applyFont="1" applyAlignment="1"/>
    <xf numFmtId="9" fontId="26" fillId="0" borderId="0" xfId="6" applyFont="1"/>
    <xf numFmtId="167" fontId="26" fillId="0" borderId="0" xfId="8" applyNumberFormat="1" applyFont="1"/>
    <xf numFmtId="0" fontId="18" fillId="0" borderId="0" xfId="3" applyAlignment="1">
      <alignment horizontal="right"/>
    </xf>
    <xf numFmtId="37" fontId="18" fillId="0" borderId="0" xfId="3" applyNumberFormat="1"/>
    <xf numFmtId="167" fontId="0" fillId="0" borderId="0" xfId="8" applyNumberFormat="1" applyFont="1"/>
    <xf numFmtId="0" fontId="32" fillId="0" borderId="0" xfId="0" applyFont="1" applyBorder="1" applyAlignment="1">
      <alignment vertical="center" wrapText="1"/>
    </xf>
    <xf numFmtId="0" fontId="32" fillId="0" borderId="0" xfId="0" applyFont="1" applyBorder="1" applyAlignment="1">
      <alignment vertical="center"/>
    </xf>
    <xf numFmtId="0" fontId="18" fillId="0" borderId="0" xfId="3" applyBorder="1" applyAlignment="1">
      <alignment horizontal="center" wrapText="1"/>
    </xf>
    <xf numFmtId="3" fontId="18" fillId="0" borderId="0" xfId="3" applyNumberFormat="1" applyBorder="1" applyAlignment="1">
      <alignment horizontal="center" wrapText="1"/>
    </xf>
    <xf numFmtId="0" fontId="17" fillId="0" borderId="0" xfId="9"/>
    <xf numFmtId="0" fontId="32" fillId="0" borderId="0" xfId="9" applyFont="1" applyBorder="1" applyAlignment="1">
      <alignment vertical="center"/>
    </xf>
    <xf numFmtId="11" fontId="31" fillId="0" borderId="0" xfId="10" applyNumberFormat="1" applyFont="1" applyFill="1" applyBorder="1" applyAlignment="1" applyProtection="1"/>
    <xf numFmtId="41" fontId="26" fillId="0" borderId="2" xfId="9" applyNumberFormat="1" applyFont="1" applyBorder="1"/>
    <xf numFmtId="1" fontId="31" fillId="0" borderId="0" xfId="10" applyNumberFormat="1" applyFont="1" applyFill="1" applyBorder="1" applyAlignment="1" applyProtection="1"/>
    <xf numFmtId="43" fontId="26" fillId="0" borderId="2" xfId="9" applyNumberFormat="1" applyFont="1" applyBorder="1"/>
    <xf numFmtId="43" fontId="17" fillId="0" borderId="0" xfId="9" applyNumberFormat="1"/>
    <xf numFmtId="0" fontId="26" fillId="0" borderId="2" xfId="9" applyFont="1" applyBorder="1" applyAlignment="1">
      <alignment horizontal="center" wrapText="1"/>
    </xf>
    <xf numFmtId="11" fontId="19" fillId="0" borderId="0" xfId="9" applyNumberFormat="1" applyFont="1" applyFill="1" applyBorder="1" applyAlignment="1" applyProtection="1"/>
    <xf numFmtId="11" fontId="40" fillId="0" borderId="2" xfId="9" applyNumberFormat="1" applyFont="1" applyFill="1" applyBorder="1" applyAlignment="1" applyProtection="1">
      <alignment horizontal="center"/>
    </xf>
    <xf numFmtId="0" fontId="19" fillId="0" borderId="0" xfId="2" applyAlignment="1">
      <alignment horizontal="left"/>
    </xf>
    <xf numFmtId="0" fontId="19" fillId="0" borderId="0" xfId="2"/>
    <xf numFmtId="0" fontId="19" fillId="0" borderId="0" xfId="2" applyAlignment="1">
      <alignment horizontal="centerContinuous"/>
    </xf>
    <xf numFmtId="0" fontId="20" fillId="0" borderId="0" xfId="2" applyFont="1" applyAlignment="1">
      <alignment horizontal="centerContinuous"/>
    </xf>
    <xf numFmtId="0" fontId="20" fillId="0" borderId="0" xfId="2" applyFont="1"/>
    <xf numFmtId="0" fontId="20" fillId="0" borderId="0" xfId="2" applyFont="1" applyAlignment="1">
      <alignment horizontal="right"/>
    </xf>
    <xf numFmtId="0" fontId="21" fillId="0" borderId="0" xfId="2" applyFont="1" applyFill="1" applyBorder="1" applyAlignment="1">
      <alignment horizontal="left"/>
    </xf>
    <xf numFmtId="0" fontId="20" fillId="0" borderId="0" xfId="2" applyFont="1" applyAlignment="1">
      <alignment horizontal="center" wrapText="1"/>
    </xf>
    <xf numFmtId="0" fontId="20" fillId="0" borderId="0" xfId="2" applyFont="1" applyAlignment="1">
      <alignment horizontal="left"/>
    </xf>
    <xf numFmtId="0" fontId="19" fillId="0" borderId="0" xfId="2" applyFont="1"/>
    <xf numFmtId="3" fontId="19" fillId="2" borderId="2" xfId="2" applyNumberFormat="1" applyFill="1" applyBorder="1" applyProtection="1">
      <protection locked="0"/>
    </xf>
    <xf numFmtId="164" fontId="19" fillId="2" borderId="2" xfId="2" applyNumberFormat="1" applyFill="1" applyBorder="1" applyProtection="1">
      <protection locked="0"/>
    </xf>
    <xf numFmtId="164" fontId="19" fillId="2" borderId="4" xfId="2" applyNumberFormat="1" applyFill="1" applyBorder="1" applyProtection="1">
      <protection locked="0"/>
    </xf>
    <xf numFmtId="164" fontId="19" fillId="2" borderId="2" xfId="2" applyNumberFormat="1" applyFill="1" applyBorder="1"/>
    <xf numFmtId="3" fontId="19" fillId="2" borderId="2" xfId="2" applyNumberFormat="1" applyFont="1" applyFill="1" applyBorder="1" applyProtection="1">
      <protection locked="0"/>
    </xf>
    <xf numFmtId="164" fontId="19" fillId="0" borderId="2" xfId="2" applyNumberFormat="1" applyFill="1" applyBorder="1"/>
    <xf numFmtId="3" fontId="19" fillId="2" borderId="2" xfId="2" applyNumberFormat="1" applyFill="1" applyBorder="1"/>
    <xf numFmtId="3" fontId="19" fillId="0" borderId="3" xfId="2" applyNumberFormat="1" applyFill="1" applyBorder="1"/>
    <xf numFmtId="164" fontId="19" fillId="0" borderId="3" xfId="2" applyNumberFormat="1" applyFill="1" applyBorder="1"/>
    <xf numFmtId="164" fontId="19" fillId="3" borderId="11" xfId="2" applyNumberFormat="1" applyFill="1" applyBorder="1"/>
    <xf numFmtId="0" fontId="19" fillId="0" borderId="0" xfId="2" applyFont="1" applyBorder="1"/>
    <xf numFmtId="0" fontId="19" fillId="0" borderId="0" xfId="2" applyBorder="1"/>
    <xf numFmtId="3" fontId="19" fillId="5" borderId="2" xfId="2" applyNumberFormat="1" applyFill="1" applyBorder="1" applyProtection="1">
      <protection locked="0"/>
    </xf>
    <xf numFmtId="164" fontId="19" fillId="5" borderId="4" xfId="2" applyNumberFormat="1" applyFill="1" applyBorder="1" applyProtection="1">
      <protection locked="0"/>
    </xf>
    <xf numFmtId="164" fontId="19" fillId="5" borderId="2" xfId="2" applyNumberFormat="1" applyFill="1" applyBorder="1" applyProtection="1"/>
    <xf numFmtId="1" fontId="19" fillId="2" borderId="2" xfId="2" applyNumberFormat="1" applyFill="1" applyBorder="1"/>
    <xf numFmtId="0" fontId="19" fillId="0" borderId="3" xfId="2" applyBorder="1"/>
    <xf numFmtId="164" fontId="19" fillId="3" borderId="4" xfId="2" applyNumberFormat="1" applyFill="1" applyBorder="1" applyProtection="1"/>
    <xf numFmtId="0" fontId="19" fillId="0" borderId="12" xfId="2" applyBorder="1"/>
    <xf numFmtId="0" fontId="20" fillId="0" borderId="0" xfId="2" applyFont="1" applyBorder="1" applyAlignment="1">
      <alignment horizontal="center" wrapText="1"/>
    </xf>
    <xf numFmtId="0" fontId="19" fillId="3" borderId="0" xfId="2" applyFill="1" applyBorder="1"/>
    <xf numFmtId="164" fontId="19" fillId="3" borderId="0" xfId="2" applyNumberFormat="1" applyFill="1" applyBorder="1" applyProtection="1"/>
    <xf numFmtId="164" fontId="19" fillId="3" borderId="0" xfId="2" applyNumberFormat="1" applyFill="1" applyBorder="1"/>
    <xf numFmtId="0" fontId="19" fillId="2" borderId="2" xfId="2" applyFill="1" applyBorder="1" applyProtection="1">
      <protection locked="0"/>
    </xf>
    <xf numFmtId="3" fontId="19" fillId="2" borderId="9" xfId="2" applyNumberFormat="1" applyFill="1" applyBorder="1" applyProtection="1">
      <protection locked="0"/>
    </xf>
    <xf numFmtId="164" fontId="19" fillId="2" borderId="9" xfId="2" applyNumberFormat="1" applyFill="1" applyBorder="1" applyProtection="1">
      <protection locked="0"/>
    </xf>
    <xf numFmtId="49" fontId="19" fillId="2" borderId="8" xfId="2" applyNumberFormat="1" applyFill="1" applyBorder="1" applyAlignment="1" applyProtection="1">
      <protection locked="0"/>
    </xf>
    <xf numFmtId="3" fontId="19" fillId="3" borderId="0" xfId="2" applyNumberFormat="1" applyFill="1" applyBorder="1" applyProtection="1">
      <protection locked="0"/>
    </xf>
    <xf numFmtId="164" fontId="19" fillId="3" borderId="0" xfId="2" applyNumberFormat="1" applyFill="1" applyBorder="1" applyProtection="1">
      <protection locked="0"/>
    </xf>
    <xf numFmtId="0" fontId="19" fillId="2" borderId="2" xfId="2" applyFill="1" applyBorder="1" applyProtection="1"/>
    <xf numFmtId="164" fontId="19" fillId="2" borderId="4" xfId="2" applyNumberFormat="1" applyFill="1" applyBorder="1" applyProtection="1"/>
    <xf numFmtId="164" fontId="19" fillId="2" borderId="2" xfId="2" applyNumberFormat="1" applyFill="1" applyBorder="1" applyProtection="1"/>
    <xf numFmtId="164" fontId="19" fillId="3" borderId="2" xfId="2" applyNumberFormat="1" applyFill="1" applyBorder="1"/>
    <xf numFmtId="3" fontId="19" fillId="2" borderId="10" xfId="2" applyNumberFormat="1" applyFill="1" applyBorder="1" applyProtection="1">
      <protection locked="0"/>
    </xf>
    <xf numFmtId="164" fontId="19" fillId="2" borderId="10" xfId="2" applyNumberFormat="1" applyFill="1" applyBorder="1" applyProtection="1">
      <protection locked="0"/>
    </xf>
    <xf numFmtId="0" fontId="20" fillId="0" borderId="0" xfId="2" applyFont="1" applyBorder="1"/>
    <xf numFmtId="0" fontId="19" fillId="0" borderId="1" xfId="2" applyBorder="1" applyAlignment="1">
      <alignment horizontal="left"/>
    </xf>
    <xf numFmtId="0" fontId="20" fillId="0" borderId="1" xfId="2" applyFont="1" applyBorder="1"/>
    <xf numFmtId="0" fontId="19" fillId="0" borderId="1" xfId="2" applyBorder="1"/>
    <xf numFmtId="0" fontId="19" fillId="0" borderId="0" xfId="2" applyFill="1" applyBorder="1"/>
    <xf numFmtId="10" fontId="19" fillId="2" borderId="2" xfId="2" applyNumberFormat="1" applyFill="1" applyBorder="1" applyProtection="1">
      <protection locked="0"/>
    </xf>
    <xf numFmtId="3" fontId="19" fillId="2" borderId="9" xfId="2" applyNumberFormat="1" applyFill="1" applyBorder="1"/>
    <xf numFmtId="3" fontId="19" fillId="3" borderId="9" xfId="2" applyNumberFormat="1" applyFill="1" applyBorder="1"/>
    <xf numFmtId="164" fontId="19" fillId="3" borderId="9" xfId="2" applyNumberFormat="1" applyFill="1" applyBorder="1"/>
    <xf numFmtId="164" fontId="19" fillId="2" borderId="9" xfId="2" applyNumberFormat="1" applyFill="1" applyBorder="1"/>
    <xf numFmtId="3" fontId="19" fillId="2" borderId="13" xfId="2" applyNumberFormat="1" applyFill="1" applyBorder="1"/>
    <xf numFmtId="0" fontId="28" fillId="0" borderId="0" xfId="2" applyFont="1" applyAlignment="1">
      <alignment horizontal="left"/>
    </xf>
    <xf numFmtId="0" fontId="28" fillId="0" borderId="0" xfId="2" applyFont="1"/>
    <xf numFmtId="0" fontId="28" fillId="0" borderId="0" xfId="2" applyFont="1" applyAlignment="1">
      <alignment horizontal="centerContinuous"/>
    </xf>
    <xf numFmtId="0" fontId="23" fillId="0" borderId="0" xfId="2" applyFont="1" applyAlignment="1">
      <alignment horizontal="centerContinuous"/>
    </xf>
    <xf numFmtId="0" fontId="23" fillId="0" borderId="0" xfId="2" applyFont="1" applyAlignment="1"/>
    <xf numFmtId="0" fontId="52" fillId="0" borderId="0" xfId="2" applyFont="1" applyAlignment="1"/>
    <xf numFmtId="0" fontId="23" fillId="0" borderId="0" xfId="2" applyFont="1"/>
    <xf numFmtId="0" fontId="23" fillId="0" borderId="0" xfId="2" applyFont="1" applyAlignment="1">
      <alignment horizontal="right"/>
    </xf>
    <xf numFmtId="0" fontId="52" fillId="0" borderId="0" xfId="2" applyFont="1" applyFill="1" applyBorder="1" applyAlignment="1">
      <alignment horizontal="left"/>
    </xf>
    <xf numFmtId="0" fontId="23" fillId="0" borderId="0" xfId="2" applyFont="1" applyAlignment="1">
      <alignment horizontal="center" wrapText="1"/>
    </xf>
    <xf numFmtId="0" fontId="23" fillId="0" borderId="0" xfId="2" applyFont="1" applyAlignment="1">
      <alignment horizontal="left"/>
    </xf>
    <xf numFmtId="3" fontId="28" fillId="2" borderId="2" xfId="2" applyNumberFormat="1" applyFont="1" applyFill="1" applyBorder="1" applyProtection="1">
      <protection locked="0"/>
    </xf>
    <xf numFmtId="164" fontId="28" fillId="2" borderId="4" xfId="2" applyNumberFormat="1" applyFont="1" applyFill="1" applyBorder="1" applyProtection="1">
      <protection locked="0"/>
    </xf>
    <xf numFmtId="3" fontId="28" fillId="2" borderId="2" xfId="2" applyNumberFormat="1" applyFont="1" applyFill="1" applyBorder="1"/>
    <xf numFmtId="3" fontId="28" fillId="0" borderId="3" xfId="2" applyNumberFormat="1" applyFont="1" applyFill="1" applyBorder="1"/>
    <xf numFmtId="164" fontId="28" fillId="0" borderId="3" xfId="2" applyNumberFormat="1" applyFont="1" applyFill="1" applyBorder="1"/>
    <xf numFmtId="164" fontId="28" fillId="3" borderId="11" xfId="2" applyNumberFormat="1" applyFont="1" applyFill="1" applyBorder="1"/>
    <xf numFmtId="164" fontId="28" fillId="2" borderId="2" xfId="2" applyNumberFormat="1" applyFont="1" applyFill="1" applyBorder="1" applyProtection="1">
      <protection locked="0"/>
    </xf>
    <xf numFmtId="0" fontId="28" fillId="0" borderId="0" xfId="2" applyFont="1" applyBorder="1"/>
    <xf numFmtId="1" fontId="28" fillId="2" borderId="2" xfId="2" applyNumberFormat="1" applyFont="1" applyFill="1" applyBorder="1"/>
    <xf numFmtId="164" fontId="28" fillId="2" borderId="2" xfId="2" applyNumberFormat="1" applyFont="1" applyFill="1" applyBorder="1"/>
    <xf numFmtId="0" fontId="28" fillId="0" borderId="3" xfId="2" applyFont="1" applyBorder="1"/>
    <xf numFmtId="0" fontId="28" fillId="5" borderId="4" xfId="2" applyFont="1" applyFill="1" applyBorder="1"/>
    <xf numFmtId="0" fontId="28" fillId="5" borderId="5" xfId="2" applyFont="1" applyFill="1" applyBorder="1"/>
    <xf numFmtId="0" fontId="28" fillId="5" borderId="6" xfId="2" applyFont="1" applyFill="1" applyBorder="1"/>
    <xf numFmtId="0" fontId="28" fillId="5" borderId="2" xfId="2" applyFont="1" applyFill="1" applyBorder="1"/>
    <xf numFmtId="164" fontId="28" fillId="3" borderId="0" xfId="2" applyNumberFormat="1" applyFont="1" applyFill="1" applyBorder="1" applyProtection="1"/>
    <xf numFmtId="0" fontId="28" fillId="0" borderId="12" xfId="2" applyFont="1" applyBorder="1"/>
    <xf numFmtId="0" fontId="23" fillId="0" borderId="0" xfId="2" applyFont="1" applyBorder="1" applyAlignment="1">
      <alignment horizontal="center" wrapText="1"/>
    </xf>
    <xf numFmtId="0" fontId="28" fillId="3" borderId="0" xfId="2" applyFont="1" applyFill="1" applyBorder="1"/>
    <xf numFmtId="164" fontId="28" fillId="3" borderId="0" xfId="2" applyNumberFormat="1" applyFont="1" applyFill="1" applyBorder="1"/>
    <xf numFmtId="0" fontId="28" fillId="2" borderId="2" xfId="2" applyFont="1" applyFill="1" applyBorder="1" applyProtection="1">
      <protection locked="0"/>
    </xf>
    <xf numFmtId="3" fontId="28" fillId="2" borderId="9" xfId="2" applyNumberFormat="1" applyFont="1" applyFill="1" applyBorder="1" applyProtection="1">
      <protection locked="0"/>
    </xf>
    <xf numFmtId="49" fontId="28" fillId="2" borderId="7" xfId="2" applyNumberFormat="1" applyFont="1" applyFill="1" applyBorder="1" applyAlignment="1" applyProtection="1">
      <protection locked="0"/>
    </xf>
    <xf numFmtId="49" fontId="28" fillId="2" borderId="1" xfId="2" applyNumberFormat="1" applyFont="1" applyFill="1" applyBorder="1" applyAlignment="1" applyProtection="1">
      <protection locked="0"/>
    </xf>
    <xf numFmtId="49" fontId="28" fillId="2" borderId="8" xfId="2" applyNumberFormat="1" applyFont="1" applyFill="1" applyBorder="1" applyAlignment="1" applyProtection="1">
      <protection locked="0"/>
    </xf>
    <xf numFmtId="3" fontId="28" fillId="3" borderId="0" xfId="2" applyNumberFormat="1" applyFont="1" applyFill="1" applyBorder="1" applyProtection="1">
      <protection locked="0"/>
    </xf>
    <xf numFmtId="164" fontId="28" fillId="3" borderId="0" xfId="2" applyNumberFormat="1" applyFont="1" applyFill="1" applyBorder="1" applyProtection="1">
      <protection locked="0"/>
    </xf>
    <xf numFmtId="0" fontId="28" fillId="2" borderId="2" xfId="2" applyFont="1" applyFill="1" applyBorder="1" applyProtection="1"/>
    <xf numFmtId="164" fontId="28" fillId="2" borderId="4" xfId="2" applyNumberFormat="1" applyFont="1" applyFill="1" applyBorder="1" applyProtection="1"/>
    <xf numFmtId="164" fontId="28" fillId="2" borderId="2" xfId="2" applyNumberFormat="1" applyFont="1" applyFill="1" applyBorder="1" applyProtection="1"/>
    <xf numFmtId="3" fontId="28" fillId="2" borderId="10" xfId="2" applyNumberFormat="1" applyFont="1" applyFill="1" applyBorder="1" applyProtection="1">
      <protection locked="0"/>
    </xf>
    <xf numFmtId="164" fontId="28" fillId="2" borderId="10" xfId="2" applyNumberFormat="1" applyFont="1" applyFill="1" applyBorder="1" applyProtection="1">
      <protection locked="0"/>
    </xf>
    <xf numFmtId="0" fontId="23" fillId="0" borderId="0" xfId="2" applyFont="1" applyBorder="1"/>
    <xf numFmtId="0" fontId="28" fillId="0" borderId="1" xfId="2" applyFont="1" applyBorder="1" applyAlignment="1">
      <alignment horizontal="left"/>
    </xf>
    <xf numFmtId="0" fontId="23" fillId="0" borderId="1" xfId="2" applyFont="1" applyBorder="1"/>
    <xf numFmtId="0" fontId="28" fillId="0" borderId="1" xfId="2" applyFont="1" applyBorder="1"/>
    <xf numFmtId="0" fontId="28" fillId="0" borderId="0" xfId="2" applyFont="1" applyFill="1" applyBorder="1"/>
    <xf numFmtId="10" fontId="28" fillId="2" borderId="2" xfId="2" applyNumberFormat="1" applyFont="1" applyFill="1" applyBorder="1" applyProtection="1">
      <protection locked="0"/>
    </xf>
    <xf numFmtId="3" fontId="28" fillId="2" borderId="9" xfId="2" applyNumberFormat="1" applyFont="1" applyFill="1" applyBorder="1"/>
    <xf numFmtId="3" fontId="28" fillId="3" borderId="9" xfId="2" applyNumberFormat="1" applyFont="1" applyFill="1" applyBorder="1"/>
    <xf numFmtId="164" fontId="28" fillId="3" borderId="9" xfId="2" applyNumberFormat="1" applyFont="1" applyFill="1" applyBorder="1"/>
    <xf numFmtId="164" fontId="28" fillId="2" borderId="9" xfId="2" applyNumberFormat="1" applyFont="1" applyFill="1" applyBorder="1"/>
    <xf numFmtId="3" fontId="28" fillId="2" borderId="13" xfId="2" applyNumberFormat="1" applyFont="1" applyFill="1" applyBorder="1"/>
    <xf numFmtId="10" fontId="28" fillId="2" borderId="2" xfId="1" applyNumberFormat="1" applyFont="1" applyFill="1" applyBorder="1" applyProtection="1"/>
    <xf numFmtId="0" fontId="19" fillId="0" borderId="0" xfId="0" applyFont="1"/>
    <xf numFmtId="3" fontId="19" fillId="2" borderId="2" xfId="0" applyNumberFormat="1" applyFont="1" applyFill="1" applyBorder="1" applyProtection="1">
      <protection locked="0"/>
    </xf>
    <xf numFmtId="0" fontId="19" fillId="0" borderId="0" xfId="0" applyFont="1" applyBorder="1"/>
    <xf numFmtId="49" fontId="22" fillId="2" borderId="4" xfId="0" applyNumberFormat="1" applyFont="1" applyFill="1" applyBorder="1" applyAlignment="1" applyProtection="1">
      <protection locked="0"/>
    </xf>
    <xf numFmtId="49" fontId="22" fillId="2" borderId="5" xfId="0" applyNumberFormat="1" applyFont="1" applyFill="1" applyBorder="1" applyAlignment="1" applyProtection="1">
      <protection locked="0"/>
    </xf>
    <xf numFmtId="49" fontId="22" fillId="2" borderId="6" xfId="0" applyNumberFormat="1" applyFont="1" applyFill="1" applyBorder="1" applyAlignment="1" applyProtection="1">
      <protection locked="0"/>
    </xf>
    <xf numFmtId="0" fontId="19" fillId="0" borderId="0" xfId="2" applyAlignment="1">
      <alignment horizontal="center"/>
    </xf>
    <xf numFmtId="3" fontId="19" fillId="2" borderId="2" xfId="2" applyNumberFormat="1" applyFill="1" applyBorder="1" applyProtection="1"/>
    <xf numFmtId="7" fontId="19" fillId="2" borderId="9" xfId="2" applyNumberFormat="1" applyFill="1" applyBorder="1"/>
    <xf numFmtId="7" fontId="19" fillId="2" borderId="2" xfId="2" applyNumberFormat="1" applyFill="1" applyBorder="1"/>
    <xf numFmtId="10" fontId="19" fillId="2" borderId="2" xfId="16" applyNumberFormat="1" applyFont="1" applyFill="1" applyBorder="1" applyProtection="1"/>
    <xf numFmtId="167" fontId="19" fillId="2" borderId="9" xfId="2" applyNumberFormat="1" applyFill="1" applyBorder="1"/>
    <xf numFmtId="10" fontId="0" fillId="2" borderId="2" xfId="16" applyNumberFormat="1" applyFont="1" applyFill="1" applyBorder="1" applyProtection="1"/>
    <xf numFmtId="0" fontId="23" fillId="0" borderId="0" xfId="0" applyFont="1" applyAlignment="1">
      <alignment horizontal="left"/>
    </xf>
    <xf numFmtId="49" fontId="19" fillId="2" borderId="4" xfId="0" applyNumberFormat="1" applyFont="1" applyFill="1" applyBorder="1" applyAlignment="1" applyProtection="1">
      <alignment horizontal="left"/>
      <protection locked="0"/>
    </xf>
    <xf numFmtId="167" fontId="0" fillId="2" borderId="2" xfId="0" applyNumberFormat="1" applyFill="1" applyBorder="1" applyProtection="1">
      <protection locked="0"/>
    </xf>
    <xf numFmtId="167" fontId="0" fillId="2" borderId="2" xfId="0" applyNumberFormat="1" applyFill="1" applyBorder="1" applyProtection="1"/>
    <xf numFmtId="167" fontId="0" fillId="0" borderId="0" xfId="0" applyNumberFormat="1"/>
    <xf numFmtId="0" fontId="59" fillId="0" borderId="0" xfId="0" applyFont="1"/>
    <xf numFmtId="3" fontId="20" fillId="0" borderId="2" xfId="0" applyNumberFormat="1" applyFont="1" applyBorder="1"/>
    <xf numFmtId="166" fontId="20" fillId="0" borderId="2" xfId="0" applyNumberFormat="1" applyFont="1" applyBorder="1"/>
    <xf numFmtId="0" fontId="20" fillId="0" borderId="2" xfId="0" applyFont="1" applyBorder="1"/>
    <xf numFmtId="167" fontId="20" fillId="0" borderId="2" xfId="0" applyNumberFormat="1" applyFont="1" applyBorder="1"/>
    <xf numFmtId="3" fontId="20" fillId="0" borderId="0" xfId="0" applyNumberFormat="1" applyFont="1" applyBorder="1"/>
    <xf numFmtId="0" fontId="60" fillId="0" borderId="0" xfId="0" applyFont="1" applyAlignment="1">
      <alignment horizontal="left"/>
    </xf>
    <xf numFmtId="0" fontId="61" fillId="0" borderId="0" xfId="0" applyFont="1" applyAlignment="1">
      <alignment horizontal="centerContinuous"/>
    </xf>
    <xf numFmtId="0" fontId="61" fillId="0" borderId="0" xfId="0" applyFont="1" applyAlignment="1">
      <alignment horizontal="left"/>
    </xf>
    <xf numFmtId="0" fontId="61" fillId="0" borderId="0" xfId="0" applyFont="1" applyAlignment="1">
      <alignment horizontal="right"/>
    </xf>
    <xf numFmtId="0" fontId="60" fillId="0" borderId="1" xfId="0" applyFont="1" applyBorder="1" applyAlignment="1">
      <alignment horizontal="left"/>
    </xf>
    <xf numFmtId="0" fontId="60" fillId="0" borderId="0" xfId="0" applyFont="1"/>
    <xf numFmtId="164" fontId="0" fillId="5" borderId="2" xfId="0" applyNumberFormat="1" applyFill="1" applyBorder="1" applyProtection="1">
      <protection locked="0"/>
    </xf>
    <xf numFmtId="164" fontId="0" fillId="5" borderId="2" xfId="0" applyNumberFormat="1" applyFill="1" applyBorder="1"/>
    <xf numFmtId="164" fontId="0" fillId="0" borderId="0" xfId="0" applyNumberFormat="1"/>
    <xf numFmtId="167" fontId="19" fillId="2" borderId="2" xfId="23" applyNumberFormat="1" applyFont="1" applyFill="1" applyBorder="1" applyProtection="1">
      <protection locked="0"/>
    </xf>
    <xf numFmtId="0" fontId="19" fillId="0" borderId="0" xfId="21" applyFont="1" applyFill="1" applyBorder="1"/>
    <xf numFmtId="0" fontId="20" fillId="0" borderId="0" xfId="21" applyFont="1" applyFill="1" applyBorder="1" applyAlignment="1">
      <alignment horizontal="center"/>
    </xf>
    <xf numFmtId="0" fontId="20" fillId="0" borderId="0" xfId="21" applyFont="1" applyFill="1" applyBorder="1" applyAlignment="1">
      <alignment horizontal="left"/>
    </xf>
    <xf numFmtId="0" fontId="19" fillId="0" borderId="0" xfId="21" applyFont="1" applyFill="1" applyBorder="1" applyAlignment="1">
      <alignment horizontal="left"/>
    </xf>
    <xf numFmtId="0" fontId="19" fillId="0" borderId="0" xfId="21" applyFont="1" applyFill="1" applyBorder="1" applyAlignment="1">
      <alignment horizontal="center"/>
    </xf>
    <xf numFmtId="0" fontId="20" fillId="0" borderId="0" xfId="21" applyFont="1" applyFill="1" applyBorder="1" applyAlignment="1">
      <alignment horizontal="center" wrapText="1"/>
    </xf>
    <xf numFmtId="164" fontId="20" fillId="0" borderId="0" xfId="21" applyNumberFormat="1" applyFont="1" applyFill="1" applyBorder="1" applyAlignment="1">
      <alignment horizontal="center" wrapText="1"/>
    </xf>
    <xf numFmtId="0" fontId="20" fillId="0" borderId="0" xfId="21" applyFont="1" applyFill="1" applyBorder="1" applyAlignment="1"/>
    <xf numFmtId="0" fontId="20" fillId="0" borderId="0" xfId="21" applyFont="1" applyFill="1" applyBorder="1"/>
    <xf numFmtId="3" fontId="19" fillId="0" borderId="0" xfId="21" applyNumberFormat="1" applyFont="1" applyFill="1" applyBorder="1"/>
    <xf numFmtId="3" fontId="20" fillId="7" borderId="2" xfId="21" applyNumberFormat="1" applyFont="1" applyFill="1" applyBorder="1"/>
    <xf numFmtId="7" fontId="20" fillId="0" borderId="0" xfId="21" applyNumberFormat="1" applyFont="1" applyFill="1" applyBorder="1" applyAlignment="1">
      <alignment horizontal="center" wrapText="1"/>
    </xf>
    <xf numFmtId="164" fontId="19" fillId="0" borderId="0" xfId="21" applyNumberFormat="1" applyFont="1" applyFill="1" applyBorder="1"/>
    <xf numFmtId="7" fontId="19" fillId="0" borderId="0" xfId="21" applyNumberFormat="1" applyFont="1" applyFill="1" applyBorder="1"/>
    <xf numFmtId="0" fontId="20" fillId="0" borderId="0" xfId="21" applyFont="1" applyFill="1" applyBorder="1" applyAlignment="1">
      <alignment horizontal="right"/>
    </xf>
    <xf numFmtId="3" fontId="19" fillId="0" borderId="2" xfId="21" applyNumberFormat="1" applyFont="1" applyFill="1" applyBorder="1" applyProtection="1">
      <protection locked="0"/>
    </xf>
    <xf numFmtId="3" fontId="19" fillId="0" borderId="2" xfId="21" applyNumberFormat="1" applyFont="1" applyFill="1" applyBorder="1"/>
    <xf numFmtId="167" fontId="20" fillId="7" borderId="2" xfId="21" applyNumberFormat="1" applyFont="1" applyFill="1" applyBorder="1"/>
    <xf numFmtId="3" fontId="20" fillId="0" borderId="0" xfId="21" applyNumberFormat="1" applyFont="1" applyFill="1" applyBorder="1"/>
    <xf numFmtId="167" fontId="20" fillId="0" borderId="0" xfId="21" applyNumberFormat="1" applyFont="1" applyFill="1" applyBorder="1"/>
    <xf numFmtId="167" fontId="19" fillId="8" borderId="0" xfId="21" applyNumberFormat="1" applyFont="1" applyFill="1" applyBorder="1"/>
    <xf numFmtId="167" fontId="19" fillId="0" borderId="0" xfId="21" applyNumberFormat="1" applyFont="1" applyFill="1" applyBorder="1"/>
    <xf numFmtId="0" fontId="19" fillId="0" borderId="0" xfId="21" applyFont="1" applyFill="1" applyBorder="1" applyAlignment="1"/>
    <xf numFmtId="0" fontId="19" fillId="0" borderId="16" xfId="21" applyFont="1" applyFill="1" applyBorder="1" applyAlignment="1"/>
    <xf numFmtId="0" fontId="20" fillId="0" borderId="0" xfId="21" applyFont="1" applyFill="1" applyBorder="1" applyAlignment="1">
      <alignment wrapText="1"/>
    </xf>
    <xf numFmtId="3" fontId="20" fillId="0" borderId="12" xfId="21" applyNumberFormat="1" applyFont="1" applyFill="1" applyBorder="1"/>
    <xf numFmtId="3" fontId="19" fillId="0" borderId="12" xfId="21" applyNumberFormat="1" applyFont="1" applyFill="1" applyBorder="1"/>
    <xf numFmtId="3" fontId="20" fillId="7" borderId="2" xfId="21" applyNumberFormat="1" applyFont="1" applyFill="1" applyBorder="1" applyProtection="1"/>
    <xf numFmtId="3" fontId="20" fillId="0" borderId="0" xfId="21" applyNumberFormat="1" applyFont="1" applyFill="1" applyBorder="1" applyProtection="1">
      <protection locked="0"/>
    </xf>
    <xf numFmtId="49" fontId="23" fillId="0" borderId="0" xfId="21" applyNumberFormat="1" applyFont="1" applyFill="1" applyBorder="1" applyAlignment="1">
      <alignment horizontal="left"/>
    </xf>
    <xf numFmtId="0" fontId="64" fillId="0" borderId="0" xfId="21" applyFont="1" applyFill="1" applyBorder="1" applyAlignment="1">
      <alignment horizontal="center" wrapText="1"/>
    </xf>
    <xf numFmtId="49" fontId="19" fillId="8" borderId="0" xfId="21" applyNumberFormat="1" applyFont="1" applyFill="1" applyBorder="1" applyAlignment="1" applyProtection="1">
      <protection locked="0"/>
    </xf>
    <xf numFmtId="3" fontId="19" fillId="0" borderId="2" xfId="21" applyNumberFormat="1" applyFont="1" applyFill="1" applyBorder="1" applyProtection="1"/>
    <xf numFmtId="3" fontId="19" fillId="0" borderId="12" xfId="21" applyNumberFormat="1" applyFont="1" applyFill="1" applyBorder="1" applyProtection="1"/>
    <xf numFmtId="3" fontId="20" fillId="7" borderId="9" xfId="21" applyNumberFormat="1" applyFont="1" applyFill="1" applyBorder="1"/>
    <xf numFmtId="0" fontId="20" fillId="0" borderId="16" xfId="21" applyFont="1" applyFill="1" applyBorder="1" applyAlignment="1"/>
    <xf numFmtId="3" fontId="19" fillId="0" borderId="10" xfId="21" applyNumberFormat="1" applyFont="1" applyFill="1" applyBorder="1" applyProtection="1"/>
    <xf numFmtId="0" fontId="19" fillId="0" borderId="0" xfId="21" applyFont="1" applyFill="1" applyBorder="1" applyProtection="1"/>
    <xf numFmtId="3" fontId="19" fillId="0" borderId="12" xfId="21" applyNumberFormat="1" applyFont="1" applyFill="1" applyBorder="1" applyProtection="1">
      <protection locked="0"/>
    </xf>
    <xf numFmtId="3" fontId="20" fillId="0" borderId="0" xfId="21" applyNumberFormat="1" applyFont="1" applyFill="1" applyBorder="1" applyProtection="1"/>
    <xf numFmtId="167" fontId="20" fillId="0" borderId="0" xfId="21" applyNumberFormat="1" applyFont="1" applyFill="1" applyBorder="1" applyProtection="1"/>
    <xf numFmtId="0" fontId="19" fillId="0" borderId="12" xfId="21" applyFont="1" applyFill="1" applyBorder="1"/>
    <xf numFmtId="164" fontId="20" fillId="0" borderId="0" xfId="21" applyNumberFormat="1" applyFont="1" applyFill="1" applyBorder="1"/>
    <xf numFmtId="10" fontId="20" fillId="0" borderId="0" xfId="25" applyNumberFormat="1" applyFont="1" applyFill="1" applyBorder="1" applyProtection="1"/>
    <xf numFmtId="10" fontId="20" fillId="7" borderId="2" xfId="21" applyNumberFormat="1" applyFont="1" applyFill="1" applyBorder="1"/>
    <xf numFmtId="166" fontId="19" fillId="0" borderId="0" xfId="26" applyNumberFormat="1" applyFont="1" applyFill="1" applyBorder="1"/>
    <xf numFmtId="10" fontId="20" fillId="0" borderId="0" xfId="21" applyNumberFormat="1" applyFont="1" applyFill="1" applyBorder="1"/>
    <xf numFmtId="10" fontId="19" fillId="0" borderId="0" xfId="27" applyNumberFormat="1" applyFont="1" applyFill="1" applyBorder="1"/>
    <xf numFmtId="168" fontId="20" fillId="7" borderId="2" xfId="20" applyNumberFormat="1" applyFont="1" applyFill="1" applyBorder="1"/>
    <xf numFmtId="49" fontId="19" fillId="0" borderId="16" xfId="21" applyNumberFormat="1" applyFont="1" applyFill="1" applyBorder="1" applyAlignment="1" applyProtection="1">
      <protection locked="0"/>
    </xf>
    <xf numFmtId="3" fontId="0" fillId="0" borderId="0" xfId="0" applyNumberFormat="1" applyFill="1" applyBorder="1" applyProtection="1">
      <protection locked="0"/>
    </xf>
    <xf numFmtId="168" fontId="20" fillId="7" borderId="9" xfId="20" applyNumberFormat="1" applyFont="1" applyFill="1" applyBorder="1"/>
    <xf numFmtId="168" fontId="20" fillId="7" borderId="2" xfId="20" applyNumberFormat="1" applyFont="1" applyFill="1" applyBorder="1" applyProtection="1"/>
    <xf numFmtId="3" fontId="20" fillId="0" borderId="2" xfId="21" applyNumberFormat="1" applyFont="1" applyFill="1" applyBorder="1"/>
    <xf numFmtId="0" fontId="20" fillId="0" borderId="0" xfId="0" applyFont="1" applyFill="1" applyAlignment="1">
      <alignment horizontal="right"/>
    </xf>
    <xf numFmtId="49" fontId="22" fillId="0" borderId="0" xfId="0" applyNumberFormat="1" applyFont="1" applyFill="1" applyBorder="1" applyAlignment="1" applyProtection="1">
      <protection locked="0"/>
    </xf>
    <xf numFmtId="0" fontId="0" fillId="0" borderId="0" xfId="0" applyFill="1"/>
    <xf numFmtId="168" fontId="20" fillId="0" borderId="2" xfId="20" applyNumberFormat="1" applyFont="1" applyFill="1" applyBorder="1"/>
    <xf numFmtId="0" fontId="13" fillId="0" borderId="0" xfId="28"/>
    <xf numFmtId="0" fontId="29" fillId="0" borderId="0" xfId="28" applyNumberFormat="1" applyFont="1" applyBorder="1" applyAlignment="1"/>
    <xf numFmtId="164" fontId="13" fillId="0" borderId="0" xfId="28" applyNumberFormat="1"/>
    <xf numFmtId="0" fontId="29" fillId="0" borderId="0" xfId="28" applyNumberFormat="1" applyFont="1" applyAlignment="1"/>
    <xf numFmtId="3" fontId="29" fillId="0" borderId="0" xfId="28" applyNumberFormat="1" applyFont="1" applyAlignment="1"/>
    <xf numFmtId="168" fontId="29" fillId="0" borderId="0" xfId="28" applyNumberFormat="1" applyFont="1" applyAlignment="1"/>
    <xf numFmtId="168" fontId="18" fillId="0" borderId="0" xfId="20" applyNumberFormat="1" applyFont="1"/>
    <xf numFmtId="168" fontId="38" fillId="0" borderId="2" xfId="20" applyNumberFormat="1" applyFont="1" applyBorder="1" applyAlignment="1">
      <alignment horizontal="center" wrapText="1"/>
    </xf>
    <xf numFmtId="0" fontId="12" fillId="0" borderId="0" xfId="3" applyFont="1"/>
    <xf numFmtId="0" fontId="66" fillId="0" borderId="2" xfId="0" applyNumberFormat="1" applyFont="1" applyFill="1" applyBorder="1" applyAlignment="1" applyProtection="1">
      <alignment horizontal="right" wrapText="1"/>
    </xf>
    <xf numFmtId="4" fontId="66" fillId="0" borderId="2" xfId="0" applyNumberFormat="1" applyFont="1" applyFill="1" applyBorder="1" applyAlignment="1" applyProtection="1">
      <alignment horizontal="right" wrapText="1"/>
    </xf>
    <xf numFmtId="4" fontId="66" fillId="9" borderId="2" xfId="0" applyNumberFormat="1" applyFont="1" applyFill="1" applyBorder="1" applyAlignment="1" applyProtection="1"/>
    <xf numFmtId="4" fontId="18" fillId="0" borderId="0" xfId="3" applyNumberFormat="1"/>
    <xf numFmtId="166" fontId="18" fillId="0" borderId="0" xfId="19" applyNumberFormat="1" applyFont="1"/>
    <xf numFmtId="43" fontId="0" fillId="0" borderId="0" xfId="5" applyNumberFormat="1" applyFont="1" applyBorder="1"/>
    <xf numFmtId="43" fontId="18" fillId="0" borderId="0" xfId="3" applyNumberFormat="1"/>
    <xf numFmtId="0" fontId="11" fillId="0" borderId="0" xfId="3" applyFont="1"/>
    <xf numFmtId="0" fontId="67" fillId="0" borderId="2" xfId="3" applyFont="1" applyBorder="1" applyAlignment="1">
      <alignment horizontal="center" vertical="center" wrapText="1"/>
    </xf>
    <xf numFmtId="3" fontId="66" fillId="0" borderId="2" xfId="3" applyNumberFormat="1" applyFont="1" applyBorder="1"/>
    <xf numFmtId="168" fontId="66" fillId="0" borderId="2" xfId="20" applyNumberFormat="1" applyFont="1" applyBorder="1"/>
    <xf numFmtId="166" fontId="66" fillId="0" borderId="2" xfId="19" applyNumberFormat="1" applyFont="1" applyBorder="1"/>
    <xf numFmtId="10" fontId="18" fillId="0" borderId="0" xfId="1" applyNumberFormat="1" applyFont="1"/>
    <xf numFmtId="9" fontId="18" fillId="0" borderId="0" xfId="1" applyNumberFormat="1" applyFont="1"/>
    <xf numFmtId="0" fontId="41" fillId="0" borderId="0" xfId="3" applyFont="1" applyBorder="1" applyAlignment="1">
      <alignment horizontal="left" vertical="center"/>
    </xf>
    <xf numFmtId="0" fontId="68" fillId="0" borderId="0" xfId="3" applyFont="1"/>
    <xf numFmtId="0" fontId="11" fillId="0" borderId="0" xfId="3" applyFont="1" applyFill="1"/>
    <xf numFmtId="0" fontId="18" fillId="0" borderId="4" xfId="3" applyBorder="1" applyAlignment="1">
      <alignment horizontal="right"/>
    </xf>
    <xf numFmtId="0" fontId="11" fillId="0" borderId="2" xfId="3" applyFont="1" applyBorder="1" applyAlignment="1">
      <alignment horizontal="right"/>
    </xf>
    <xf numFmtId="0" fontId="11" fillId="0" borderId="2" xfId="3" applyFont="1" applyBorder="1" applyAlignment="1">
      <alignment wrapText="1"/>
    </xf>
    <xf numFmtId="0" fontId="12" fillId="0" borderId="2" xfId="3" applyFont="1" applyBorder="1" applyAlignment="1">
      <alignment horizontal="right"/>
    </xf>
    <xf numFmtId="0" fontId="41" fillId="0" borderId="0" xfId="0" applyFont="1" applyBorder="1" applyAlignment="1">
      <alignment horizontal="left" vertical="center" wrapText="1"/>
    </xf>
    <xf numFmtId="0" fontId="11" fillId="0" borderId="2" xfId="3" applyFont="1" applyFill="1" applyBorder="1" applyAlignment="1">
      <alignment horizontal="center" wrapText="1"/>
    </xf>
    <xf numFmtId="0" fontId="18" fillId="0" borderId="0" xfId="3" applyBorder="1" applyAlignment="1">
      <alignment horizontal="right"/>
    </xf>
    <xf numFmtId="167" fontId="18" fillId="0" borderId="0" xfId="3" applyNumberFormat="1" applyBorder="1"/>
    <xf numFmtId="10" fontId="0" fillId="0" borderId="0" xfId="6" applyNumberFormat="1" applyFont="1" applyBorder="1"/>
    <xf numFmtId="5" fontId="18" fillId="0" borderId="0" xfId="3" applyNumberFormat="1" applyBorder="1"/>
    <xf numFmtId="167" fontId="0" fillId="0" borderId="0" xfId="8" applyNumberFormat="1" applyFont="1" applyBorder="1"/>
    <xf numFmtId="9" fontId="0" fillId="0" borderId="0" xfId="6" applyFont="1" applyBorder="1"/>
    <xf numFmtId="0" fontId="10" fillId="0" borderId="0" xfId="3" applyFont="1"/>
    <xf numFmtId="0" fontId="10" fillId="0" borderId="0" xfId="3" applyFont="1" applyFill="1"/>
    <xf numFmtId="169" fontId="9" fillId="0" borderId="0" xfId="3" applyNumberFormat="1" applyFont="1"/>
    <xf numFmtId="49" fontId="19" fillId="2" borderId="7" xfId="2" applyNumberFormat="1" applyFill="1" applyBorder="1" applyAlignment="1" applyProtection="1">
      <protection locked="0"/>
    </xf>
    <xf numFmtId="49" fontId="19" fillId="2" borderId="1" xfId="2" applyNumberFormat="1" applyFill="1" applyBorder="1" applyAlignment="1" applyProtection="1">
      <protection locked="0"/>
    </xf>
    <xf numFmtId="49" fontId="19" fillId="2" borderId="6" xfId="2" applyNumberFormat="1" applyFill="1" applyBorder="1" applyAlignment="1" applyProtection="1">
      <protection locked="0"/>
    </xf>
    <xf numFmtId="49" fontId="22" fillId="2" borderId="4" xfId="2" applyNumberFormat="1" applyFont="1" applyFill="1" applyBorder="1" applyAlignment="1" applyProtection="1">
      <protection locked="0"/>
    </xf>
    <xf numFmtId="49" fontId="22" fillId="2" borderId="5" xfId="2" applyNumberFormat="1" applyFont="1" applyFill="1" applyBorder="1" applyAlignment="1" applyProtection="1">
      <protection locked="0"/>
    </xf>
    <xf numFmtId="49" fontId="22" fillId="2" borderId="6" xfId="2" applyNumberFormat="1" applyFont="1" applyFill="1" applyBorder="1" applyAlignment="1" applyProtection="1">
      <protection locked="0"/>
    </xf>
    <xf numFmtId="49" fontId="19" fillId="2" borderId="4" xfId="2" applyNumberFormat="1" applyFill="1" applyBorder="1" applyAlignment="1" applyProtection="1">
      <protection locked="0"/>
    </xf>
    <xf numFmtId="49" fontId="19" fillId="2" borderId="5" xfId="2" applyNumberFormat="1" applyFill="1" applyBorder="1" applyAlignment="1" applyProtection="1">
      <protection locked="0"/>
    </xf>
    <xf numFmtId="49" fontId="19" fillId="2" borderId="4" xfId="2" applyNumberFormat="1" applyFont="1" applyFill="1" applyBorder="1" applyAlignment="1" applyProtection="1">
      <protection locked="0"/>
    </xf>
    <xf numFmtId="49" fontId="28" fillId="2" borderId="4" xfId="2" applyNumberFormat="1" applyFont="1" applyFill="1" applyBorder="1" applyAlignment="1" applyProtection="1">
      <protection locked="0"/>
    </xf>
    <xf numFmtId="49" fontId="28" fillId="2" borderId="5" xfId="2" applyNumberFormat="1" applyFont="1" applyFill="1" applyBorder="1" applyAlignment="1" applyProtection="1">
      <protection locked="0"/>
    </xf>
    <xf numFmtId="49" fontId="28" fillId="2" borderId="6" xfId="2" applyNumberFormat="1" applyFont="1" applyFill="1" applyBorder="1" applyAlignment="1" applyProtection="1">
      <protection locked="0"/>
    </xf>
    <xf numFmtId="0" fontId="20" fillId="0" borderId="0" xfId="2" applyFont="1" applyAlignment="1">
      <alignment horizontal="center"/>
    </xf>
    <xf numFmtId="49" fontId="19" fillId="2" borderId="5" xfId="2" applyNumberFormat="1" applyFont="1" applyFill="1" applyBorder="1" applyAlignment="1" applyProtection="1">
      <protection locked="0"/>
    </xf>
    <xf numFmtId="49" fontId="19" fillId="2" borderId="6" xfId="2" applyNumberFormat="1" applyFont="1" applyFill="1" applyBorder="1" applyAlignment="1" applyProtection="1">
      <protection locked="0"/>
    </xf>
    <xf numFmtId="49" fontId="19" fillId="2" borderId="6" xfId="23" applyNumberFormat="1" applyFont="1" applyFill="1" applyBorder="1" applyAlignment="1" applyProtection="1">
      <protection locked="0"/>
    </xf>
    <xf numFmtId="49" fontId="19" fillId="2" borderId="4" xfId="23" applyNumberFormat="1" applyFont="1" applyFill="1" applyBorder="1" applyAlignment="1" applyProtection="1">
      <protection locked="0"/>
    </xf>
    <xf numFmtId="49" fontId="19" fillId="2" borderId="5" xfId="23" applyNumberFormat="1" applyFont="1" applyFill="1" applyBorder="1" applyAlignment="1" applyProtection="1">
      <protection locked="0"/>
    </xf>
    <xf numFmtId="49" fontId="22" fillId="2" borderId="4" xfId="2" applyNumberFormat="1" applyFont="1" applyFill="1" applyBorder="1" applyAlignment="1" applyProtection="1">
      <protection locked="0"/>
    </xf>
    <xf numFmtId="49" fontId="22" fillId="2" borderId="5" xfId="2" applyNumberFormat="1" applyFont="1" applyFill="1" applyBorder="1" applyAlignment="1" applyProtection="1">
      <protection locked="0"/>
    </xf>
    <xf numFmtId="49" fontId="22" fillId="2" borderId="6" xfId="2" applyNumberFormat="1" applyFont="1" applyFill="1" applyBorder="1" applyAlignment="1" applyProtection="1">
      <protection locked="0"/>
    </xf>
    <xf numFmtId="49" fontId="19" fillId="2" borderId="4" xfId="2" applyNumberFormat="1" applyFill="1" applyBorder="1" applyAlignment="1" applyProtection="1">
      <protection locked="0"/>
    </xf>
    <xf numFmtId="49" fontId="19" fillId="2" borderId="5" xfId="2" applyNumberFormat="1" applyFill="1" applyBorder="1" applyAlignment="1" applyProtection="1">
      <protection locked="0"/>
    </xf>
    <xf numFmtId="49" fontId="19" fillId="2" borderId="6" xfId="2" applyNumberFormat="1" applyFill="1" applyBorder="1" applyAlignment="1" applyProtection="1">
      <protection locked="0"/>
    </xf>
    <xf numFmtId="49" fontId="19" fillId="2" borderId="7" xfId="2" applyNumberFormat="1" applyFill="1" applyBorder="1" applyAlignment="1" applyProtection="1">
      <protection locked="0"/>
    </xf>
    <xf numFmtId="49" fontId="19" fillId="2" borderId="1" xfId="2" applyNumberFormat="1" applyFill="1" applyBorder="1" applyAlignment="1" applyProtection="1">
      <protection locked="0"/>
    </xf>
    <xf numFmtId="49" fontId="19" fillId="2" borderId="4" xfId="2" applyNumberFormat="1" applyFont="1" applyFill="1" applyBorder="1" applyAlignment="1" applyProtection="1">
      <protection locked="0"/>
    </xf>
    <xf numFmtId="167" fontId="19" fillId="2" borderId="2" xfId="2" applyNumberFormat="1" applyFill="1" applyBorder="1" applyProtection="1">
      <protection locked="0"/>
    </xf>
    <xf numFmtId="0" fontId="8" fillId="0" borderId="0" xfId="31"/>
    <xf numFmtId="0" fontId="20" fillId="0" borderId="0" xfId="31" applyFont="1"/>
    <xf numFmtId="0" fontId="8" fillId="0" borderId="0" xfId="31" applyAlignment="1">
      <alignment horizontal="left"/>
    </xf>
    <xf numFmtId="10" fontId="0" fillId="2" borderId="2" xfId="32" applyNumberFormat="1" applyFont="1" applyFill="1" applyBorder="1" applyProtection="1"/>
    <xf numFmtId="0" fontId="20" fillId="0" borderId="0" xfId="31" applyFont="1" applyAlignment="1">
      <alignment horizontal="left"/>
    </xf>
    <xf numFmtId="3" fontId="8" fillId="2" borderId="13" xfId="31" applyNumberFormat="1" applyFill="1" applyBorder="1"/>
    <xf numFmtId="0" fontId="8" fillId="0" borderId="12" xfId="31" applyBorder="1"/>
    <xf numFmtId="3" fontId="8" fillId="2" borderId="2" xfId="31" applyNumberFormat="1" applyFill="1" applyBorder="1"/>
    <xf numFmtId="3" fontId="8" fillId="3" borderId="9" xfId="31" applyNumberFormat="1" applyFill="1" applyBorder="1"/>
    <xf numFmtId="0" fontId="20" fillId="0" borderId="0" xfId="31" applyFont="1" applyAlignment="1">
      <alignment horizontal="right"/>
    </xf>
    <xf numFmtId="164" fontId="8" fillId="2" borderId="9" xfId="31" applyNumberFormat="1" applyFill="1" applyBorder="1"/>
    <xf numFmtId="164" fontId="8" fillId="3" borderId="9" xfId="31" applyNumberFormat="1" applyFill="1" applyBorder="1"/>
    <xf numFmtId="3" fontId="8" fillId="2" borderId="9" xfId="31" applyNumberFormat="1" applyFill="1" applyBorder="1"/>
    <xf numFmtId="0" fontId="20" fillId="0" borderId="0" xfId="31" applyFont="1" applyAlignment="1">
      <alignment horizontal="center" wrapText="1"/>
    </xf>
    <xf numFmtId="164" fontId="8" fillId="2" borderId="2" xfId="31" applyNumberFormat="1" applyFill="1" applyBorder="1"/>
    <xf numFmtId="164" fontId="8" fillId="2" borderId="2" xfId="31" applyNumberFormat="1" applyFill="1" applyBorder="1" applyProtection="1">
      <protection locked="0"/>
    </xf>
    <xf numFmtId="164" fontId="8" fillId="2" borderId="4" xfId="31" applyNumberFormat="1" applyFill="1" applyBorder="1" applyProtection="1">
      <protection locked="0"/>
    </xf>
    <xf numFmtId="3" fontId="8" fillId="2" borderId="2" xfId="31" applyNumberFormat="1" applyFill="1" applyBorder="1" applyProtection="1">
      <protection locked="0"/>
    </xf>
    <xf numFmtId="164" fontId="8" fillId="2" borderId="0" xfId="31" applyNumberFormat="1" applyFill="1" applyBorder="1" applyProtection="1">
      <protection locked="0"/>
    </xf>
    <xf numFmtId="164" fontId="19" fillId="2" borderId="2" xfId="31" applyNumberFormat="1" applyFont="1" applyFill="1" applyBorder="1" applyProtection="1">
      <protection locked="0"/>
    </xf>
    <xf numFmtId="164" fontId="8" fillId="2" borderId="2" xfId="31" applyNumberFormat="1" applyFill="1" applyBorder="1" applyProtection="1"/>
    <xf numFmtId="0" fontId="19" fillId="0" borderId="0" xfId="31" applyFont="1"/>
    <xf numFmtId="10" fontId="8" fillId="2" borderId="2" xfId="31" applyNumberFormat="1" applyFill="1" applyBorder="1" applyProtection="1">
      <protection locked="0"/>
    </xf>
    <xf numFmtId="0" fontId="8" fillId="0" borderId="0" xfId="31" applyFill="1" applyBorder="1"/>
    <xf numFmtId="0" fontId="8" fillId="0" borderId="0" xfId="31" applyBorder="1"/>
    <xf numFmtId="0" fontId="8" fillId="0" borderId="3" xfId="31" applyBorder="1"/>
    <xf numFmtId="0" fontId="8" fillId="0" borderId="1" xfId="31" applyBorder="1"/>
    <xf numFmtId="0" fontId="20" fillId="0" borderId="1" xfId="31" applyFont="1" applyBorder="1"/>
    <xf numFmtId="0" fontId="8" fillId="0" borderId="1" xfId="31" applyBorder="1" applyAlignment="1">
      <alignment horizontal="left"/>
    </xf>
    <xf numFmtId="0" fontId="20" fillId="0" borderId="0" xfId="31" applyFont="1" applyBorder="1"/>
    <xf numFmtId="164" fontId="8" fillId="2" borderId="10" xfId="31" applyNumberFormat="1" applyFill="1" applyBorder="1" applyProtection="1">
      <protection locked="0"/>
    </xf>
    <xf numFmtId="3" fontId="8" fillId="2" borderId="10" xfId="31" applyNumberFormat="1" applyFill="1" applyBorder="1" applyProtection="1">
      <protection locked="0"/>
    </xf>
    <xf numFmtId="0" fontId="8" fillId="2" borderId="2" xfId="31" applyFill="1" applyBorder="1" applyProtection="1"/>
    <xf numFmtId="164" fontId="8" fillId="3" borderId="2" xfId="31" applyNumberFormat="1" applyFill="1" applyBorder="1"/>
    <xf numFmtId="0" fontId="8" fillId="2" borderId="2" xfId="31" applyFill="1" applyBorder="1" applyProtection="1">
      <protection locked="0"/>
    </xf>
    <xf numFmtId="37" fontId="8" fillId="2" borderId="2" xfId="31" applyNumberFormat="1" applyFill="1" applyBorder="1" applyProtection="1">
      <protection locked="0"/>
    </xf>
    <xf numFmtId="164" fontId="8" fillId="2" borderId="4" xfId="31" applyNumberFormat="1" applyFill="1" applyBorder="1" applyProtection="1"/>
    <xf numFmtId="164" fontId="8" fillId="3" borderId="0" xfId="31" applyNumberFormat="1" applyFill="1" applyBorder="1"/>
    <xf numFmtId="164" fontId="8" fillId="3" borderId="0" xfId="31" applyNumberFormat="1" applyFill="1" applyBorder="1" applyProtection="1">
      <protection locked="0"/>
    </xf>
    <xf numFmtId="164" fontId="8" fillId="3" borderId="0" xfId="31" applyNumberFormat="1" applyFill="1" applyBorder="1" applyProtection="1"/>
    <xf numFmtId="3" fontId="8" fillId="3" borderId="0" xfId="31" applyNumberFormat="1" applyFill="1" applyBorder="1" applyProtection="1">
      <protection locked="0"/>
    </xf>
    <xf numFmtId="49" fontId="8" fillId="2" borderId="8" xfId="31" applyNumberFormat="1" applyFill="1" applyBorder="1" applyAlignment="1" applyProtection="1">
      <protection locked="0"/>
    </xf>
    <xf numFmtId="49" fontId="8" fillId="2" borderId="1" xfId="31" applyNumberFormat="1" applyFill="1" applyBorder="1" applyAlignment="1" applyProtection="1">
      <protection locked="0"/>
    </xf>
    <xf numFmtId="49" fontId="8" fillId="2" borderId="7" xfId="31" applyNumberFormat="1" applyFill="1" applyBorder="1" applyAlignment="1" applyProtection="1">
      <protection locked="0"/>
    </xf>
    <xf numFmtId="164" fontId="8" fillId="2" borderId="9" xfId="31" applyNumberFormat="1" applyFill="1" applyBorder="1" applyProtection="1">
      <protection locked="0"/>
    </xf>
    <xf numFmtId="3" fontId="8" fillId="2" borderId="9" xfId="31" applyNumberFormat="1" applyFill="1" applyBorder="1" applyProtection="1">
      <protection locked="0"/>
    </xf>
    <xf numFmtId="49" fontId="8" fillId="2" borderId="6" xfId="31" applyNumberFormat="1" applyFill="1" applyBorder="1" applyAlignment="1" applyProtection="1">
      <protection locked="0"/>
    </xf>
    <xf numFmtId="49" fontId="8" fillId="2" borderId="5" xfId="31" applyNumberFormat="1" applyFill="1" applyBorder="1" applyAlignment="1" applyProtection="1">
      <protection locked="0"/>
    </xf>
    <xf numFmtId="49" fontId="8" fillId="2" borderId="4" xfId="31" applyNumberFormat="1" applyFill="1" applyBorder="1" applyAlignment="1" applyProtection="1">
      <protection locked="0"/>
    </xf>
    <xf numFmtId="49" fontId="19" fillId="2" borderId="4" xfId="31" applyNumberFormat="1" applyFont="1" applyFill="1" applyBorder="1" applyAlignment="1" applyProtection="1">
      <protection locked="0"/>
    </xf>
    <xf numFmtId="0" fontId="8" fillId="3" borderId="0" xfId="31" applyFill="1" applyBorder="1"/>
    <xf numFmtId="0" fontId="20" fillId="0" borderId="0" xfId="31" applyFont="1" applyBorder="1" applyAlignment="1">
      <alignment horizontal="center" wrapText="1"/>
    </xf>
    <xf numFmtId="164" fontId="8" fillId="3" borderId="4" xfId="31" applyNumberFormat="1" applyFill="1" applyBorder="1" applyProtection="1"/>
    <xf numFmtId="1" fontId="8" fillId="2" borderId="2" xfId="31" applyNumberFormat="1" applyFill="1" applyBorder="1"/>
    <xf numFmtId="164" fontId="8" fillId="5" borderId="2" xfId="31" applyNumberFormat="1" applyFill="1" applyBorder="1" applyProtection="1"/>
    <xf numFmtId="3" fontId="8" fillId="5" borderId="2" xfId="31" applyNumberFormat="1" applyFill="1" applyBorder="1" applyProtection="1">
      <protection locked="0"/>
    </xf>
    <xf numFmtId="164" fontId="8" fillId="5" borderId="4" xfId="31" applyNumberFormat="1" applyFill="1" applyBorder="1" applyProtection="1">
      <protection locked="0"/>
    </xf>
    <xf numFmtId="0" fontId="19" fillId="0" borderId="0" xfId="31" applyFont="1" applyBorder="1"/>
    <xf numFmtId="164" fontId="8" fillId="3" borderId="11" xfId="31" applyNumberFormat="1" applyFill="1" applyBorder="1"/>
    <xf numFmtId="164" fontId="8" fillId="0" borderId="3" xfId="31" applyNumberFormat="1" applyFill="1" applyBorder="1"/>
    <xf numFmtId="3" fontId="8" fillId="0" borderId="3" xfId="31" applyNumberFormat="1" applyFill="1" applyBorder="1"/>
    <xf numFmtId="164" fontId="8" fillId="0" borderId="2" xfId="31" applyNumberFormat="1" applyFill="1" applyBorder="1"/>
    <xf numFmtId="3" fontId="19" fillId="2" borderId="2" xfId="31" applyNumberFormat="1" applyFont="1" applyFill="1" applyBorder="1" applyProtection="1">
      <protection locked="0"/>
    </xf>
    <xf numFmtId="49" fontId="22" fillId="2" borderId="6" xfId="31" applyNumberFormat="1" applyFont="1" applyFill="1" applyBorder="1" applyAlignment="1" applyProtection="1">
      <protection locked="0"/>
    </xf>
    <xf numFmtId="49" fontId="22" fillId="2" borderId="5" xfId="31" applyNumberFormat="1" applyFont="1" applyFill="1" applyBorder="1" applyAlignment="1" applyProtection="1">
      <protection locked="0"/>
    </xf>
    <xf numFmtId="49" fontId="22" fillId="2" borderId="4" xfId="31" applyNumberFormat="1" applyFont="1" applyFill="1" applyBorder="1" applyAlignment="1" applyProtection="1">
      <protection locked="0"/>
    </xf>
    <xf numFmtId="0" fontId="8" fillId="0" borderId="0" xfId="31" applyAlignment="1">
      <alignment horizontal="centerContinuous"/>
    </xf>
    <xf numFmtId="0" fontId="20" fillId="0" borderId="0" xfId="31" applyFont="1" applyAlignment="1">
      <alignment horizontal="centerContinuous"/>
    </xf>
    <xf numFmtId="49" fontId="8" fillId="0" borderId="0" xfId="31" applyNumberFormat="1" applyFill="1" applyBorder="1" applyAlignment="1" applyProtection="1">
      <alignment shrinkToFit="1"/>
      <protection locked="0"/>
    </xf>
    <xf numFmtId="49" fontId="56" fillId="0" borderId="0" xfId="17" applyNumberFormat="1" applyFill="1" applyBorder="1" applyAlignment="1" applyProtection="1">
      <alignment shrinkToFit="1"/>
      <protection locked="0"/>
    </xf>
    <xf numFmtId="0" fontId="20" fillId="0" borderId="0" xfId="31" applyFont="1" applyFill="1" applyAlignment="1">
      <alignment horizontal="right"/>
    </xf>
    <xf numFmtId="0" fontId="8" fillId="0" borderId="0" xfId="31" applyFill="1"/>
    <xf numFmtId="0" fontId="8" fillId="0" borderId="0" xfId="31" applyFill="1" applyAlignment="1">
      <alignment horizontal="left"/>
    </xf>
    <xf numFmtId="8" fontId="19" fillId="2" borderId="2" xfId="2" applyNumberFormat="1" applyFill="1" applyBorder="1" applyProtection="1">
      <protection locked="0"/>
    </xf>
    <xf numFmtId="7" fontId="19" fillId="2" borderId="2" xfId="2" applyNumberFormat="1" applyFill="1" applyBorder="1" applyProtection="1">
      <protection locked="0"/>
    </xf>
    <xf numFmtId="0" fontId="42" fillId="0" borderId="0" xfId="31" applyFont="1" applyAlignment="1">
      <alignment horizontal="left"/>
    </xf>
    <xf numFmtId="0" fontId="42" fillId="0" borderId="0" xfId="31" applyFont="1"/>
    <xf numFmtId="0" fontId="42" fillId="0" borderId="0" xfId="31" applyFont="1" applyAlignment="1">
      <alignment horizontal="centerContinuous"/>
    </xf>
    <xf numFmtId="0" fontId="42" fillId="10" borderId="0" xfId="31" applyFont="1" applyFill="1"/>
    <xf numFmtId="0" fontId="21" fillId="0" borderId="0" xfId="31" applyFont="1" applyFill="1" applyBorder="1" applyAlignment="1">
      <alignment horizontal="left"/>
    </xf>
    <xf numFmtId="3" fontId="42" fillId="10" borderId="2" xfId="31" applyNumberFormat="1" applyFont="1" applyFill="1" applyBorder="1" applyProtection="1">
      <protection locked="0"/>
    </xf>
    <xf numFmtId="164" fontId="42" fillId="0" borderId="4" xfId="31" applyNumberFormat="1" applyFont="1" applyFill="1" applyBorder="1" applyProtection="1">
      <protection locked="0"/>
    </xf>
    <xf numFmtId="164" fontId="42" fillId="0" borderId="2" xfId="31" applyNumberFormat="1" applyFont="1" applyFill="1" applyBorder="1" applyProtection="1">
      <protection locked="0"/>
    </xf>
    <xf numFmtId="164" fontId="42" fillId="0" borderId="2" xfId="31" applyNumberFormat="1" applyFont="1" applyFill="1" applyBorder="1"/>
    <xf numFmtId="164" fontId="42" fillId="10" borderId="2" xfId="31" applyNumberFormat="1" applyFont="1" applyFill="1" applyBorder="1" applyProtection="1">
      <protection locked="0"/>
    </xf>
    <xf numFmtId="164" fontId="42" fillId="10" borderId="4" xfId="31" applyNumberFormat="1" applyFont="1" applyFill="1" applyBorder="1" applyProtection="1">
      <protection locked="0"/>
    </xf>
    <xf numFmtId="164" fontId="42" fillId="10" borderId="2" xfId="31" applyNumberFormat="1" applyFont="1" applyFill="1" applyBorder="1"/>
    <xf numFmtId="3" fontId="42" fillId="11" borderId="2" xfId="31" applyNumberFormat="1" applyFont="1" applyFill="1" applyBorder="1" applyProtection="1">
      <protection locked="0"/>
    </xf>
    <xf numFmtId="164" fontId="42" fillId="11" borderId="2" xfId="31" applyNumberFormat="1" applyFont="1" applyFill="1" applyBorder="1" applyProtection="1">
      <protection locked="0"/>
    </xf>
    <xf numFmtId="164" fontId="42" fillId="11" borderId="4" xfId="31" applyNumberFormat="1" applyFont="1" applyFill="1" applyBorder="1" applyProtection="1">
      <protection locked="0"/>
    </xf>
    <xf numFmtId="164" fontId="42" fillId="11" borderId="2" xfId="31" applyNumberFormat="1" applyFont="1" applyFill="1" applyBorder="1"/>
    <xf numFmtId="3" fontId="42" fillId="0" borderId="2" xfId="31" applyNumberFormat="1" applyFont="1" applyFill="1" applyBorder="1" applyProtection="1">
      <protection locked="0"/>
    </xf>
    <xf numFmtId="49" fontId="19" fillId="11" borderId="4" xfId="31" applyNumberFormat="1" applyFont="1" applyFill="1" applyBorder="1" applyAlignment="1" applyProtection="1">
      <protection locked="0"/>
    </xf>
    <xf numFmtId="49" fontId="19" fillId="11" borderId="5" xfId="31" applyNumberFormat="1" applyFont="1" applyFill="1" applyBorder="1" applyAlignment="1" applyProtection="1">
      <protection locked="0"/>
    </xf>
    <xf numFmtId="49" fontId="19" fillId="11" borderId="6" xfId="31" applyNumberFormat="1" applyFont="1" applyFill="1" applyBorder="1" applyAlignment="1" applyProtection="1">
      <protection locked="0"/>
    </xf>
    <xf numFmtId="3" fontId="19" fillId="11" borderId="2" xfId="31" applyNumberFormat="1" applyFont="1" applyFill="1" applyBorder="1" applyProtection="1">
      <protection locked="0"/>
    </xf>
    <xf numFmtId="3" fontId="42" fillId="10" borderId="2" xfId="31" applyNumberFormat="1" applyFont="1" applyFill="1" applyBorder="1"/>
    <xf numFmtId="3" fontId="42" fillId="0" borderId="3" xfId="31" applyNumberFormat="1" applyFont="1" applyFill="1" applyBorder="1"/>
    <xf numFmtId="164" fontId="42" fillId="0" borderId="3" xfId="31" applyNumberFormat="1" applyFont="1" applyFill="1" applyBorder="1"/>
    <xf numFmtId="164" fontId="42" fillId="3" borderId="11" xfId="31" applyNumberFormat="1" applyFont="1" applyFill="1" applyBorder="1"/>
    <xf numFmtId="0" fontId="19" fillId="11" borderId="0" xfId="31" applyFont="1" applyFill="1" applyBorder="1"/>
    <xf numFmtId="0" fontId="42" fillId="11" borderId="0" xfId="31" applyFont="1" applyFill="1" applyBorder="1"/>
    <xf numFmtId="164" fontId="42" fillId="11" borderId="2" xfId="31" applyNumberFormat="1" applyFont="1" applyFill="1" applyBorder="1" applyProtection="1"/>
    <xf numFmtId="1" fontId="42" fillId="10" borderId="2" xfId="31" applyNumberFormat="1" applyFont="1" applyFill="1" applyBorder="1"/>
    <xf numFmtId="0" fontId="42" fillId="0" borderId="3" xfId="31" applyFont="1" applyBorder="1"/>
    <xf numFmtId="49" fontId="42" fillId="10" borderId="4" xfId="31" applyNumberFormat="1" applyFont="1" applyFill="1" applyBorder="1" applyAlignment="1" applyProtection="1">
      <protection locked="0"/>
    </xf>
    <xf numFmtId="49" fontId="42" fillId="10" borderId="5" xfId="31" applyNumberFormat="1" applyFont="1" applyFill="1" applyBorder="1" applyAlignment="1" applyProtection="1">
      <protection locked="0"/>
    </xf>
    <xf numFmtId="49" fontId="42" fillId="10" borderId="6" xfId="31" applyNumberFormat="1" applyFont="1" applyFill="1" applyBorder="1" applyAlignment="1" applyProtection="1">
      <protection locked="0"/>
    </xf>
    <xf numFmtId="49" fontId="42" fillId="11" borderId="4" xfId="31" applyNumberFormat="1" applyFont="1" applyFill="1" applyBorder="1" applyAlignment="1" applyProtection="1">
      <protection locked="0"/>
    </xf>
    <xf numFmtId="49" fontId="42" fillId="11" borderId="5" xfId="31" applyNumberFormat="1" applyFont="1" applyFill="1" applyBorder="1" applyAlignment="1" applyProtection="1">
      <protection locked="0"/>
    </xf>
    <xf numFmtId="49" fontId="42" fillId="11" borderId="6" xfId="31" applyNumberFormat="1" applyFont="1" applyFill="1" applyBorder="1" applyAlignment="1" applyProtection="1">
      <protection locked="0"/>
    </xf>
    <xf numFmtId="164" fontId="42" fillId="3" borderId="4" xfId="31" applyNumberFormat="1" applyFont="1" applyFill="1" applyBorder="1" applyProtection="1"/>
    <xf numFmtId="0" fontId="42" fillId="0" borderId="12" xfId="31" applyFont="1" applyBorder="1"/>
    <xf numFmtId="0" fontId="42" fillId="3" borderId="0" xfId="31" applyFont="1" applyFill="1" applyBorder="1"/>
    <xf numFmtId="164" fontId="42" fillId="3" borderId="0" xfId="31" applyNumberFormat="1" applyFont="1" applyFill="1" applyBorder="1" applyProtection="1"/>
    <xf numFmtId="164" fontId="42" fillId="3" borderId="0" xfId="31" applyNumberFormat="1" applyFont="1" applyFill="1" applyBorder="1"/>
    <xf numFmtId="0" fontId="42" fillId="10" borderId="2" xfId="31" applyFont="1" applyFill="1" applyBorder="1" applyProtection="1">
      <protection locked="0"/>
    </xf>
    <xf numFmtId="0" fontId="19" fillId="11" borderId="0" xfId="31" applyFont="1" applyFill="1"/>
    <xf numFmtId="0" fontId="42" fillId="11" borderId="0" xfId="31" applyFont="1" applyFill="1"/>
    <xf numFmtId="0" fontId="42" fillId="11" borderId="2" xfId="31" applyFont="1" applyFill="1" applyBorder="1" applyProtection="1">
      <protection locked="0"/>
    </xf>
    <xf numFmtId="3" fontId="42" fillId="11" borderId="9" xfId="31" applyNumberFormat="1" applyFont="1" applyFill="1" applyBorder="1" applyProtection="1">
      <protection locked="0"/>
    </xf>
    <xf numFmtId="164" fontId="42" fillId="11" borderId="9" xfId="31" applyNumberFormat="1" applyFont="1" applyFill="1" applyBorder="1" applyProtection="1">
      <protection locked="0"/>
    </xf>
    <xf numFmtId="49" fontId="42" fillId="11" borderId="7" xfId="31" applyNumberFormat="1" applyFont="1" applyFill="1" applyBorder="1" applyAlignment="1" applyProtection="1">
      <protection locked="0"/>
    </xf>
    <xf numFmtId="49" fontId="42" fillId="11" borderId="1" xfId="31" applyNumberFormat="1" applyFont="1" applyFill="1" applyBorder="1" applyAlignment="1" applyProtection="1">
      <protection locked="0"/>
    </xf>
    <xf numFmtId="49" fontId="42" fillId="11" borderId="8" xfId="31" applyNumberFormat="1" applyFont="1" applyFill="1" applyBorder="1" applyAlignment="1" applyProtection="1">
      <protection locked="0"/>
    </xf>
    <xf numFmtId="3" fontId="42" fillId="3" borderId="0" xfId="31" applyNumberFormat="1" applyFont="1" applyFill="1" applyBorder="1" applyProtection="1">
      <protection locked="0"/>
    </xf>
    <xf numFmtId="164" fontId="42" fillId="3" borderId="0" xfId="31" applyNumberFormat="1" applyFont="1" applyFill="1" applyBorder="1" applyProtection="1">
      <protection locked="0"/>
    </xf>
    <xf numFmtId="0" fontId="42" fillId="10" borderId="2" xfId="31" applyFont="1" applyFill="1" applyBorder="1" applyProtection="1"/>
    <xf numFmtId="164" fontId="42" fillId="10" borderId="4" xfId="31" applyNumberFormat="1" applyFont="1" applyFill="1" applyBorder="1" applyProtection="1"/>
    <xf numFmtId="164" fontId="42" fillId="10" borderId="2" xfId="31" applyNumberFormat="1" applyFont="1" applyFill="1" applyBorder="1" applyProtection="1"/>
    <xf numFmtId="3" fontId="42" fillId="10" borderId="10" xfId="31" applyNumberFormat="1" applyFont="1" applyFill="1" applyBorder="1" applyProtection="1">
      <protection locked="0"/>
    </xf>
    <xf numFmtId="164" fontId="42" fillId="10" borderId="10" xfId="31" applyNumberFormat="1" applyFont="1" applyFill="1" applyBorder="1" applyProtection="1">
      <protection locked="0"/>
    </xf>
    <xf numFmtId="0" fontId="42" fillId="0" borderId="0" xfId="31" applyFont="1" applyFill="1"/>
    <xf numFmtId="3" fontId="42" fillId="0" borderId="2" xfId="31" applyNumberFormat="1" applyFont="1" applyFill="1" applyBorder="1"/>
    <xf numFmtId="0" fontId="42" fillId="0" borderId="0" xfId="31" applyFont="1" applyBorder="1"/>
    <xf numFmtId="0" fontId="42" fillId="0" borderId="1" xfId="31" applyFont="1" applyBorder="1" applyAlignment="1">
      <alignment horizontal="left"/>
    </xf>
    <xf numFmtId="0" fontId="42" fillId="0" borderId="1" xfId="31" applyFont="1" applyBorder="1"/>
    <xf numFmtId="0" fontId="42" fillId="10" borderId="0" xfId="31" applyFont="1" applyFill="1" applyBorder="1"/>
    <xf numFmtId="10" fontId="42" fillId="10" borderId="2" xfId="31" applyNumberFormat="1" applyFont="1" applyFill="1" applyBorder="1" applyProtection="1">
      <protection locked="0"/>
    </xf>
    <xf numFmtId="4" fontId="42" fillId="0" borderId="2" xfId="31" applyNumberFormat="1" applyFont="1" applyBorder="1"/>
    <xf numFmtId="3" fontId="42" fillId="11" borderId="2" xfId="31" applyNumberFormat="1" applyFont="1" applyFill="1" applyBorder="1"/>
    <xf numFmtId="3" fontId="42" fillId="10" borderId="9" xfId="31" applyNumberFormat="1" applyFont="1" applyFill="1" applyBorder="1"/>
    <xf numFmtId="3" fontId="42" fillId="0" borderId="9" xfId="31" applyNumberFormat="1" applyFont="1" applyFill="1" applyBorder="1"/>
    <xf numFmtId="164" fontId="42" fillId="10" borderId="9" xfId="31" applyNumberFormat="1" applyFont="1" applyFill="1" applyBorder="1"/>
    <xf numFmtId="3" fontId="69" fillId="0" borderId="0" xfId="31" applyNumberFormat="1" applyFont="1"/>
    <xf numFmtId="3" fontId="42" fillId="0" borderId="0" xfId="31" applyNumberFormat="1" applyFont="1"/>
    <xf numFmtId="3" fontId="42" fillId="3" borderId="9" xfId="31" applyNumberFormat="1" applyFont="1" applyFill="1" applyBorder="1"/>
    <xf numFmtId="3" fontId="42" fillId="10" borderId="13" xfId="31" applyNumberFormat="1" applyFont="1" applyFill="1" applyBorder="1"/>
    <xf numFmtId="10" fontId="42" fillId="10" borderId="2" xfId="32" applyNumberFormat="1" applyFont="1" applyFill="1" applyBorder="1" applyProtection="1"/>
    <xf numFmtId="44" fontId="0" fillId="2" borderId="2" xfId="33" applyFont="1" applyFill="1" applyBorder="1" applyProtection="1"/>
    <xf numFmtId="3" fontId="8" fillId="0" borderId="0" xfId="31" applyNumberFormat="1"/>
    <xf numFmtId="6" fontId="28" fillId="5" borderId="2" xfId="2" applyNumberFormat="1" applyFont="1" applyFill="1" applyBorder="1"/>
    <xf numFmtId="164" fontId="28" fillId="5" borderId="2" xfId="2" applyNumberFormat="1" applyFont="1" applyFill="1" applyBorder="1" applyProtection="1"/>
    <xf numFmtId="164" fontId="28" fillId="5" borderId="2" xfId="2" applyNumberFormat="1" applyFont="1" applyFill="1" applyBorder="1"/>
    <xf numFmtId="3" fontId="28" fillId="5" borderId="2" xfId="2" applyNumberFormat="1" applyFont="1" applyFill="1" applyBorder="1"/>
    <xf numFmtId="44" fontId="28" fillId="2" borderId="2" xfId="34" applyFont="1" applyFill="1" applyBorder="1" applyProtection="1">
      <protection locked="0"/>
    </xf>
    <xf numFmtId="8" fontId="28" fillId="2" borderId="2" xfId="2" applyNumberFormat="1" applyFont="1" applyFill="1" applyBorder="1" applyProtection="1">
      <protection locked="0"/>
    </xf>
    <xf numFmtId="164" fontId="28" fillId="2" borderId="9" xfId="2" applyNumberFormat="1" applyFont="1" applyFill="1" applyBorder="1" applyProtection="1">
      <protection locked="0"/>
    </xf>
    <xf numFmtId="164" fontId="28" fillId="3" borderId="2" xfId="2" applyNumberFormat="1" applyFont="1" applyFill="1" applyBorder="1"/>
    <xf numFmtId="166" fontId="0" fillId="2" borderId="2" xfId="36" applyNumberFormat="1" applyFont="1" applyFill="1" applyBorder="1"/>
    <xf numFmtId="166" fontId="0" fillId="0" borderId="0" xfId="36" applyNumberFormat="1" applyFont="1"/>
    <xf numFmtId="164" fontId="8" fillId="0" borderId="0" xfId="31" applyNumberFormat="1"/>
    <xf numFmtId="166" fontId="0" fillId="0" borderId="0" xfId="36" applyNumberFormat="1" applyFont="1" applyBorder="1"/>
    <xf numFmtId="167" fontId="8" fillId="2" borderId="2" xfId="31" applyNumberFormat="1" applyFill="1" applyBorder="1"/>
    <xf numFmtId="167" fontId="8" fillId="0" borderId="12" xfId="31" applyNumberFormat="1" applyBorder="1"/>
    <xf numFmtId="167" fontId="8" fillId="0" borderId="0" xfId="31" applyNumberFormat="1"/>
    <xf numFmtId="44" fontId="19" fillId="5" borderId="4" xfId="34" applyFont="1" applyFill="1" applyBorder="1" applyAlignment="1" applyProtection="1">
      <protection locked="0"/>
    </xf>
    <xf numFmtId="0" fontId="71" fillId="0" borderId="0" xfId="37"/>
    <xf numFmtId="166" fontId="19" fillId="2" borderId="2" xfId="38" applyNumberFormat="1" applyFont="1" applyFill="1" applyBorder="1"/>
    <xf numFmtId="49" fontId="19" fillId="2" borderId="4" xfId="37" quotePrefix="1" applyNumberFormat="1" applyFont="1" applyFill="1" applyBorder="1" applyAlignment="1" applyProtection="1">
      <alignment horizontal="left"/>
      <protection locked="0"/>
    </xf>
    <xf numFmtId="49" fontId="28" fillId="2" borderId="5" xfId="37" quotePrefix="1" applyNumberFormat="1" applyFont="1" applyFill="1" applyBorder="1" applyAlignment="1" applyProtection="1">
      <alignment horizontal="left"/>
      <protection locked="0"/>
    </xf>
    <xf numFmtId="49" fontId="28" fillId="2" borderId="6" xfId="37" quotePrefix="1" applyNumberFormat="1" applyFont="1" applyFill="1" applyBorder="1" applyAlignment="1" applyProtection="1">
      <alignment horizontal="left"/>
      <protection locked="0"/>
    </xf>
    <xf numFmtId="49" fontId="19" fillId="2" borderId="4" xfId="37" applyNumberFormat="1" applyFont="1" applyFill="1" applyBorder="1" applyAlignment="1" applyProtection="1">
      <alignment horizontal="left"/>
      <protection locked="0"/>
    </xf>
    <xf numFmtId="49" fontId="28" fillId="2" borderId="5" xfId="37" applyNumberFormat="1" applyFont="1" applyFill="1" applyBorder="1" applyAlignment="1" applyProtection="1">
      <alignment horizontal="left"/>
      <protection locked="0"/>
    </xf>
    <xf numFmtId="49" fontId="28" fillId="2" borderId="6" xfId="37" applyNumberFormat="1" applyFont="1" applyFill="1" applyBorder="1" applyAlignment="1" applyProtection="1">
      <alignment horizontal="left"/>
      <protection locked="0"/>
    </xf>
    <xf numFmtId="49" fontId="19" fillId="7" borderId="4" xfId="2" applyNumberFormat="1" applyFont="1" applyFill="1" applyBorder="1" applyAlignment="1" applyProtection="1">
      <protection locked="0"/>
    </xf>
    <xf numFmtId="49" fontId="19" fillId="7" borderId="5" xfId="2" applyNumberFormat="1" applyFont="1" applyFill="1" applyBorder="1" applyAlignment="1" applyProtection="1">
      <protection locked="0"/>
    </xf>
    <xf numFmtId="49" fontId="19" fillId="7" borderId="6" xfId="2" applyNumberFormat="1" applyFont="1" applyFill="1" applyBorder="1" applyAlignment="1" applyProtection="1">
      <protection locked="0"/>
    </xf>
    <xf numFmtId="164" fontId="0" fillId="2" borderId="2" xfId="34" applyNumberFormat="1" applyFont="1" applyFill="1" applyBorder="1" applyAlignment="1" applyProtection="1">
      <protection locked="0"/>
    </xf>
    <xf numFmtId="171" fontId="19" fillId="2" borderId="2" xfId="2" applyNumberFormat="1" applyFill="1" applyBorder="1" applyAlignment="1" applyProtection="1">
      <protection locked="0"/>
    </xf>
    <xf numFmtId="0" fontId="19" fillId="0" borderId="0" xfId="2" applyFont="1" applyBorder="1" applyProtection="1">
      <protection locked="0"/>
    </xf>
    <xf numFmtId="0" fontId="72" fillId="0" borderId="0" xfId="2" applyFont="1" applyAlignment="1" applyProtection="1">
      <alignment vertical="top"/>
      <protection locked="0"/>
    </xf>
    <xf numFmtId="44" fontId="19" fillId="2" borderId="2" xfId="2" applyNumberFormat="1" applyFill="1" applyBorder="1" applyProtection="1">
      <protection locked="0"/>
    </xf>
    <xf numFmtId="49" fontId="22" fillId="2" borderId="4" xfId="0" applyNumberFormat="1" applyFont="1" applyFill="1" applyBorder="1" applyAlignment="1" applyProtection="1">
      <protection locked="0"/>
    </xf>
    <xf numFmtId="49" fontId="22" fillId="2" borderId="5" xfId="0" applyNumberFormat="1" applyFont="1" applyFill="1" applyBorder="1" applyAlignment="1" applyProtection="1">
      <protection locked="0"/>
    </xf>
    <xf numFmtId="49" fontId="22" fillId="2" borderId="6" xfId="0" applyNumberFormat="1" applyFont="1" applyFill="1" applyBorder="1" applyAlignment="1" applyProtection="1">
      <protection locked="0"/>
    </xf>
    <xf numFmtId="49" fontId="0" fillId="2" borderId="4" xfId="0" applyNumberFormat="1" applyFill="1" applyBorder="1" applyAlignment="1" applyProtection="1">
      <protection locked="0"/>
    </xf>
    <xf numFmtId="49" fontId="0" fillId="2" borderId="5" xfId="0" applyNumberFormat="1" applyFill="1" applyBorder="1" applyAlignment="1" applyProtection="1">
      <protection locked="0"/>
    </xf>
    <xf numFmtId="49" fontId="0" fillId="2" borderId="6" xfId="0" applyNumberFormat="1" applyFill="1" applyBorder="1" applyAlignment="1" applyProtection="1">
      <protection locked="0"/>
    </xf>
    <xf numFmtId="49" fontId="0" fillId="2" borderId="1" xfId="0" applyNumberFormat="1" applyFill="1" applyBorder="1" applyAlignment="1" applyProtection="1">
      <protection locked="0"/>
    </xf>
    <xf numFmtId="49" fontId="19" fillId="2" borderId="4" xfId="0" applyNumberFormat="1" applyFont="1" applyFill="1" applyBorder="1" applyAlignment="1" applyProtection="1">
      <protection locked="0"/>
    </xf>
    <xf numFmtId="49" fontId="0" fillId="2" borderId="7" xfId="0" applyNumberFormat="1" applyFill="1" applyBorder="1" applyAlignment="1" applyProtection="1">
      <protection locked="0"/>
    </xf>
    <xf numFmtId="164" fontId="19" fillId="2" borderId="4" xfId="2" applyNumberFormat="1" applyFont="1" applyFill="1" applyBorder="1" applyProtection="1">
      <protection locked="0"/>
    </xf>
    <xf numFmtId="168" fontId="0" fillId="0" borderId="0" xfId="34" applyNumberFormat="1" applyFont="1" applyAlignment="1">
      <alignment horizontal="centerContinuous"/>
    </xf>
    <xf numFmtId="168" fontId="0" fillId="0" borderId="0" xfId="34" applyNumberFormat="1" applyFont="1"/>
    <xf numFmtId="168" fontId="20" fillId="0" borderId="0" xfId="34" applyNumberFormat="1" applyFont="1" applyAlignment="1">
      <alignment horizontal="center" wrapText="1"/>
    </xf>
    <xf numFmtId="168" fontId="0" fillId="2" borderId="2" xfId="34" applyNumberFormat="1" applyFont="1" applyFill="1" applyBorder="1" applyProtection="1">
      <protection locked="0"/>
    </xf>
    <xf numFmtId="168" fontId="0" fillId="2" borderId="4" xfId="34" applyNumberFormat="1" applyFont="1" applyFill="1" applyBorder="1" applyProtection="1">
      <protection locked="0"/>
    </xf>
    <xf numFmtId="168" fontId="0" fillId="2" borderId="2" xfId="34" applyNumberFormat="1" applyFont="1" applyFill="1" applyBorder="1"/>
    <xf numFmtId="168" fontId="0" fillId="0" borderId="3" xfId="34" applyNumberFormat="1" applyFont="1" applyFill="1" applyBorder="1"/>
    <xf numFmtId="168" fontId="0" fillId="0" borderId="3" xfId="34" applyNumberFormat="1" applyFont="1" applyBorder="1"/>
    <xf numFmtId="168" fontId="0" fillId="3" borderId="4" xfId="34" applyNumberFormat="1" applyFont="1" applyFill="1" applyBorder="1" applyProtection="1"/>
    <xf numFmtId="168" fontId="0" fillId="0" borderId="12" xfId="34" applyNumberFormat="1" applyFont="1" applyBorder="1"/>
    <xf numFmtId="168" fontId="20" fillId="0" borderId="0" xfId="34" applyNumberFormat="1" applyFont="1" applyBorder="1" applyAlignment="1">
      <alignment horizontal="center" wrapText="1"/>
    </xf>
    <xf numFmtId="168" fontId="0" fillId="3" borderId="0" xfId="34" applyNumberFormat="1" applyFont="1" applyFill="1" applyBorder="1"/>
    <xf numFmtId="168" fontId="0" fillId="3" borderId="0" xfId="34" applyNumberFormat="1" applyFont="1" applyFill="1" applyBorder="1" applyProtection="1"/>
    <xf numFmtId="168" fontId="0" fillId="2" borderId="9" xfId="34" applyNumberFormat="1" applyFont="1" applyFill="1" applyBorder="1" applyProtection="1">
      <protection locked="0"/>
    </xf>
    <xf numFmtId="168" fontId="0" fillId="3" borderId="0" xfId="34" applyNumberFormat="1" applyFont="1" applyFill="1" applyBorder="1" applyProtection="1">
      <protection locked="0"/>
    </xf>
    <xf numFmtId="168" fontId="0" fillId="2" borderId="2" xfId="34" applyNumberFormat="1" applyFont="1" applyFill="1" applyBorder="1" applyProtection="1"/>
    <xf numFmtId="168" fontId="0" fillId="2" borderId="4" xfId="34" applyNumberFormat="1" applyFont="1" applyFill="1" applyBorder="1" applyProtection="1"/>
    <xf numFmtId="166" fontId="0" fillId="2" borderId="2" xfId="39" applyNumberFormat="1" applyFont="1" applyFill="1" applyBorder="1" applyProtection="1">
      <protection locked="0"/>
    </xf>
    <xf numFmtId="167" fontId="19" fillId="2" borderId="2" xfId="2" applyNumberFormat="1" applyFill="1" applyBorder="1" applyProtection="1"/>
    <xf numFmtId="167" fontId="19" fillId="0" borderId="0" xfId="2" applyNumberFormat="1"/>
    <xf numFmtId="168" fontId="0" fillId="2" borderId="9" xfId="34" applyNumberFormat="1" applyFont="1" applyFill="1" applyBorder="1"/>
    <xf numFmtId="168" fontId="0" fillId="3" borderId="9" xfId="34" applyNumberFormat="1" applyFont="1" applyFill="1" applyBorder="1"/>
    <xf numFmtId="168" fontId="0" fillId="2" borderId="13" xfId="34" applyNumberFormat="1" applyFont="1" applyFill="1" applyBorder="1"/>
    <xf numFmtId="10" fontId="19" fillId="2" borderId="2" xfId="1" applyNumberFormat="1" applyFont="1" applyFill="1" applyBorder="1" applyProtection="1"/>
    <xf numFmtId="0" fontId="59" fillId="0" borderId="0" xfId="2" applyFont="1"/>
    <xf numFmtId="166" fontId="20" fillId="0" borderId="2" xfId="39" applyNumberFormat="1" applyFont="1" applyBorder="1"/>
    <xf numFmtId="3" fontId="20" fillId="0" borderId="2" xfId="2" applyNumberFormat="1" applyFont="1" applyBorder="1"/>
    <xf numFmtId="166" fontId="20" fillId="0" borderId="2" xfId="2" applyNumberFormat="1" applyFont="1" applyBorder="1"/>
    <xf numFmtId="0" fontId="20" fillId="0" borderId="2" xfId="2" applyFont="1" applyBorder="1"/>
    <xf numFmtId="168" fontId="20" fillId="0" borderId="2" xfId="34" applyNumberFormat="1" applyFont="1" applyBorder="1"/>
    <xf numFmtId="164" fontId="20" fillId="0" borderId="2" xfId="2" applyNumberFormat="1" applyFont="1" applyBorder="1"/>
    <xf numFmtId="3" fontId="20" fillId="0" borderId="0" xfId="2" applyNumberFormat="1" applyFont="1" applyBorder="1"/>
    <xf numFmtId="10" fontId="20" fillId="2" borderId="2" xfId="1" applyNumberFormat="1" applyFont="1" applyFill="1" applyBorder="1" applyProtection="1"/>
    <xf numFmtId="49" fontId="22" fillId="2" borderId="4" xfId="0" applyNumberFormat="1" applyFont="1" applyFill="1" applyBorder="1" applyAlignment="1" applyProtection="1">
      <protection locked="0"/>
    </xf>
    <xf numFmtId="49" fontId="22" fillId="2" borderId="5" xfId="0" applyNumberFormat="1" applyFont="1" applyFill="1" applyBorder="1" applyAlignment="1" applyProtection="1">
      <protection locked="0"/>
    </xf>
    <xf numFmtId="49" fontId="22" fillId="2" borderId="6" xfId="0" applyNumberFormat="1" applyFont="1" applyFill="1" applyBorder="1" applyAlignment="1" applyProtection="1">
      <protection locked="0"/>
    </xf>
    <xf numFmtId="49" fontId="0" fillId="2" borderId="1" xfId="0" applyNumberFormat="1" applyFill="1" applyBorder="1" applyAlignment="1" applyProtection="1">
      <protection locked="0"/>
    </xf>
    <xf numFmtId="49" fontId="0" fillId="2" borderId="6" xfId="0" applyNumberFormat="1" applyFill="1" applyBorder="1" applyAlignment="1" applyProtection="1">
      <protection locked="0"/>
    </xf>
    <xf numFmtId="49" fontId="0" fillId="2" borderId="4" xfId="0" applyNumberFormat="1" applyFill="1" applyBorder="1" applyAlignment="1" applyProtection="1">
      <protection locked="0"/>
    </xf>
    <xf numFmtId="49" fontId="0" fillId="2" borderId="5" xfId="0" applyNumberFormat="1" applyFill="1" applyBorder="1" applyAlignment="1" applyProtection="1">
      <protection locked="0"/>
    </xf>
    <xf numFmtId="49" fontId="19" fillId="2" borderId="4" xfId="0" applyNumberFormat="1" applyFont="1" applyFill="1" applyBorder="1" applyAlignment="1" applyProtection="1">
      <protection locked="0"/>
    </xf>
    <xf numFmtId="49" fontId="0" fillId="2" borderId="7" xfId="0" applyNumberFormat="1" applyFill="1" applyBorder="1" applyAlignment="1" applyProtection="1">
      <protection locked="0"/>
    </xf>
    <xf numFmtId="168" fontId="0" fillId="0" borderId="0" xfId="40" applyNumberFormat="1" applyFont="1" applyAlignment="1">
      <alignment horizontal="centerContinuous"/>
    </xf>
    <xf numFmtId="168" fontId="0" fillId="0" borderId="0" xfId="40" applyNumberFormat="1" applyFont="1"/>
    <xf numFmtId="168" fontId="20" fillId="0" borderId="0" xfId="40" applyNumberFormat="1" applyFont="1" applyAlignment="1">
      <alignment horizontal="center" wrapText="1"/>
    </xf>
    <xf numFmtId="168" fontId="0" fillId="2" borderId="2" xfId="40" applyNumberFormat="1" applyFont="1" applyFill="1" applyBorder="1" applyProtection="1">
      <protection locked="0"/>
    </xf>
    <xf numFmtId="168" fontId="0" fillId="2" borderId="4" xfId="40" applyNumberFormat="1" applyFont="1" applyFill="1" applyBorder="1" applyProtection="1">
      <protection locked="0"/>
    </xf>
    <xf numFmtId="168" fontId="0" fillId="2" borderId="2" xfId="40" applyNumberFormat="1" applyFont="1" applyFill="1" applyBorder="1"/>
    <xf numFmtId="168" fontId="0" fillId="0" borderId="2" xfId="40" applyNumberFormat="1" applyFont="1" applyFill="1" applyBorder="1"/>
    <xf numFmtId="168" fontId="0" fillId="0" borderId="3" xfId="40" applyNumberFormat="1" applyFont="1" applyFill="1" applyBorder="1"/>
    <xf numFmtId="168" fontId="0" fillId="3" borderId="11" xfId="40" applyNumberFormat="1" applyFont="1" applyFill="1" applyBorder="1"/>
    <xf numFmtId="168" fontId="0" fillId="2" borderId="2" xfId="40" applyNumberFormat="1" applyFont="1" applyFill="1" applyBorder="1" applyProtection="1"/>
    <xf numFmtId="168" fontId="0" fillId="0" borderId="3" xfId="40" applyNumberFormat="1" applyFont="1" applyBorder="1"/>
    <xf numFmtId="168" fontId="0" fillId="3" borderId="4" xfId="40" applyNumberFormat="1" applyFont="1" applyFill="1" applyBorder="1" applyProtection="1"/>
    <xf numFmtId="168" fontId="0" fillId="0" borderId="12" xfId="40" applyNumberFormat="1" applyFont="1" applyBorder="1"/>
    <xf numFmtId="168" fontId="20" fillId="0" borderId="0" xfId="40" applyNumberFormat="1" applyFont="1" applyBorder="1" applyAlignment="1">
      <alignment horizontal="center" wrapText="1"/>
    </xf>
    <xf numFmtId="168" fontId="0" fillId="3" borderId="0" xfId="40" applyNumberFormat="1" applyFont="1" applyFill="1" applyBorder="1"/>
    <xf numFmtId="168" fontId="0" fillId="3" borderId="0" xfId="40" applyNumberFormat="1" applyFont="1" applyFill="1" applyBorder="1" applyProtection="1"/>
    <xf numFmtId="168" fontId="0" fillId="2" borderId="9" xfId="40" applyNumberFormat="1" applyFont="1" applyFill="1" applyBorder="1" applyProtection="1">
      <protection locked="0"/>
    </xf>
    <xf numFmtId="168" fontId="0" fillId="3" borderId="0" xfId="40" applyNumberFormat="1" applyFont="1" applyFill="1" applyBorder="1" applyProtection="1">
      <protection locked="0"/>
    </xf>
    <xf numFmtId="168" fontId="0" fillId="2" borderId="4" xfId="40" applyNumberFormat="1" applyFont="1" applyFill="1" applyBorder="1" applyProtection="1"/>
    <xf numFmtId="168" fontId="0" fillId="3" borderId="2" xfId="40" applyNumberFormat="1" applyFont="1" applyFill="1" applyBorder="1"/>
    <xf numFmtId="168" fontId="0" fillId="2" borderId="9" xfId="40" applyNumberFormat="1" applyFont="1" applyFill="1" applyBorder="1"/>
    <xf numFmtId="168" fontId="0" fillId="3" borderId="9" xfId="40" applyNumberFormat="1" applyFont="1" applyFill="1" applyBorder="1"/>
    <xf numFmtId="168" fontId="0" fillId="2" borderId="13" xfId="40" applyNumberFormat="1" applyFont="1" applyFill="1" applyBorder="1"/>
    <xf numFmtId="10" fontId="0" fillId="2" borderId="2" xfId="41" applyNumberFormat="1" applyFont="1" applyFill="1" applyBorder="1" applyProtection="1"/>
    <xf numFmtId="166" fontId="20" fillId="0" borderId="2" xfId="42" applyNumberFormat="1" applyFont="1" applyBorder="1"/>
    <xf numFmtId="168" fontId="20" fillId="0" borderId="2" xfId="40" applyNumberFormat="1" applyFont="1" applyBorder="1"/>
    <xf numFmtId="10" fontId="20" fillId="2" borderId="2" xfId="41" applyNumberFormat="1" applyFont="1" applyFill="1" applyBorder="1" applyProtection="1"/>
    <xf numFmtId="168" fontId="74" fillId="12" borderId="2" xfId="40" applyNumberFormat="1" applyFont="1" applyFill="1" applyBorder="1" applyProtection="1">
      <protection locked="0"/>
    </xf>
    <xf numFmtId="10" fontId="73" fillId="2" borderId="2" xfId="41" applyNumberFormat="1" applyFont="1" applyFill="1" applyBorder="1" applyProtection="1"/>
    <xf numFmtId="166" fontId="0" fillId="0" borderId="0" xfId="39" applyNumberFormat="1" applyFont="1"/>
    <xf numFmtId="166" fontId="20" fillId="0" borderId="0" xfId="39" applyNumberFormat="1" applyFont="1"/>
    <xf numFmtId="0" fontId="0" fillId="0" borderId="0" xfId="0" applyFill="1" applyAlignment="1">
      <alignment horizontal="centerContinuous"/>
    </xf>
    <xf numFmtId="0" fontId="20" fillId="0" borderId="0" xfId="0" applyFont="1" applyFill="1" applyAlignment="1">
      <alignment horizontal="center" wrapText="1"/>
    </xf>
    <xf numFmtId="0" fontId="20" fillId="0" borderId="0" xfId="0" applyFont="1" applyFill="1"/>
    <xf numFmtId="0" fontId="19" fillId="0" borderId="0" xfId="0" applyFont="1" applyFill="1"/>
    <xf numFmtId="164" fontId="19" fillId="0" borderId="0" xfId="0" applyNumberFormat="1" applyFont="1"/>
    <xf numFmtId="164" fontId="0" fillId="0" borderId="0" xfId="0" applyNumberFormat="1" applyFill="1" applyBorder="1" applyProtection="1">
      <protection locked="0"/>
    </xf>
    <xf numFmtId="164" fontId="0" fillId="0" borderId="0" xfId="0" applyNumberFormat="1" applyFill="1" applyBorder="1"/>
    <xf numFmtId="3" fontId="19" fillId="0" borderId="0" xfId="0" applyNumberFormat="1" applyFont="1" applyFill="1" applyBorder="1" applyProtection="1">
      <protection locked="0"/>
    </xf>
    <xf numFmtId="164" fontId="0" fillId="0" borderId="0" xfId="0" applyNumberFormat="1" applyFill="1"/>
    <xf numFmtId="164" fontId="0" fillId="0" borderId="1" xfId="0" applyNumberFormat="1" applyFill="1" applyBorder="1"/>
    <xf numFmtId="3" fontId="0" fillId="5" borderId="2" xfId="0" applyNumberFormat="1" applyFill="1" applyBorder="1"/>
    <xf numFmtId="3" fontId="0" fillId="0" borderId="12" xfId="0" applyNumberFormat="1" applyFill="1" applyBorder="1"/>
    <xf numFmtId="164" fontId="0" fillId="0" borderId="12" xfId="0" applyNumberFormat="1" applyFill="1" applyBorder="1"/>
    <xf numFmtId="0" fontId="20" fillId="0" borderId="0" xfId="0" applyFont="1" applyFill="1" applyBorder="1" applyAlignment="1">
      <alignment horizontal="center" wrapText="1"/>
    </xf>
    <xf numFmtId="0" fontId="19" fillId="0" borderId="0" xfId="0" applyFont="1" applyFill="1" applyBorder="1"/>
    <xf numFmtId="166" fontId="0" fillId="5" borderId="2" xfId="39" applyNumberFormat="1" applyFont="1" applyFill="1" applyBorder="1"/>
    <xf numFmtId="0" fontId="0" fillId="0" borderId="12" xfId="0" applyFill="1" applyBorder="1"/>
    <xf numFmtId="167" fontId="19" fillId="0" borderId="0" xfId="0" applyNumberFormat="1" applyFont="1"/>
    <xf numFmtId="49" fontId="0" fillId="0" borderId="0" xfId="0" applyNumberFormat="1" applyFill="1" applyBorder="1" applyAlignment="1" applyProtection="1">
      <protection locked="0"/>
    </xf>
    <xf numFmtId="49" fontId="19" fillId="0" borderId="0" xfId="0" applyNumberFormat="1" applyFont="1" applyFill="1" applyBorder="1" applyAlignment="1" applyProtection="1">
      <protection locked="0"/>
    </xf>
    <xf numFmtId="164" fontId="0" fillId="0" borderId="4" xfId="0" applyNumberFormat="1" applyFill="1" applyBorder="1" applyProtection="1"/>
    <xf numFmtId="164" fontId="0" fillId="0" borderId="0" xfId="0" applyNumberFormat="1" applyFill="1" applyBorder="1" applyProtection="1"/>
    <xf numFmtId="1" fontId="0" fillId="5" borderId="2" xfId="0" applyNumberFormat="1" applyFill="1" applyBorder="1" applyProtection="1">
      <protection locked="0"/>
    </xf>
    <xf numFmtId="0" fontId="0" fillId="5" borderId="2" xfId="0" applyFill="1" applyBorder="1" applyProtection="1">
      <protection locked="0"/>
    </xf>
    <xf numFmtId="0" fontId="75" fillId="0" borderId="0" xfId="0" applyFont="1"/>
    <xf numFmtId="0" fontId="20" fillId="0" borderId="0" xfId="0" applyFont="1" applyFill="1" applyBorder="1"/>
    <xf numFmtId="0" fontId="0" fillId="5" borderId="2" xfId="0" applyFill="1" applyBorder="1" applyProtection="1"/>
    <xf numFmtId="164" fontId="0" fillId="5" borderId="4" xfId="0" applyNumberFormat="1" applyFill="1" applyBorder="1" applyProtection="1"/>
    <xf numFmtId="164" fontId="19" fillId="5" borderId="2" xfId="0" applyNumberFormat="1" applyFont="1" applyFill="1" applyBorder="1" applyProtection="1">
      <protection locked="0"/>
    </xf>
    <xf numFmtId="1" fontId="0" fillId="5" borderId="2" xfId="0" applyNumberFormat="1" applyFill="1" applyBorder="1" applyProtection="1"/>
    <xf numFmtId="164" fontId="75" fillId="0" borderId="0" xfId="0" applyNumberFormat="1" applyFont="1"/>
    <xf numFmtId="0" fontId="0" fillId="0" borderId="0" xfId="0" applyBorder="1" applyAlignment="1">
      <alignment horizontal="left"/>
    </xf>
    <xf numFmtId="10" fontId="0" fillId="5" borderId="2" xfId="0" applyNumberFormat="1" applyFill="1" applyBorder="1" applyProtection="1">
      <protection locked="0"/>
    </xf>
    <xf numFmtId="164" fontId="19" fillId="0" borderId="0" xfId="0" applyNumberFormat="1" applyFont="1" applyFill="1"/>
    <xf numFmtId="3" fontId="0" fillId="5" borderId="9" xfId="0" applyNumberFormat="1" applyFill="1" applyBorder="1"/>
    <xf numFmtId="164" fontId="0" fillId="5" borderId="9" xfId="0" applyNumberFormat="1" applyFill="1" applyBorder="1"/>
    <xf numFmtId="10" fontId="0" fillId="5" borderId="2" xfId="1" applyNumberFormat="1" applyFont="1" applyFill="1" applyBorder="1" applyProtection="1"/>
    <xf numFmtId="49" fontId="22" fillId="2" borderId="4" xfId="0" applyNumberFormat="1" applyFont="1" applyFill="1" applyBorder="1" applyAlignment="1" applyProtection="1">
      <protection locked="0"/>
    </xf>
    <xf numFmtId="49" fontId="22" fillId="2" borderId="5" xfId="0" applyNumberFormat="1" applyFont="1" applyFill="1" applyBorder="1" applyAlignment="1" applyProtection="1">
      <protection locked="0"/>
    </xf>
    <xf numFmtId="49" fontId="22" fillId="2" borderId="6" xfId="0" applyNumberFormat="1" applyFont="1" applyFill="1" applyBorder="1" applyAlignment="1" applyProtection="1">
      <protection locked="0"/>
    </xf>
    <xf numFmtId="49" fontId="0" fillId="2" borderId="4" xfId="0" applyNumberFormat="1" applyFill="1" applyBorder="1" applyAlignment="1" applyProtection="1">
      <protection locked="0"/>
    </xf>
    <xf numFmtId="49" fontId="0" fillId="2" borderId="5" xfId="0" applyNumberFormat="1" applyFill="1" applyBorder="1" applyAlignment="1" applyProtection="1">
      <protection locked="0"/>
    </xf>
    <xf numFmtId="49" fontId="0" fillId="2" borderId="6" xfId="0" applyNumberFormat="1" applyFill="1" applyBorder="1" applyAlignment="1" applyProtection="1">
      <protection locked="0"/>
    </xf>
    <xf numFmtId="49" fontId="0" fillId="2" borderId="7" xfId="0" applyNumberFormat="1" applyFill="1" applyBorder="1" applyAlignment="1" applyProtection="1">
      <protection locked="0"/>
    </xf>
    <xf numFmtId="49" fontId="0" fillId="2" borderId="1" xfId="0" applyNumberFormat="1" applyFill="1" applyBorder="1" applyAlignment="1" applyProtection="1">
      <protection locked="0"/>
    </xf>
    <xf numFmtId="10" fontId="18" fillId="0" borderId="2" xfId="3" applyNumberFormat="1" applyBorder="1" applyAlignment="1">
      <alignment horizontal="right"/>
    </xf>
    <xf numFmtId="0" fontId="7" fillId="0" borderId="0" xfId="43"/>
    <xf numFmtId="0" fontId="7" fillId="0" borderId="0" xfId="43" applyBorder="1"/>
    <xf numFmtId="3" fontId="7" fillId="0" borderId="2" xfId="43" applyNumberFormat="1" applyBorder="1" applyAlignment="1">
      <alignment horizontal="right"/>
    </xf>
    <xf numFmtId="0" fontId="7" fillId="0" borderId="0" xfId="43" applyFont="1"/>
    <xf numFmtId="0" fontId="7" fillId="0" borderId="0" xfId="43" applyFont="1" applyFill="1"/>
    <xf numFmtId="0" fontId="26" fillId="0" borderId="0" xfId="43" applyFont="1"/>
    <xf numFmtId="49" fontId="19" fillId="2" borderId="4" xfId="2" applyNumberFormat="1" applyFill="1" applyBorder="1" applyAlignment="1" applyProtection="1">
      <protection locked="0"/>
    </xf>
    <xf numFmtId="49" fontId="19" fillId="2" borderId="5" xfId="2" applyNumberFormat="1" applyFill="1" applyBorder="1" applyAlignment="1" applyProtection="1">
      <protection locked="0"/>
    </xf>
    <xf numFmtId="49" fontId="19" fillId="2" borderId="6" xfId="2" applyNumberFormat="1" applyFill="1" applyBorder="1" applyAlignment="1" applyProtection="1">
      <protection locked="0"/>
    </xf>
    <xf numFmtId="49" fontId="19" fillId="2" borderId="7" xfId="2" applyNumberFormat="1" applyFill="1" applyBorder="1" applyAlignment="1" applyProtection="1">
      <protection locked="0"/>
    </xf>
    <xf numFmtId="49" fontId="19" fillId="2" borderId="1" xfId="2" applyNumberFormat="1" applyFill="1" applyBorder="1" applyAlignment="1" applyProtection="1">
      <protection locked="0"/>
    </xf>
    <xf numFmtId="49" fontId="8" fillId="2" borderId="4" xfId="31" applyNumberFormat="1" applyFill="1" applyBorder="1" applyAlignment="1" applyProtection="1">
      <protection locked="0"/>
    </xf>
    <xf numFmtId="49" fontId="8" fillId="2" borderId="5" xfId="31" applyNumberFormat="1" applyFill="1" applyBorder="1" applyAlignment="1" applyProtection="1">
      <protection locked="0"/>
    </xf>
    <xf numFmtId="49" fontId="8" fillId="2" borderId="6" xfId="31" applyNumberFormat="1" applyFill="1" applyBorder="1" applyAlignment="1" applyProtection="1">
      <protection locked="0"/>
    </xf>
    <xf numFmtId="49" fontId="22" fillId="2" borderId="4" xfId="31" applyNumberFormat="1" applyFont="1" applyFill="1" applyBorder="1" applyAlignment="1" applyProtection="1">
      <protection locked="0"/>
    </xf>
    <xf numFmtId="49" fontId="22" fillId="2" borderId="5" xfId="31" applyNumberFormat="1" applyFont="1" applyFill="1" applyBorder="1" applyAlignment="1" applyProtection="1">
      <protection locked="0"/>
    </xf>
    <xf numFmtId="49" fontId="22" fillId="2" borderId="6" xfId="31" applyNumberFormat="1" applyFont="1" applyFill="1" applyBorder="1" applyAlignment="1" applyProtection="1">
      <protection locked="0"/>
    </xf>
    <xf numFmtId="49" fontId="8" fillId="2" borderId="7" xfId="31" applyNumberFormat="1" applyFill="1" applyBorder="1" applyAlignment="1" applyProtection="1">
      <protection locked="0"/>
    </xf>
    <xf numFmtId="49" fontId="8" fillId="2" borderId="1" xfId="31" applyNumberFormat="1" applyFill="1" applyBorder="1" applyAlignment="1" applyProtection="1">
      <protection locked="0"/>
    </xf>
    <xf numFmtId="49" fontId="0" fillId="0" borderId="0" xfId="0" applyNumberFormat="1" applyFill="1" applyBorder="1" applyAlignment="1" applyProtection="1">
      <protection locked="0"/>
    </xf>
    <xf numFmtId="49" fontId="19" fillId="0" borderId="0" xfId="0" applyNumberFormat="1" applyFont="1" applyFill="1" applyBorder="1" applyAlignment="1" applyProtection="1">
      <protection locked="0"/>
    </xf>
    <xf numFmtId="49" fontId="22" fillId="0" borderId="0" xfId="0" applyNumberFormat="1" applyFont="1" applyFill="1" applyBorder="1" applyAlignment="1" applyProtection="1">
      <protection locked="0"/>
    </xf>
    <xf numFmtId="49" fontId="28" fillId="2" borderId="4" xfId="2" applyNumberFormat="1" applyFont="1" applyFill="1" applyBorder="1" applyAlignment="1" applyProtection="1">
      <protection locked="0"/>
    </xf>
    <xf numFmtId="49" fontId="28" fillId="2" borderId="5" xfId="2" applyNumberFormat="1" applyFont="1" applyFill="1" applyBorder="1" applyAlignment="1" applyProtection="1">
      <protection locked="0"/>
    </xf>
    <xf numFmtId="49" fontId="28" fillId="2" borderId="6" xfId="2" applyNumberFormat="1" applyFont="1" applyFill="1" applyBorder="1" applyAlignment="1" applyProtection="1">
      <protection locked="0"/>
    </xf>
    <xf numFmtId="0" fontId="20" fillId="0" borderId="0" xfId="2" applyFont="1" applyAlignment="1">
      <alignment horizontal="center"/>
    </xf>
    <xf numFmtId="49" fontId="19" fillId="2" borderId="4" xfId="2" applyNumberFormat="1" applyFont="1" applyFill="1" applyBorder="1" applyAlignment="1" applyProtection="1">
      <protection locked="0"/>
    </xf>
    <xf numFmtId="49" fontId="19" fillId="2" borderId="5" xfId="2" applyNumberFormat="1" applyFont="1" applyFill="1" applyBorder="1" applyAlignment="1" applyProtection="1">
      <protection locked="0"/>
    </xf>
    <xf numFmtId="49" fontId="19" fillId="2" borderId="6" xfId="2" applyNumberFormat="1" applyFont="1" applyFill="1" applyBorder="1" applyAlignment="1" applyProtection="1">
      <protection locked="0"/>
    </xf>
    <xf numFmtId="49" fontId="19" fillId="2" borderId="4" xfId="31" applyNumberFormat="1" applyFont="1" applyFill="1" applyBorder="1" applyAlignment="1" applyProtection="1">
      <protection locked="0"/>
    </xf>
    <xf numFmtId="49" fontId="19" fillId="2" borderId="4" xfId="23" applyNumberFormat="1" applyFont="1" applyFill="1" applyBorder="1" applyAlignment="1" applyProtection="1">
      <protection locked="0"/>
    </xf>
    <xf numFmtId="49" fontId="19" fillId="2" borderId="5" xfId="23" applyNumberFormat="1" applyFont="1" applyFill="1" applyBorder="1" applyAlignment="1" applyProtection="1">
      <protection locked="0"/>
    </xf>
    <xf numFmtId="49" fontId="19" fillId="2" borderId="6" xfId="23" applyNumberFormat="1" applyFont="1" applyFill="1" applyBorder="1" applyAlignment="1" applyProtection="1">
      <protection locked="0"/>
    </xf>
    <xf numFmtId="3" fontId="28" fillId="2" borderId="0" xfId="2" applyNumberFormat="1" applyFont="1" applyFill="1" applyBorder="1" applyProtection="1">
      <protection locked="0"/>
    </xf>
    <xf numFmtId="164" fontId="28" fillId="2" borderId="0" xfId="2" applyNumberFormat="1" applyFont="1" applyFill="1" applyBorder="1" applyProtection="1">
      <protection locked="0"/>
    </xf>
    <xf numFmtId="49" fontId="28" fillId="10" borderId="0" xfId="2" applyNumberFormat="1" applyFont="1" applyFill="1" applyBorder="1" applyAlignment="1" applyProtection="1">
      <protection locked="0"/>
    </xf>
    <xf numFmtId="3" fontId="28" fillId="10" borderId="0" xfId="2" applyNumberFormat="1" applyFont="1" applyFill="1" applyBorder="1" applyProtection="1">
      <protection locked="0"/>
    </xf>
    <xf numFmtId="164" fontId="28" fillId="10" borderId="0" xfId="2" applyNumberFormat="1" applyFont="1" applyFill="1" applyBorder="1" applyProtection="1">
      <protection locked="0"/>
    </xf>
    <xf numFmtId="164" fontId="28" fillId="2" borderId="14" xfId="2" applyNumberFormat="1" applyFont="1" applyFill="1" applyBorder="1" applyProtection="1">
      <protection locked="0"/>
    </xf>
    <xf numFmtId="164" fontId="28" fillId="0" borderId="10" xfId="2" applyNumberFormat="1" applyFont="1" applyFill="1" applyBorder="1"/>
    <xf numFmtId="0" fontId="23" fillId="10" borderId="0" xfId="2" applyFont="1" applyFill="1" applyBorder="1" applyAlignment="1">
      <alignment horizontal="right"/>
    </xf>
    <xf numFmtId="0" fontId="28" fillId="10" borderId="0" xfId="2" applyFont="1" applyFill="1" applyBorder="1"/>
    <xf numFmtId="164" fontId="28" fillId="10" borderId="0" xfId="2" applyNumberFormat="1" applyFont="1" applyFill="1" applyBorder="1"/>
    <xf numFmtId="164" fontId="28" fillId="2" borderId="0" xfId="2" applyNumberFormat="1" applyFont="1" applyFill="1" applyBorder="1"/>
    <xf numFmtId="0" fontId="18" fillId="10" borderId="0" xfId="3" applyFill="1" applyBorder="1"/>
    <xf numFmtId="0" fontId="18" fillId="10" borderId="0" xfId="3" applyFill="1"/>
    <xf numFmtId="167" fontId="19" fillId="2" borderId="2" xfId="23" applyNumberFormat="1" applyFont="1" applyFill="1" applyBorder="1" applyProtection="1">
      <protection locked="0"/>
    </xf>
    <xf numFmtId="3" fontId="18" fillId="10" borderId="2" xfId="3" applyNumberFormat="1" applyFill="1" applyBorder="1" applyAlignment="1">
      <alignment horizontal="right"/>
    </xf>
    <xf numFmtId="10" fontId="18" fillId="10" borderId="2" xfId="3" applyNumberFormat="1" applyFill="1" applyBorder="1" applyAlignment="1">
      <alignment horizontal="right"/>
    </xf>
    <xf numFmtId="166" fontId="0" fillId="10" borderId="2" xfId="5" applyNumberFormat="1" applyFont="1" applyFill="1" applyBorder="1"/>
    <xf numFmtId="10" fontId="0" fillId="10" borderId="2" xfId="6" applyNumberFormat="1" applyFont="1" applyFill="1" applyBorder="1"/>
    <xf numFmtId="0" fontId="69" fillId="0" borderId="0" xfId="43" applyFont="1" applyBorder="1"/>
    <xf numFmtId="0" fontId="69" fillId="0" borderId="0" xfId="43" applyFont="1"/>
    <xf numFmtId="0" fontId="5" fillId="0" borderId="0" xfId="3" applyFont="1"/>
    <xf numFmtId="0" fontId="5" fillId="0" borderId="0" xfId="3" applyFont="1" applyAlignment="1">
      <alignment horizontal="center" wrapText="1"/>
    </xf>
    <xf numFmtId="43" fontId="0" fillId="0" borderId="0" xfId="0" applyNumberFormat="1"/>
    <xf numFmtId="172" fontId="0" fillId="0" borderId="0" xfId="0" applyNumberFormat="1"/>
    <xf numFmtId="2" fontId="0" fillId="0" borderId="0" xfId="0" applyNumberFormat="1"/>
    <xf numFmtId="4" fontId="66" fillId="0" borderId="17" xfId="0" applyNumberFormat="1" applyFont="1" applyFill="1" applyBorder="1" applyAlignment="1" applyProtection="1">
      <alignment horizontal="right" wrapText="1"/>
    </xf>
    <xf numFmtId="44" fontId="0" fillId="0" borderId="2" xfId="0" applyNumberFormat="1" applyFont="1" applyBorder="1"/>
    <xf numFmtId="43" fontId="18" fillId="0" borderId="0" xfId="19" applyFont="1" applyAlignment="1">
      <alignment horizontal="center" wrapText="1"/>
    </xf>
    <xf numFmtId="43" fontId="18" fillId="0" borderId="0" xfId="19" applyFont="1"/>
    <xf numFmtId="11" fontId="5" fillId="0" borderId="0" xfId="9" applyNumberFormat="1" applyFont="1" applyFill="1" applyBorder="1" applyAlignment="1" applyProtection="1"/>
    <xf numFmtId="170" fontId="5" fillId="0" borderId="2" xfId="9" applyNumberFormat="1" applyFont="1" applyBorder="1" applyAlignment="1">
      <alignment horizontal="center" wrapText="1"/>
    </xf>
    <xf numFmtId="11" fontId="40" fillId="0" borderId="2" xfId="0" applyNumberFormat="1" applyFont="1" applyFill="1" applyBorder="1" applyAlignment="1" applyProtection="1">
      <alignment horizontal="center"/>
    </xf>
    <xf numFmtId="1" fontId="40" fillId="0" borderId="2" xfId="0" applyNumberFormat="1" applyFont="1" applyFill="1" applyBorder="1" applyAlignment="1" applyProtection="1"/>
    <xf numFmtId="170" fontId="40" fillId="0" borderId="2" xfId="0" applyNumberFormat="1" applyFont="1" applyBorder="1" applyAlignment="1">
      <alignment horizontal="center"/>
    </xf>
    <xf numFmtId="170" fontId="40" fillId="0" borderId="4" xfId="0" applyNumberFormat="1" applyFont="1" applyBorder="1" applyAlignment="1">
      <alignment horizontal="center"/>
    </xf>
    <xf numFmtId="11" fontId="0" fillId="0" borderId="2" xfId="0" applyNumberFormat="1" applyFont="1" applyFill="1" applyBorder="1" applyAlignment="1" applyProtection="1"/>
    <xf numFmtId="0" fontId="0" fillId="0" borderId="2" xfId="0" applyFont="1" applyBorder="1"/>
    <xf numFmtId="173" fontId="78" fillId="0" borderId="2" xfId="0" applyNumberFormat="1" applyFont="1" applyFill="1" applyBorder="1" applyAlignment="1">
      <alignment horizontal="center"/>
    </xf>
    <xf numFmtId="11" fontId="0" fillId="0" borderId="9" xfId="0" applyNumberFormat="1" applyFont="1" applyFill="1" applyBorder="1" applyAlignment="1" applyProtection="1"/>
    <xf numFmtId="3" fontId="0" fillId="0" borderId="2" xfId="0" applyNumberFormat="1" applyFont="1" applyBorder="1"/>
    <xf numFmtId="0" fontId="0" fillId="0" borderId="0" xfId="0" applyFont="1" applyBorder="1"/>
    <xf numFmtId="11" fontId="0" fillId="0" borderId="0" xfId="0" applyNumberFormat="1" applyFont="1" applyFill="1" applyBorder="1" applyAlignment="1" applyProtection="1"/>
    <xf numFmtId="0" fontId="23" fillId="0" borderId="0" xfId="0" applyFont="1"/>
    <xf numFmtId="3" fontId="29" fillId="0" borderId="0" xfId="0" applyNumberFormat="1" applyFont="1" applyBorder="1" applyAlignment="1">
      <alignment horizontal="center" wrapText="1"/>
    </xf>
    <xf numFmtId="10" fontId="30" fillId="0" borderId="0" xfId="0" applyNumberFormat="1" applyFont="1" applyBorder="1" applyAlignment="1">
      <alignment horizontal="center" wrapText="1"/>
    </xf>
    <xf numFmtId="168" fontId="29" fillId="0" borderId="0" xfId="0" applyNumberFormat="1" applyFont="1" applyBorder="1" applyAlignment="1">
      <alignment horizontal="center" wrapText="1"/>
    </xf>
    <xf numFmtId="0" fontId="28" fillId="0" borderId="0" xfId="0" applyFont="1"/>
    <xf numFmtId="172" fontId="28" fillId="0" borderId="0" xfId="19" applyNumberFormat="1" applyFont="1"/>
    <xf numFmtId="168" fontId="65" fillId="0" borderId="0" xfId="20" applyNumberFormat="1" applyFont="1" applyBorder="1" applyAlignment="1"/>
    <xf numFmtId="10" fontId="0" fillId="0" borderId="0" xfId="0" applyNumberFormat="1"/>
    <xf numFmtId="167" fontId="0" fillId="0" borderId="0" xfId="0" applyNumberFormat="1" applyBorder="1"/>
    <xf numFmtId="0" fontId="28" fillId="0" borderId="0" xfId="0" applyFont="1" applyFill="1"/>
    <xf numFmtId="172" fontId="28" fillId="0" borderId="0" xfId="19" applyNumberFormat="1" applyFont="1" applyFill="1"/>
    <xf numFmtId="1" fontId="28" fillId="0" borderId="0" xfId="19" applyNumberFormat="1" applyFont="1" applyFill="1"/>
    <xf numFmtId="43" fontId="28" fillId="0" borderId="0" xfId="19" applyFont="1" applyFill="1"/>
    <xf numFmtId="43" fontId="79" fillId="0" borderId="0" xfId="19" applyFont="1" applyFill="1" applyBorder="1" applyAlignment="1" applyProtection="1"/>
    <xf numFmtId="0" fontId="29" fillId="0" borderId="0" xfId="0" applyNumberFormat="1" applyFont="1" applyAlignment="1"/>
    <xf numFmtId="3" fontId="0" fillId="0" borderId="0" xfId="0" applyNumberFormat="1"/>
    <xf numFmtId="10" fontId="65" fillId="0" borderId="0" xfId="0" applyNumberFormat="1" applyFont="1" applyBorder="1" applyAlignment="1"/>
    <xf numFmtId="0" fontId="29" fillId="0" borderId="0" xfId="0" applyNumberFormat="1" applyFont="1" applyBorder="1" applyAlignment="1"/>
    <xf numFmtId="168" fontId="65" fillId="0" borderId="5" xfId="20" applyNumberFormat="1" applyFont="1" applyBorder="1" applyAlignment="1"/>
    <xf numFmtId="168" fontId="29" fillId="0" borderId="12" xfId="0" applyNumberFormat="1" applyFont="1" applyBorder="1" applyAlignment="1"/>
    <xf numFmtId="167" fontId="0" fillId="0" borderId="12" xfId="0" applyNumberFormat="1" applyBorder="1"/>
    <xf numFmtId="167" fontId="0" fillId="0" borderId="0" xfId="20" applyNumberFormat="1" applyFont="1"/>
    <xf numFmtId="167" fontId="18" fillId="0" borderId="0" xfId="20" applyNumberFormat="1" applyFont="1"/>
    <xf numFmtId="167" fontId="18" fillId="0" borderId="0" xfId="20" applyNumberFormat="1" applyFont="1" applyFill="1"/>
    <xf numFmtId="167" fontId="18" fillId="0" borderId="12" xfId="20" applyNumberFormat="1" applyFont="1" applyBorder="1"/>
    <xf numFmtId="167" fontId="18" fillId="0" borderId="12" xfId="3" applyNumberFormat="1" applyBorder="1"/>
    <xf numFmtId="167" fontId="5" fillId="0" borderId="0" xfId="20" applyNumberFormat="1" applyFont="1"/>
    <xf numFmtId="3" fontId="20" fillId="5" borderId="9" xfId="21" applyNumberFormat="1" applyFont="1" applyFill="1" applyBorder="1"/>
    <xf numFmtId="168" fontId="20" fillId="5" borderId="9" xfId="20" applyNumberFormat="1" applyFont="1" applyFill="1" applyBorder="1"/>
    <xf numFmtId="168" fontId="20" fillId="5" borderId="2" xfId="20" applyNumberFormat="1" applyFont="1" applyFill="1" applyBorder="1"/>
    <xf numFmtId="10" fontId="5" fillId="0" borderId="2" xfId="9" applyNumberFormat="1" applyFont="1" applyBorder="1" applyAlignment="1">
      <alignment horizontal="center" wrapText="1"/>
    </xf>
    <xf numFmtId="9" fontId="18" fillId="0" borderId="0" xfId="3" applyNumberFormat="1"/>
    <xf numFmtId="0" fontId="18" fillId="0" borderId="0" xfId="3" applyFill="1" applyBorder="1"/>
    <xf numFmtId="0" fontId="7" fillId="0" borderId="0" xfId="3" applyFont="1" applyFill="1"/>
    <xf numFmtId="3" fontId="18" fillId="0" borderId="2" xfId="3" applyNumberFormat="1" applyFill="1" applyBorder="1" applyAlignment="1">
      <alignment horizontal="right"/>
    </xf>
    <xf numFmtId="10" fontId="18" fillId="0" borderId="2" xfId="3" applyNumberFormat="1" applyFill="1" applyBorder="1" applyAlignment="1">
      <alignment horizontal="right"/>
    </xf>
    <xf numFmtId="10" fontId="0" fillId="0" borderId="2" xfId="6" applyNumberFormat="1" applyFont="1" applyFill="1" applyBorder="1"/>
    <xf numFmtId="0" fontId="27" fillId="0" borderId="0" xfId="28" applyNumberFormat="1" applyFont="1" applyAlignment="1">
      <alignment wrapText="1"/>
    </xf>
    <xf numFmtId="164" fontId="80" fillId="0" borderId="0" xfId="0" applyNumberFormat="1" applyFont="1"/>
    <xf numFmtId="0" fontId="81" fillId="0" borderId="0" xfId="28" applyNumberFormat="1" applyFont="1" applyAlignment="1"/>
    <xf numFmtId="0" fontId="18" fillId="0" borderId="12" xfId="3" applyBorder="1"/>
    <xf numFmtId="6" fontId="18" fillId="0" borderId="12" xfId="3" applyNumberFormat="1" applyBorder="1"/>
    <xf numFmtId="0" fontId="18" fillId="0" borderId="1" xfId="3" applyBorder="1" applyAlignment="1"/>
    <xf numFmtId="0" fontId="3" fillId="0" borderId="0" xfId="49"/>
    <xf numFmtId="168" fontId="0" fillId="0" borderId="0" xfId="50" applyNumberFormat="1" applyFont="1"/>
    <xf numFmtId="9" fontId="3" fillId="0" borderId="0" xfId="49" applyNumberFormat="1"/>
    <xf numFmtId="3" fontId="3" fillId="0" borderId="0" xfId="49" applyNumberFormat="1"/>
    <xf numFmtId="0" fontId="3" fillId="0" borderId="0" xfId="49" applyAlignment="1">
      <alignment horizontal="center" wrapText="1"/>
    </xf>
    <xf numFmtId="166" fontId="19" fillId="0" borderId="2" xfId="5" applyNumberFormat="1" applyFont="1" applyBorder="1" applyAlignment="1">
      <alignment horizontal="right"/>
    </xf>
    <xf numFmtId="166" fontId="0" fillId="0" borderId="2" xfId="5" applyNumberFormat="1" applyFont="1" applyBorder="1" applyAlignment="1">
      <alignment horizontal="right"/>
    </xf>
    <xf numFmtId="0" fontId="3" fillId="0" borderId="0" xfId="49" applyFill="1"/>
    <xf numFmtId="3" fontId="3" fillId="0" borderId="0" xfId="49" applyNumberFormat="1" applyFill="1"/>
    <xf numFmtId="9" fontId="3" fillId="0" borderId="0" xfId="49" applyNumberFormat="1" applyFill="1"/>
    <xf numFmtId="168" fontId="0" fillId="0" borderId="0" xfId="50" applyNumberFormat="1" applyFont="1" applyFill="1"/>
    <xf numFmtId="0" fontId="3" fillId="0" borderId="2" xfId="3" applyFont="1" applyBorder="1" applyAlignment="1">
      <alignment wrapText="1"/>
    </xf>
    <xf numFmtId="43" fontId="0" fillId="0" borderId="2" xfId="5" applyNumberFormat="1" applyFont="1" applyBorder="1"/>
    <xf numFmtId="169" fontId="18" fillId="0" borderId="0" xfId="3" applyNumberFormat="1"/>
    <xf numFmtId="0" fontId="67" fillId="14" borderId="2" xfId="3" applyFont="1" applyFill="1" applyBorder="1" applyAlignment="1">
      <alignment horizontal="center" vertical="center" wrapText="1"/>
    </xf>
    <xf numFmtId="3" fontId="42" fillId="14" borderId="2" xfId="3" applyNumberFormat="1" applyFont="1" applyFill="1" applyBorder="1"/>
    <xf numFmtId="3" fontId="66" fillId="14" borderId="2" xfId="3" applyNumberFormat="1" applyFont="1" applyFill="1" applyBorder="1"/>
    <xf numFmtId="166" fontId="66" fillId="14" borderId="2" xfId="19" applyNumberFormat="1" applyFont="1" applyFill="1" applyBorder="1"/>
    <xf numFmtId="0" fontId="3" fillId="14" borderId="0" xfId="49" applyFill="1"/>
    <xf numFmtId="3" fontId="3" fillId="14" borderId="0" xfId="49" applyNumberFormat="1" applyFill="1"/>
    <xf numFmtId="9" fontId="3" fillId="14" borderId="0" xfId="49" applyNumberFormat="1" applyFill="1"/>
    <xf numFmtId="168" fontId="0" fillId="14" borderId="0" xfId="50" applyNumberFormat="1" applyFont="1" applyFill="1"/>
    <xf numFmtId="10" fontId="66" fillId="0" borderId="2" xfId="6" applyNumberFormat="1" applyFont="1" applyBorder="1"/>
    <xf numFmtId="10" fontId="66" fillId="14" borderId="2" xfId="6" applyNumberFormat="1" applyFont="1" applyFill="1" applyBorder="1"/>
    <xf numFmtId="3" fontId="3" fillId="0" borderId="12" xfId="49" applyNumberFormat="1" applyBorder="1"/>
    <xf numFmtId="9" fontId="3" fillId="0" borderId="12" xfId="49" applyNumberFormat="1" applyBorder="1"/>
    <xf numFmtId="0" fontId="3" fillId="0" borderId="12" xfId="49" applyBorder="1"/>
    <xf numFmtId="168" fontId="0" fillId="0" borderId="12" xfId="50" applyNumberFormat="1" applyFont="1" applyBorder="1"/>
    <xf numFmtId="166" fontId="67" fillId="0" borderId="2" xfId="19" applyNumberFormat="1" applyFont="1" applyBorder="1"/>
    <xf numFmtId="168" fontId="67" fillId="0" borderId="2" xfId="8" applyNumberFormat="1" applyFont="1" applyBorder="1"/>
    <xf numFmtId="169" fontId="67" fillId="0" borderId="2" xfId="6" applyNumberFormat="1" applyFont="1" applyBorder="1"/>
    <xf numFmtId="0" fontId="4" fillId="0" borderId="0" xfId="3" applyFont="1" applyAlignment="1"/>
    <xf numFmtId="0" fontId="18" fillId="0" borderId="0" xfId="3" applyAlignment="1"/>
    <xf numFmtId="167" fontId="18" fillId="0" borderId="0" xfId="3" applyNumberFormat="1" applyAlignment="1"/>
    <xf numFmtId="9" fontId="0" fillId="0" borderId="0" xfId="6" applyFont="1" applyAlignment="1"/>
    <xf numFmtId="5" fontId="18" fillId="0" borderId="0" xfId="3" applyNumberFormat="1" applyAlignment="1"/>
    <xf numFmtId="167" fontId="0" fillId="0" borderId="0" xfId="8" applyNumberFormat="1" applyFont="1" applyAlignment="1"/>
    <xf numFmtId="0" fontId="2" fillId="0" borderId="2" xfId="3" applyFont="1" applyBorder="1"/>
    <xf numFmtId="10" fontId="26" fillId="0" borderId="2" xfId="3" applyNumberFormat="1" applyFont="1" applyBorder="1"/>
    <xf numFmtId="0" fontId="27" fillId="0" borderId="0" xfId="28" applyNumberFormat="1" applyFont="1" applyAlignment="1">
      <alignment horizontal="center" wrapText="1"/>
    </xf>
    <xf numFmtId="0" fontId="4" fillId="0" borderId="1" xfId="3" applyFont="1" applyBorder="1" applyAlignment="1">
      <alignment horizontal="center" wrapText="1"/>
    </xf>
    <xf numFmtId="0" fontId="26" fillId="0" borderId="1" xfId="3" applyFont="1" applyBorder="1" applyAlignment="1">
      <alignment horizontal="center"/>
    </xf>
    <xf numFmtId="0" fontId="26" fillId="0" borderId="0" xfId="3" applyFont="1" applyAlignment="1">
      <alignment horizontal="left"/>
    </xf>
    <xf numFmtId="0" fontId="2" fillId="0" borderId="0" xfId="3" applyFont="1" applyAlignment="1">
      <alignment horizontal="left" wrapText="1"/>
    </xf>
    <xf numFmtId="49" fontId="63" fillId="0" borderId="0" xfId="21" applyNumberFormat="1" applyFont="1" applyFill="1" applyBorder="1" applyAlignment="1">
      <alignment horizontal="center"/>
    </xf>
    <xf numFmtId="49" fontId="22" fillId="2" borderId="4" xfId="0" applyNumberFormat="1" applyFont="1" applyFill="1" applyBorder="1" applyAlignment="1" applyProtection="1">
      <protection locked="0"/>
    </xf>
    <xf numFmtId="49" fontId="22" fillId="2" borderId="5" xfId="0" applyNumberFormat="1" applyFont="1" applyFill="1" applyBorder="1" applyAlignment="1" applyProtection="1">
      <protection locked="0"/>
    </xf>
    <xf numFmtId="49" fontId="22" fillId="2" borderId="6" xfId="0" applyNumberFormat="1" applyFont="1" applyFill="1" applyBorder="1" applyAlignment="1" applyProtection="1">
      <protection locked="0"/>
    </xf>
    <xf numFmtId="49" fontId="19" fillId="0" borderId="0" xfId="21" applyNumberFormat="1" applyFont="1" applyFill="1" applyBorder="1" applyAlignment="1" applyProtection="1">
      <protection locked="0"/>
    </xf>
    <xf numFmtId="49" fontId="19" fillId="0" borderId="16" xfId="21" applyNumberFormat="1" applyFont="1" applyFill="1" applyBorder="1" applyAlignment="1" applyProtection="1">
      <protection locked="0"/>
    </xf>
    <xf numFmtId="49" fontId="22" fillId="2" borderId="4" xfId="2" applyNumberFormat="1" applyFont="1" applyFill="1" applyBorder="1" applyAlignment="1" applyProtection="1">
      <protection locked="0"/>
    </xf>
    <xf numFmtId="49" fontId="22" fillId="2" borderId="5" xfId="2" applyNumberFormat="1" applyFont="1" applyFill="1" applyBorder="1" applyAlignment="1" applyProtection="1">
      <protection locked="0"/>
    </xf>
    <xf numFmtId="49" fontId="22" fillId="2" borderId="6" xfId="2" applyNumberFormat="1" applyFont="1" applyFill="1" applyBorder="1" applyAlignment="1" applyProtection="1">
      <protection locked="0"/>
    </xf>
    <xf numFmtId="49" fontId="19" fillId="2" borderId="4" xfId="2" applyNumberFormat="1" applyFill="1" applyBorder="1" applyAlignment="1" applyProtection="1">
      <protection locked="0"/>
    </xf>
    <xf numFmtId="49" fontId="19" fillId="2" borderId="5" xfId="2" applyNumberFormat="1" applyFill="1" applyBorder="1" applyAlignment="1" applyProtection="1">
      <protection locked="0"/>
    </xf>
    <xf numFmtId="49" fontId="19" fillId="2" borderId="6" xfId="2" applyNumberFormat="1" applyFill="1" applyBorder="1" applyAlignment="1" applyProtection="1">
      <protection locked="0"/>
    </xf>
    <xf numFmtId="0" fontId="19" fillId="0" borderId="0" xfId="2" applyFont="1" applyAlignment="1"/>
    <xf numFmtId="0" fontId="20" fillId="0" borderId="1" xfId="2" applyFont="1" applyBorder="1" applyAlignment="1">
      <alignment wrapText="1"/>
    </xf>
    <xf numFmtId="0" fontId="19" fillId="0" borderId="1" xfId="2" applyBorder="1" applyAlignment="1">
      <alignment wrapText="1"/>
    </xf>
    <xf numFmtId="0" fontId="19" fillId="0" borderId="0" xfId="2" applyAlignment="1"/>
    <xf numFmtId="49" fontId="19" fillId="2" borderId="7" xfId="2" applyNumberFormat="1" applyFill="1" applyBorder="1" applyAlignment="1" applyProtection="1">
      <protection locked="0"/>
    </xf>
    <xf numFmtId="49" fontId="19" fillId="2" borderId="1" xfId="2" applyNumberFormat="1" applyFill="1" applyBorder="1" applyAlignment="1" applyProtection="1">
      <protection locked="0"/>
    </xf>
    <xf numFmtId="0" fontId="23" fillId="0" borderId="0" xfId="2" applyFont="1" applyAlignment="1">
      <alignment horizontal="center"/>
    </xf>
    <xf numFmtId="0" fontId="21" fillId="0" borderId="0" xfId="2" applyFont="1" applyAlignment="1">
      <alignment horizontal="center"/>
    </xf>
    <xf numFmtId="49" fontId="19" fillId="4" borderId="4" xfId="2" applyNumberFormat="1" applyFill="1" applyBorder="1" applyAlignment="1" applyProtection="1">
      <alignment shrinkToFit="1"/>
      <protection locked="0"/>
    </xf>
    <xf numFmtId="49" fontId="19" fillId="4" borderId="5" xfId="2" applyNumberFormat="1" applyFill="1" applyBorder="1" applyAlignment="1" applyProtection="1">
      <alignment shrinkToFit="1"/>
      <protection locked="0"/>
    </xf>
    <xf numFmtId="0" fontId="24" fillId="0" borderId="0" xfId="2" applyFont="1" applyFill="1" applyBorder="1" applyAlignment="1">
      <alignment vertical="justify" wrapText="1"/>
    </xf>
    <xf numFmtId="0" fontId="25" fillId="0" borderId="0" xfId="2" applyFont="1" applyAlignment="1">
      <alignment vertical="justify" wrapText="1"/>
    </xf>
    <xf numFmtId="0" fontId="25" fillId="0" borderId="0" xfId="2" applyFont="1" applyAlignment="1"/>
    <xf numFmtId="49" fontId="19" fillId="4" borderId="4" xfId="2" applyNumberFormat="1" applyFont="1" applyFill="1" applyBorder="1" applyAlignment="1" applyProtection="1">
      <alignment shrinkToFit="1"/>
      <protection locked="0"/>
    </xf>
    <xf numFmtId="49" fontId="19" fillId="0" borderId="5" xfId="2" applyNumberFormat="1" applyBorder="1" applyAlignment="1" applyProtection="1">
      <alignment shrinkToFit="1"/>
      <protection locked="0"/>
    </xf>
    <xf numFmtId="49" fontId="19" fillId="0" borderId="6" xfId="2" applyNumberFormat="1" applyBorder="1" applyAlignment="1" applyProtection="1">
      <alignment shrinkToFit="1"/>
      <protection locked="0"/>
    </xf>
    <xf numFmtId="1" fontId="19" fillId="4" borderId="4" xfId="2" quotePrefix="1" applyNumberFormat="1" applyFont="1" applyFill="1" applyBorder="1" applyAlignment="1" applyProtection="1">
      <alignment shrinkToFit="1"/>
      <protection locked="0"/>
    </xf>
    <xf numFmtId="0" fontId="19" fillId="0" borderId="5" xfId="2" applyBorder="1" applyAlignment="1" applyProtection="1">
      <alignment shrinkToFit="1"/>
      <protection locked="0"/>
    </xf>
    <xf numFmtId="0" fontId="19" fillId="0" borderId="6" xfId="2" applyBorder="1" applyAlignment="1" applyProtection="1">
      <alignment shrinkToFit="1"/>
      <protection locked="0"/>
    </xf>
    <xf numFmtId="3" fontId="19" fillId="4" borderId="4" xfId="2" quotePrefix="1" applyNumberFormat="1" applyFill="1" applyBorder="1" applyAlignment="1" applyProtection="1">
      <alignment shrinkToFit="1"/>
      <protection locked="0"/>
    </xf>
    <xf numFmtId="3" fontId="19" fillId="0" borderId="5" xfId="2" applyNumberFormat="1" applyBorder="1" applyAlignment="1" applyProtection="1">
      <alignment shrinkToFit="1"/>
      <protection locked="0"/>
    </xf>
    <xf numFmtId="3" fontId="19" fillId="0" borderId="6" xfId="2" applyNumberFormat="1" applyBorder="1" applyAlignment="1" applyProtection="1">
      <alignment shrinkToFit="1"/>
      <protection locked="0"/>
    </xf>
    <xf numFmtId="165" fontId="19" fillId="4" borderId="4" xfId="2" applyNumberFormat="1" applyFill="1" applyBorder="1" applyAlignment="1" applyProtection="1">
      <alignment shrinkToFit="1"/>
      <protection locked="0"/>
    </xf>
    <xf numFmtId="165" fontId="19" fillId="0" borderId="5" xfId="2" applyNumberFormat="1" applyBorder="1" applyAlignment="1" applyProtection="1">
      <alignment shrinkToFit="1"/>
      <protection locked="0"/>
    </xf>
    <xf numFmtId="165" fontId="19" fillId="0" borderId="6" xfId="2" applyNumberFormat="1" applyBorder="1" applyAlignment="1" applyProtection="1">
      <alignment shrinkToFit="1"/>
      <protection locked="0"/>
    </xf>
    <xf numFmtId="1" fontId="19" fillId="4" borderId="4" xfId="2" quotePrefix="1" applyNumberFormat="1" applyFill="1" applyBorder="1" applyAlignment="1" applyProtection="1">
      <alignment shrinkToFit="1"/>
      <protection locked="0"/>
    </xf>
    <xf numFmtId="3" fontId="19" fillId="4" borderId="4" xfId="2" applyNumberFormat="1" applyFill="1" applyBorder="1" applyAlignment="1" applyProtection="1">
      <alignment shrinkToFit="1"/>
      <protection locked="0"/>
    </xf>
    <xf numFmtId="0" fontId="19" fillId="0" borderId="0" xfId="0" applyFont="1" applyAlignment="1"/>
    <xf numFmtId="49" fontId="0" fillId="2" borderId="4" xfId="0" applyNumberFormat="1" applyFill="1" applyBorder="1" applyAlignment="1" applyProtection="1">
      <protection locked="0"/>
    </xf>
    <xf numFmtId="49" fontId="0" fillId="2" borderId="5" xfId="0" applyNumberFormat="1" applyFill="1" applyBorder="1" applyAlignment="1" applyProtection="1">
      <protection locked="0"/>
    </xf>
    <xf numFmtId="49" fontId="0" fillId="2" borderId="6" xfId="0" applyNumberFormat="1" applyFill="1" applyBorder="1" applyAlignment="1" applyProtection="1">
      <protection locked="0"/>
    </xf>
    <xf numFmtId="0" fontId="20" fillId="0" borderId="1" xfId="0" applyFont="1" applyBorder="1" applyAlignment="1">
      <alignment wrapText="1"/>
    </xf>
    <xf numFmtId="0" fontId="0" fillId="0" borderId="1" xfId="0" applyBorder="1" applyAlignment="1">
      <alignment wrapText="1"/>
    </xf>
    <xf numFmtId="49" fontId="0" fillId="2" borderId="7" xfId="0" applyNumberFormat="1" applyFill="1" applyBorder="1" applyAlignment="1" applyProtection="1">
      <protection locked="0"/>
    </xf>
    <xf numFmtId="49" fontId="0" fillId="2" borderId="1" xfId="0" applyNumberFormat="1" applyFill="1" applyBorder="1" applyAlignment="1" applyProtection="1">
      <protection locked="0"/>
    </xf>
    <xf numFmtId="0" fontId="0" fillId="0" borderId="0" xfId="0" applyAlignment="1"/>
    <xf numFmtId="0" fontId="23" fillId="0" borderId="0" xfId="0" applyFont="1" applyAlignment="1">
      <alignment horizontal="center"/>
    </xf>
    <xf numFmtId="0" fontId="21" fillId="0" borderId="0" xfId="0" applyFont="1" applyAlignment="1">
      <alignment horizontal="center"/>
    </xf>
    <xf numFmtId="49" fontId="0" fillId="4" borderId="4" xfId="0" applyNumberFormat="1" applyFill="1" applyBorder="1" applyAlignment="1" applyProtection="1">
      <alignment shrinkToFit="1"/>
      <protection locked="0"/>
    </xf>
    <xf numFmtId="49" fontId="0" fillId="0" borderId="5" xfId="0" applyNumberFormat="1" applyBorder="1" applyAlignment="1" applyProtection="1">
      <alignment shrinkToFit="1"/>
      <protection locked="0"/>
    </xf>
    <xf numFmtId="49" fontId="0" fillId="0" borderId="6" xfId="0" applyNumberFormat="1" applyBorder="1" applyAlignment="1" applyProtection="1">
      <alignment shrinkToFit="1"/>
      <protection locked="0"/>
    </xf>
    <xf numFmtId="1" fontId="0" fillId="4" borderId="4" xfId="0" applyNumberFormat="1" applyFill="1" applyBorder="1" applyAlignment="1" applyProtection="1">
      <alignment shrinkToFit="1"/>
      <protection locked="0"/>
    </xf>
    <xf numFmtId="0" fontId="0" fillId="0" borderId="5" xfId="0" applyBorder="1" applyAlignment="1" applyProtection="1">
      <alignment shrinkToFit="1"/>
      <protection locked="0"/>
    </xf>
    <xf numFmtId="0" fontId="0" fillId="0" borderId="6" xfId="0" applyBorder="1" applyAlignment="1" applyProtection="1">
      <alignment shrinkToFit="1"/>
      <protection locked="0"/>
    </xf>
    <xf numFmtId="3" fontId="0" fillId="4" borderId="4" xfId="0" applyNumberFormat="1" applyFill="1" applyBorder="1" applyAlignment="1" applyProtection="1">
      <alignment shrinkToFit="1"/>
      <protection locked="0"/>
    </xf>
    <xf numFmtId="3" fontId="0" fillId="0" borderId="5" xfId="0" applyNumberFormat="1" applyBorder="1" applyAlignment="1" applyProtection="1">
      <alignment shrinkToFit="1"/>
      <protection locked="0"/>
    </xf>
    <xf numFmtId="3" fontId="0" fillId="0" borderId="6" xfId="0" applyNumberFormat="1" applyBorder="1" applyAlignment="1" applyProtection="1">
      <alignment shrinkToFit="1"/>
      <protection locked="0"/>
    </xf>
    <xf numFmtId="165" fontId="0" fillId="4" borderId="4" xfId="0" applyNumberFormat="1" applyFill="1" applyBorder="1" applyAlignment="1" applyProtection="1">
      <alignment shrinkToFit="1"/>
      <protection locked="0"/>
    </xf>
    <xf numFmtId="165" fontId="0" fillId="0" borderId="5" xfId="0" applyNumberFormat="1" applyBorder="1" applyAlignment="1" applyProtection="1">
      <alignment shrinkToFit="1"/>
      <protection locked="0"/>
    </xf>
    <xf numFmtId="165" fontId="0" fillId="0" borderId="6" xfId="0" applyNumberFormat="1" applyBorder="1" applyAlignment="1" applyProtection="1">
      <alignment shrinkToFit="1"/>
      <protection locked="0"/>
    </xf>
    <xf numFmtId="49" fontId="0" fillId="4" borderId="5" xfId="0" applyNumberFormat="1" applyFill="1" applyBorder="1" applyAlignment="1" applyProtection="1">
      <alignment shrinkToFit="1"/>
      <protection locked="0"/>
    </xf>
    <xf numFmtId="0" fontId="24" fillId="0" borderId="0" xfId="0" applyFont="1" applyFill="1" applyBorder="1" applyAlignment="1">
      <alignment vertical="justify" wrapText="1"/>
    </xf>
    <xf numFmtId="0" fontId="25" fillId="0" borderId="0" xfId="0" applyFont="1" applyAlignment="1">
      <alignment vertical="justify" wrapText="1"/>
    </xf>
    <xf numFmtId="0" fontId="25" fillId="0" borderId="0" xfId="0" applyFont="1" applyAlignment="1"/>
    <xf numFmtId="0" fontId="19" fillId="0" borderId="1" xfId="2" applyFont="1" applyBorder="1" applyAlignment="1"/>
    <xf numFmtId="0" fontId="57" fillId="5" borderId="4" xfId="31" applyFont="1" applyFill="1" applyBorder="1" applyAlignment="1">
      <alignment horizontal="left" wrapText="1" shrinkToFit="1"/>
    </xf>
    <xf numFmtId="0" fontId="57" fillId="5" borderId="5" xfId="31" applyFont="1" applyFill="1" applyBorder="1" applyAlignment="1">
      <alignment horizontal="left" wrapText="1" shrinkToFit="1"/>
    </xf>
    <xf numFmtId="0" fontId="57" fillId="5" borderId="6" xfId="31" applyFont="1" applyFill="1" applyBorder="1" applyAlignment="1">
      <alignment horizontal="left" wrapText="1" shrinkToFit="1"/>
    </xf>
    <xf numFmtId="49" fontId="56" fillId="4" borderId="4" xfId="17" applyNumberFormat="1" applyFill="1" applyBorder="1" applyAlignment="1" applyProtection="1">
      <alignment shrinkToFit="1"/>
      <protection locked="0"/>
    </xf>
    <xf numFmtId="49" fontId="56" fillId="4" borderId="5" xfId="17" applyNumberFormat="1" applyFill="1" applyBorder="1" applyAlignment="1" applyProtection="1">
      <alignment shrinkToFit="1"/>
      <protection locked="0"/>
    </xf>
    <xf numFmtId="165" fontId="19" fillId="4" borderId="5" xfId="2" applyNumberFormat="1" applyFill="1" applyBorder="1" applyAlignment="1" applyProtection="1">
      <alignment shrinkToFit="1"/>
      <protection locked="0"/>
    </xf>
    <xf numFmtId="165" fontId="19" fillId="4" borderId="6" xfId="2" applyNumberFormat="1" applyFill="1" applyBorder="1" applyAlignment="1" applyProtection="1">
      <alignment shrinkToFit="1"/>
      <protection locked="0"/>
    </xf>
    <xf numFmtId="49" fontId="19" fillId="4" borderId="6" xfId="2" applyNumberFormat="1" applyFill="1" applyBorder="1" applyAlignment="1" applyProtection="1">
      <alignment shrinkToFit="1"/>
      <protection locked="0"/>
    </xf>
    <xf numFmtId="1" fontId="19" fillId="4" borderId="5" xfId="2" quotePrefix="1" applyNumberFormat="1" applyFill="1" applyBorder="1" applyAlignment="1" applyProtection="1">
      <alignment shrinkToFit="1"/>
      <protection locked="0"/>
    </xf>
    <xf numFmtId="1" fontId="19" fillId="4" borderId="6" xfId="2" quotePrefix="1" applyNumberFormat="1" applyFill="1" applyBorder="1" applyAlignment="1" applyProtection="1">
      <alignment shrinkToFit="1"/>
      <protection locked="0"/>
    </xf>
    <xf numFmtId="3" fontId="19" fillId="4" borderId="5" xfId="2" applyNumberFormat="1" applyFill="1" applyBorder="1" applyAlignment="1" applyProtection="1">
      <alignment shrinkToFit="1"/>
      <protection locked="0"/>
    </xf>
    <xf numFmtId="3" fontId="19" fillId="4" borderId="6" xfId="2" applyNumberFormat="1" applyFill="1" applyBorder="1" applyAlignment="1" applyProtection="1">
      <alignment shrinkToFit="1"/>
      <protection locked="0"/>
    </xf>
    <xf numFmtId="49" fontId="58" fillId="2" borderId="4" xfId="0" applyNumberFormat="1" applyFont="1" applyFill="1" applyBorder="1" applyAlignment="1" applyProtection="1">
      <protection locked="0"/>
    </xf>
    <xf numFmtId="49" fontId="58" fillId="2" borderId="5" xfId="0" applyNumberFormat="1" applyFont="1" applyFill="1" applyBorder="1" applyAlignment="1" applyProtection="1">
      <protection locked="0"/>
    </xf>
    <xf numFmtId="49" fontId="58" fillId="2" borderId="6" xfId="0" applyNumberFormat="1" applyFont="1" applyFill="1" applyBorder="1" applyAlignment="1" applyProtection="1">
      <protection locked="0"/>
    </xf>
    <xf numFmtId="49" fontId="19" fillId="2" borderId="4" xfId="0" applyNumberFormat="1" applyFont="1" applyFill="1" applyBorder="1" applyAlignment="1" applyProtection="1">
      <protection locked="0"/>
    </xf>
    <xf numFmtId="49" fontId="19" fillId="4" borderId="4" xfId="0" applyNumberFormat="1" applyFont="1" applyFill="1" applyBorder="1" applyAlignment="1" applyProtection="1">
      <alignment shrinkToFit="1"/>
      <protection locked="0"/>
    </xf>
    <xf numFmtId="1" fontId="0" fillId="4" borderId="4" xfId="0" quotePrefix="1" applyNumberFormat="1" applyFill="1" applyBorder="1" applyAlignment="1" applyProtection="1">
      <alignment shrinkToFit="1"/>
      <protection locked="0"/>
    </xf>
    <xf numFmtId="3" fontId="0" fillId="4" borderId="4" xfId="0" applyNumberFormat="1" applyFill="1" applyBorder="1" applyAlignment="1" applyProtection="1">
      <alignment horizontal="left" shrinkToFit="1"/>
      <protection locked="0"/>
    </xf>
    <xf numFmtId="3" fontId="0" fillId="0" borderId="5" xfId="0" applyNumberFormat="1" applyBorder="1" applyAlignment="1" applyProtection="1">
      <alignment horizontal="left" shrinkToFit="1"/>
      <protection locked="0"/>
    </xf>
    <xf numFmtId="3" fontId="0" fillId="0" borderId="6" xfId="0" applyNumberFormat="1" applyBorder="1" applyAlignment="1" applyProtection="1">
      <alignment horizontal="left" shrinkToFit="1"/>
      <protection locked="0"/>
    </xf>
    <xf numFmtId="165" fontId="19" fillId="4" borderId="4" xfId="2" applyNumberFormat="1" applyFont="1" applyFill="1" applyBorder="1" applyAlignment="1" applyProtection="1">
      <alignment shrinkToFit="1"/>
      <protection locked="0"/>
    </xf>
    <xf numFmtId="49" fontId="42" fillId="11" borderId="4" xfId="31" applyNumberFormat="1" applyFont="1" applyFill="1" applyBorder="1" applyAlignment="1" applyProtection="1">
      <protection locked="0"/>
    </xf>
    <xf numFmtId="49" fontId="42" fillId="11" borderId="5" xfId="31" applyNumberFormat="1" applyFont="1" applyFill="1" applyBorder="1" applyAlignment="1" applyProtection="1">
      <protection locked="0"/>
    </xf>
    <xf numFmtId="49" fontId="42" fillId="11" borderId="6" xfId="31" applyNumberFormat="1" applyFont="1" applyFill="1" applyBorder="1" applyAlignment="1" applyProtection="1">
      <protection locked="0"/>
    </xf>
    <xf numFmtId="49" fontId="19" fillId="11" borderId="4" xfId="31" applyNumberFormat="1" applyFont="1" applyFill="1" applyBorder="1" applyAlignment="1" applyProtection="1">
      <protection locked="0"/>
    </xf>
    <xf numFmtId="49" fontId="19" fillId="11" borderId="5" xfId="31" applyNumberFormat="1" applyFont="1" applyFill="1" applyBorder="1" applyAlignment="1" applyProtection="1">
      <protection locked="0"/>
    </xf>
    <xf numFmtId="49" fontId="19" fillId="11" borderId="6" xfId="31" applyNumberFormat="1" applyFont="1" applyFill="1" applyBorder="1" applyAlignment="1" applyProtection="1">
      <protection locked="0"/>
    </xf>
    <xf numFmtId="0" fontId="19" fillId="0" borderId="0" xfId="31" applyFont="1" applyAlignment="1"/>
    <xf numFmtId="49" fontId="42" fillId="10" borderId="4" xfId="31" applyNumberFormat="1" applyFont="1" applyFill="1" applyBorder="1" applyAlignment="1" applyProtection="1">
      <protection locked="0"/>
    </xf>
    <xf numFmtId="49" fontId="42" fillId="10" borderId="5" xfId="31" applyNumberFormat="1" applyFont="1" applyFill="1" applyBorder="1" applyAlignment="1" applyProtection="1">
      <protection locked="0"/>
    </xf>
    <xf numFmtId="49" fontId="42" fillId="10" borderId="6" xfId="31" applyNumberFormat="1" applyFont="1" applyFill="1" applyBorder="1" applyAlignment="1" applyProtection="1">
      <protection locked="0"/>
    </xf>
    <xf numFmtId="0" fontId="42" fillId="0" borderId="0" xfId="31" applyFont="1" applyAlignment="1"/>
    <xf numFmtId="0" fontId="20" fillId="0" borderId="1" xfId="31" applyFont="1" applyBorder="1" applyAlignment="1">
      <alignment wrapText="1"/>
    </xf>
    <xf numFmtId="0" fontId="42" fillId="0" borderId="1" xfId="31" applyFont="1" applyBorder="1" applyAlignment="1">
      <alignment wrapText="1"/>
    </xf>
    <xf numFmtId="49" fontId="42" fillId="10" borderId="7" xfId="31" applyNumberFormat="1" applyFont="1" applyFill="1" applyBorder="1" applyAlignment="1" applyProtection="1">
      <protection locked="0"/>
    </xf>
    <xf numFmtId="49" fontId="42" fillId="10" borderId="1" xfId="31" applyNumberFormat="1" applyFont="1" applyFill="1" applyBorder="1" applyAlignment="1" applyProtection="1">
      <protection locked="0"/>
    </xf>
    <xf numFmtId="0" fontId="20" fillId="0" borderId="0" xfId="31" applyFont="1" applyAlignment="1">
      <alignment horizontal="center"/>
    </xf>
    <xf numFmtId="0" fontId="21" fillId="0" borderId="0" xfId="31" applyFont="1" applyAlignment="1">
      <alignment horizontal="center"/>
    </xf>
    <xf numFmtId="49" fontId="42" fillId="10" borderId="4" xfId="31" applyNumberFormat="1" applyFont="1" applyFill="1" applyBorder="1" applyAlignment="1" applyProtection="1">
      <alignment shrinkToFit="1"/>
      <protection locked="0"/>
    </xf>
    <xf numFmtId="49" fontId="42" fillId="10" borderId="5" xfId="31" applyNumberFormat="1" applyFont="1" applyFill="1" applyBorder="1" applyAlignment="1" applyProtection="1">
      <alignment shrinkToFit="1"/>
      <protection locked="0"/>
    </xf>
    <xf numFmtId="49" fontId="42" fillId="10" borderId="6" xfId="31" applyNumberFormat="1" applyFont="1" applyFill="1" applyBorder="1" applyAlignment="1" applyProtection="1">
      <alignment shrinkToFit="1"/>
      <protection locked="0"/>
    </xf>
    <xf numFmtId="1" fontId="42" fillId="10" borderId="4" xfId="31" quotePrefix="1" applyNumberFormat="1" applyFont="1" applyFill="1" applyBorder="1" applyAlignment="1" applyProtection="1">
      <alignment shrinkToFit="1"/>
      <protection locked="0"/>
    </xf>
    <xf numFmtId="0" fontId="42" fillId="10" borderId="5" xfId="31" applyFont="1" applyFill="1" applyBorder="1" applyAlignment="1" applyProtection="1">
      <alignment shrinkToFit="1"/>
      <protection locked="0"/>
    </xf>
    <xf numFmtId="0" fontId="42" fillId="10" borderId="6" xfId="31" applyFont="1" applyFill="1" applyBorder="1" applyAlignment="1" applyProtection="1">
      <alignment shrinkToFit="1"/>
      <protection locked="0"/>
    </xf>
    <xf numFmtId="3" fontId="42" fillId="10" borderId="4" xfId="31" applyNumberFormat="1" applyFont="1" applyFill="1" applyBorder="1" applyAlignment="1" applyProtection="1">
      <alignment shrinkToFit="1"/>
      <protection locked="0"/>
    </xf>
    <xf numFmtId="3" fontId="42" fillId="10" borderId="5" xfId="31" applyNumberFormat="1" applyFont="1" applyFill="1" applyBorder="1" applyAlignment="1" applyProtection="1">
      <alignment shrinkToFit="1"/>
      <protection locked="0"/>
    </xf>
    <xf numFmtId="3" fontId="42" fillId="10" borderId="6" xfId="31" applyNumberFormat="1" applyFont="1" applyFill="1" applyBorder="1" applyAlignment="1" applyProtection="1">
      <alignment shrinkToFit="1"/>
      <protection locked="0"/>
    </xf>
    <xf numFmtId="0" fontId="42" fillId="10" borderId="2" xfId="31" applyFont="1" applyFill="1" applyBorder="1" applyAlignment="1"/>
    <xf numFmtId="0" fontId="21" fillId="0" borderId="0" xfId="31" applyFont="1" applyFill="1" applyBorder="1" applyAlignment="1">
      <alignment vertical="justify" wrapText="1"/>
    </xf>
    <xf numFmtId="0" fontId="19" fillId="0" borderId="0" xfId="31" applyFont="1" applyAlignment="1">
      <alignment vertical="justify" wrapText="1"/>
    </xf>
    <xf numFmtId="49" fontId="19" fillId="10" borderId="4" xfId="31" applyNumberFormat="1" applyFont="1" applyFill="1" applyBorder="1" applyAlignment="1" applyProtection="1">
      <protection locked="0"/>
    </xf>
    <xf numFmtId="49" fontId="19" fillId="10" borderId="5" xfId="31" applyNumberFormat="1" applyFont="1" applyFill="1" applyBorder="1" applyAlignment="1" applyProtection="1">
      <protection locked="0"/>
    </xf>
    <xf numFmtId="49" fontId="19" fillId="10" borderId="6" xfId="31" applyNumberFormat="1" applyFont="1" applyFill="1" applyBorder="1" applyAlignment="1" applyProtection="1">
      <protection locked="0"/>
    </xf>
    <xf numFmtId="49" fontId="8" fillId="2" borderId="4" xfId="31" applyNumberFormat="1" applyFill="1" applyBorder="1" applyAlignment="1" applyProtection="1">
      <protection locked="0"/>
    </xf>
    <xf numFmtId="49" fontId="8" fillId="2" borderId="5" xfId="31" applyNumberFormat="1" applyFill="1" applyBorder="1" applyAlignment="1" applyProtection="1">
      <protection locked="0"/>
    </xf>
    <xf numFmtId="49" fontId="8" fillId="2" borderId="6" xfId="31" applyNumberFormat="1" applyFill="1" applyBorder="1" applyAlignment="1" applyProtection="1">
      <protection locked="0"/>
    </xf>
    <xf numFmtId="49" fontId="22" fillId="2" borderId="4" xfId="31" applyNumberFormat="1" applyFont="1" applyFill="1" applyBorder="1" applyAlignment="1" applyProtection="1">
      <protection locked="0"/>
    </xf>
    <xf numFmtId="49" fontId="22" fillId="2" borderId="5" xfId="31" applyNumberFormat="1" applyFont="1" applyFill="1" applyBorder="1" applyAlignment="1" applyProtection="1">
      <protection locked="0"/>
    </xf>
    <xf numFmtId="49" fontId="22" fillId="2" borderId="6" xfId="31" applyNumberFormat="1" applyFont="1" applyFill="1" applyBorder="1" applyAlignment="1" applyProtection="1">
      <protection locked="0"/>
    </xf>
    <xf numFmtId="0" fontId="8" fillId="0" borderId="0" xfId="31" applyAlignment="1"/>
    <xf numFmtId="0" fontId="8" fillId="0" borderId="1" xfId="31" applyBorder="1" applyAlignment="1">
      <alignment wrapText="1"/>
    </xf>
    <xf numFmtId="49" fontId="8" fillId="2" borderId="7" xfId="31" applyNumberFormat="1" applyFill="1" applyBorder="1" applyAlignment="1" applyProtection="1">
      <protection locked="0"/>
    </xf>
    <xf numFmtId="49" fontId="8" fillId="2" borderId="1" xfId="31" applyNumberFormat="1" applyFill="1" applyBorder="1" applyAlignment="1" applyProtection="1">
      <protection locked="0"/>
    </xf>
    <xf numFmtId="0" fontId="23" fillId="0" borderId="0" xfId="31" applyFont="1" applyAlignment="1">
      <alignment horizontal="center"/>
    </xf>
    <xf numFmtId="49" fontId="8" fillId="4" borderId="4" xfId="31" applyNumberFormat="1" applyFill="1" applyBorder="1" applyAlignment="1" applyProtection="1">
      <alignment shrinkToFit="1"/>
      <protection locked="0"/>
    </xf>
    <xf numFmtId="49" fontId="8" fillId="0" borderId="5" xfId="31" applyNumberFormat="1" applyBorder="1" applyAlignment="1" applyProtection="1">
      <alignment shrinkToFit="1"/>
      <protection locked="0"/>
    </xf>
    <xf numFmtId="49" fontId="8" fillId="0" borderId="6" xfId="31" applyNumberFormat="1" applyBorder="1" applyAlignment="1" applyProtection="1">
      <alignment shrinkToFit="1"/>
      <protection locked="0"/>
    </xf>
    <xf numFmtId="1" fontId="8" fillId="4" borderId="4" xfId="31" quotePrefix="1" applyNumberFormat="1" applyFill="1" applyBorder="1" applyAlignment="1" applyProtection="1">
      <alignment shrinkToFit="1"/>
      <protection locked="0"/>
    </xf>
    <xf numFmtId="0" fontId="8" fillId="0" borderId="5" xfId="31" applyBorder="1" applyAlignment="1" applyProtection="1">
      <alignment shrinkToFit="1"/>
      <protection locked="0"/>
    </xf>
    <xf numFmtId="0" fontId="8" fillId="0" borderId="6" xfId="31" applyBorder="1" applyAlignment="1" applyProtection="1">
      <alignment shrinkToFit="1"/>
      <protection locked="0"/>
    </xf>
    <xf numFmtId="3" fontId="8" fillId="4" borderId="4" xfId="31" applyNumberFormat="1" applyFill="1" applyBorder="1" applyAlignment="1" applyProtection="1">
      <alignment shrinkToFit="1"/>
      <protection locked="0"/>
    </xf>
    <xf numFmtId="3" fontId="8" fillId="0" borderId="5" xfId="31" applyNumberFormat="1" applyBorder="1" applyAlignment="1" applyProtection="1">
      <alignment shrinkToFit="1"/>
      <protection locked="0"/>
    </xf>
    <xf numFmtId="3" fontId="8" fillId="0" borderId="6" xfId="31" applyNumberFormat="1" applyBorder="1" applyAlignment="1" applyProtection="1">
      <alignment shrinkToFit="1"/>
      <protection locked="0"/>
    </xf>
    <xf numFmtId="0" fontId="8" fillId="6" borderId="0" xfId="31" applyFill="1" applyAlignment="1"/>
    <xf numFmtId="0" fontId="24" fillId="0" borderId="0" xfId="31" applyFont="1" applyFill="1" applyBorder="1" applyAlignment="1">
      <alignment vertical="justify" wrapText="1"/>
    </xf>
    <xf numFmtId="0" fontId="25" fillId="0" borderId="0" xfId="31" applyFont="1" applyAlignment="1">
      <alignment vertical="justify" wrapText="1"/>
    </xf>
    <xf numFmtId="0" fontId="25" fillId="0" borderId="0" xfId="31" applyFont="1" applyAlignment="1"/>
    <xf numFmtId="49" fontId="0" fillId="0" borderId="0" xfId="0" applyNumberFormat="1" applyFill="1" applyBorder="1" applyAlignment="1" applyProtection="1">
      <protection locked="0"/>
    </xf>
    <xf numFmtId="49" fontId="19" fillId="0" borderId="0" xfId="0" applyNumberFormat="1" applyFont="1" applyFill="1" applyBorder="1" applyAlignment="1" applyProtection="1">
      <protection locked="0"/>
    </xf>
    <xf numFmtId="49" fontId="22" fillId="0" borderId="0" xfId="0" applyNumberFormat="1" applyFont="1" applyFill="1" applyBorder="1" applyAlignment="1" applyProtection="1">
      <protection locked="0"/>
    </xf>
    <xf numFmtId="0" fontId="19" fillId="0" borderId="0" xfId="0" applyFont="1" applyFill="1" applyAlignment="1"/>
    <xf numFmtId="0" fontId="0" fillId="0" borderId="0" xfId="0" applyFill="1" applyAlignment="1"/>
    <xf numFmtId="165" fontId="0" fillId="13" borderId="4" xfId="0" applyNumberFormat="1" applyFill="1" applyBorder="1" applyAlignment="1" applyProtection="1">
      <alignment shrinkToFit="1"/>
      <protection locked="0"/>
    </xf>
    <xf numFmtId="165" fontId="0" fillId="13" borderId="5" xfId="0" applyNumberFormat="1" applyFill="1" applyBorder="1" applyAlignment="1" applyProtection="1">
      <alignment shrinkToFit="1"/>
      <protection locked="0"/>
    </xf>
    <xf numFmtId="165" fontId="0" fillId="13" borderId="6" xfId="0" applyNumberFormat="1" applyFill="1" applyBorder="1" applyAlignment="1" applyProtection="1">
      <alignment shrinkToFit="1"/>
      <protection locked="0"/>
    </xf>
    <xf numFmtId="0" fontId="25" fillId="0" borderId="0" xfId="0" applyFont="1" applyFill="1" applyAlignment="1">
      <alignment vertical="justify" wrapText="1"/>
    </xf>
    <xf numFmtId="0" fontId="25" fillId="0" borderId="0" xfId="0" applyFont="1" applyFill="1" applyAlignment="1"/>
    <xf numFmtId="0" fontId="20" fillId="0" borderId="0" xfId="0" applyFont="1" applyFill="1" applyBorder="1" applyAlignment="1">
      <alignment wrapText="1"/>
    </xf>
    <xf numFmtId="0" fontId="0" fillId="0" borderId="0" xfId="0" applyFill="1" applyBorder="1" applyAlignment="1">
      <alignment wrapText="1"/>
    </xf>
    <xf numFmtId="49" fontId="0" fillId="13" borderId="4" xfId="0" applyNumberFormat="1" applyFill="1" applyBorder="1" applyAlignment="1" applyProtection="1">
      <alignment shrinkToFit="1"/>
      <protection locked="0"/>
    </xf>
    <xf numFmtId="49" fontId="0" fillId="13" borderId="5" xfId="0" applyNumberFormat="1" applyFill="1" applyBorder="1" applyAlignment="1" applyProtection="1">
      <alignment shrinkToFit="1"/>
      <protection locked="0"/>
    </xf>
    <xf numFmtId="49" fontId="0" fillId="13" borderId="6" xfId="0" applyNumberFormat="1" applyFill="1" applyBorder="1" applyAlignment="1" applyProtection="1">
      <alignment shrinkToFit="1"/>
      <protection locked="0"/>
    </xf>
    <xf numFmtId="1" fontId="0" fillId="13" borderId="4" xfId="0" applyNumberFormat="1" applyFill="1" applyBorder="1" applyAlignment="1" applyProtection="1">
      <alignment shrinkToFit="1"/>
      <protection locked="0"/>
    </xf>
    <xf numFmtId="0" fontId="0" fillId="13" borderId="5" xfId="0" applyFill="1" applyBorder="1" applyAlignment="1" applyProtection="1">
      <alignment shrinkToFit="1"/>
      <protection locked="0"/>
    </xf>
    <xf numFmtId="0" fontId="0" fillId="13" borderId="6" xfId="0" applyFill="1" applyBorder="1" applyAlignment="1" applyProtection="1">
      <alignment shrinkToFit="1"/>
      <protection locked="0"/>
    </xf>
    <xf numFmtId="3" fontId="0" fillId="13" borderId="4" xfId="0" applyNumberFormat="1" applyFill="1" applyBorder="1" applyAlignment="1" applyProtection="1">
      <alignment shrinkToFit="1"/>
      <protection locked="0"/>
    </xf>
    <xf numFmtId="3" fontId="0" fillId="13" borderId="5" xfId="0" applyNumberFormat="1" applyFill="1" applyBorder="1" applyAlignment="1" applyProtection="1">
      <alignment shrinkToFit="1"/>
      <protection locked="0"/>
    </xf>
    <xf numFmtId="3" fontId="0" fillId="13" borderId="6" xfId="0" applyNumberFormat="1" applyFill="1" applyBorder="1" applyAlignment="1" applyProtection="1">
      <alignment shrinkToFit="1"/>
      <protection locked="0"/>
    </xf>
    <xf numFmtId="49" fontId="28" fillId="2" borderId="4" xfId="2" applyNumberFormat="1" applyFont="1" applyFill="1" applyBorder="1" applyAlignment="1" applyProtection="1">
      <protection locked="0"/>
    </xf>
    <xf numFmtId="49" fontId="28" fillId="2" borderId="5" xfId="2" applyNumberFormat="1" applyFont="1" applyFill="1" applyBorder="1" applyAlignment="1" applyProtection="1">
      <protection locked="0"/>
    </xf>
    <xf numFmtId="49" fontId="28" fillId="2" borderId="6" xfId="2" applyNumberFormat="1" applyFont="1" applyFill="1" applyBorder="1" applyAlignment="1" applyProtection="1">
      <protection locked="0"/>
    </xf>
    <xf numFmtId="0" fontId="28" fillId="0" borderId="0" xfId="2" applyFont="1" applyAlignment="1"/>
    <xf numFmtId="0" fontId="52" fillId="0" borderId="0" xfId="2" applyFont="1" applyFill="1" applyBorder="1" applyAlignment="1">
      <alignment vertical="justify" wrapText="1"/>
    </xf>
    <xf numFmtId="0" fontId="28" fillId="0" borderId="0" xfId="2" applyFont="1" applyAlignment="1">
      <alignment vertical="justify" wrapText="1"/>
    </xf>
    <xf numFmtId="49" fontId="28" fillId="2" borderId="14" xfId="2" applyNumberFormat="1" applyFont="1" applyFill="1" applyBorder="1" applyAlignment="1" applyProtection="1">
      <protection locked="0"/>
    </xf>
    <xf numFmtId="49" fontId="28" fillId="2" borderId="12" xfId="2" applyNumberFormat="1" applyFont="1" applyFill="1" applyBorder="1" applyAlignment="1" applyProtection="1">
      <protection locked="0"/>
    </xf>
    <xf numFmtId="49" fontId="28" fillId="2" borderId="15" xfId="2" applyNumberFormat="1" applyFont="1" applyFill="1" applyBorder="1" applyAlignment="1" applyProtection="1">
      <protection locked="0"/>
    </xf>
    <xf numFmtId="0" fontId="23" fillId="0" borderId="1" xfId="2" applyFont="1" applyBorder="1" applyAlignment="1">
      <alignment wrapText="1"/>
    </xf>
    <xf numFmtId="0" fontId="28" fillId="0" borderId="1" xfId="2" applyFont="1" applyBorder="1" applyAlignment="1">
      <alignment wrapText="1"/>
    </xf>
    <xf numFmtId="49" fontId="53" fillId="4" borderId="4" xfId="11" applyNumberFormat="1" applyFont="1" applyFill="1" applyBorder="1" applyAlignment="1" applyProtection="1">
      <alignment shrinkToFit="1"/>
      <protection locked="0"/>
    </xf>
    <xf numFmtId="49" fontId="28" fillId="4" borderId="5" xfId="2" applyNumberFormat="1" applyFont="1" applyFill="1" applyBorder="1" applyAlignment="1" applyProtection="1">
      <alignment shrinkToFit="1"/>
      <protection locked="0"/>
    </xf>
    <xf numFmtId="49" fontId="28" fillId="4" borderId="4" xfId="2" applyNumberFormat="1" applyFont="1" applyFill="1" applyBorder="1" applyAlignment="1" applyProtection="1">
      <alignment shrinkToFit="1"/>
      <protection locked="0"/>
    </xf>
    <xf numFmtId="49" fontId="28" fillId="0" borderId="5" xfId="2" applyNumberFormat="1" applyFont="1" applyBorder="1" applyAlignment="1" applyProtection="1">
      <alignment shrinkToFit="1"/>
      <protection locked="0"/>
    </xf>
    <xf numFmtId="49" fontId="28" fillId="0" borderId="6" xfId="2" applyNumberFormat="1" applyFont="1" applyBorder="1" applyAlignment="1" applyProtection="1">
      <alignment shrinkToFit="1"/>
      <protection locked="0"/>
    </xf>
    <xf numFmtId="1" fontId="28" fillId="4" borderId="4" xfId="2" quotePrefix="1" applyNumberFormat="1" applyFont="1" applyFill="1" applyBorder="1" applyAlignment="1" applyProtection="1">
      <alignment horizontal="left" shrinkToFit="1"/>
      <protection locked="0"/>
    </xf>
    <xf numFmtId="0" fontId="28" fillId="0" borderId="5" xfId="2" applyFont="1" applyBorder="1" applyAlignment="1" applyProtection="1">
      <alignment horizontal="left" shrinkToFit="1"/>
      <protection locked="0"/>
    </xf>
    <xf numFmtId="0" fontId="28" fillId="0" borderId="6" xfId="2" applyFont="1" applyBorder="1" applyAlignment="1" applyProtection="1">
      <alignment horizontal="left" shrinkToFit="1"/>
      <protection locked="0"/>
    </xf>
    <xf numFmtId="3" fontId="28" fillId="4" borderId="4" xfId="2" applyNumberFormat="1" applyFont="1" applyFill="1" applyBorder="1" applyAlignment="1" applyProtection="1">
      <alignment horizontal="left" shrinkToFit="1"/>
      <protection locked="0"/>
    </xf>
    <xf numFmtId="3" fontId="28" fillId="0" borderId="5" xfId="2" applyNumberFormat="1" applyFont="1" applyBorder="1" applyAlignment="1" applyProtection="1">
      <alignment horizontal="left" shrinkToFit="1"/>
      <protection locked="0"/>
    </xf>
    <xf numFmtId="3" fontId="28" fillId="0" borderId="6" xfId="2" applyNumberFormat="1" applyFont="1" applyBorder="1" applyAlignment="1" applyProtection="1">
      <alignment horizontal="left" shrinkToFit="1"/>
      <protection locked="0"/>
    </xf>
    <xf numFmtId="165" fontId="28" fillId="4" borderId="4" xfId="2" applyNumberFormat="1" applyFont="1" applyFill="1" applyBorder="1" applyAlignment="1" applyProtection="1">
      <alignment shrinkToFit="1"/>
      <protection locked="0"/>
    </xf>
    <xf numFmtId="165" fontId="28" fillId="0" borderId="5" xfId="2" applyNumberFormat="1" applyFont="1" applyBorder="1" applyAlignment="1" applyProtection="1">
      <alignment shrinkToFit="1"/>
      <protection locked="0"/>
    </xf>
    <xf numFmtId="165" fontId="28" fillId="0" borderId="6" xfId="2" applyNumberFormat="1" applyFont="1" applyBorder="1" applyAlignment="1" applyProtection="1">
      <alignment shrinkToFit="1"/>
      <protection locked="0"/>
    </xf>
    <xf numFmtId="165" fontId="8" fillId="4" borderId="4" xfId="31" applyNumberFormat="1" applyFill="1" applyBorder="1" applyAlignment="1" applyProtection="1">
      <alignment shrinkToFit="1"/>
      <protection locked="0"/>
    </xf>
    <xf numFmtId="165" fontId="8" fillId="0" borderId="5" xfId="31" applyNumberFormat="1" applyBorder="1" applyAlignment="1" applyProtection="1">
      <alignment shrinkToFit="1"/>
      <protection locked="0"/>
    </xf>
    <xf numFmtId="165" fontId="8" fillId="0" borderId="6" xfId="31" applyNumberFormat="1" applyBorder="1" applyAlignment="1" applyProtection="1">
      <alignment shrinkToFit="1"/>
      <protection locked="0"/>
    </xf>
    <xf numFmtId="49" fontId="70" fillId="4" borderId="4" xfId="35" applyNumberFormat="1" applyFill="1" applyBorder="1" applyAlignment="1" applyProtection="1">
      <alignment shrinkToFit="1"/>
      <protection locked="0"/>
    </xf>
    <xf numFmtId="49" fontId="8" fillId="4" borderId="5" xfId="31" applyNumberFormat="1" applyFill="1" applyBorder="1" applyAlignment="1" applyProtection="1">
      <alignment shrinkToFit="1"/>
      <protection locked="0"/>
    </xf>
    <xf numFmtId="49" fontId="69" fillId="2" borderId="4" xfId="31" applyNumberFormat="1" applyFont="1" applyFill="1" applyBorder="1" applyAlignment="1" applyProtection="1">
      <protection locked="0"/>
    </xf>
    <xf numFmtId="49" fontId="69" fillId="2" borderId="5" xfId="31" applyNumberFormat="1" applyFont="1" applyFill="1" applyBorder="1" applyAlignment="1" applyProtection="1">
      <protection locked="0"/>
    </xf>
    <xf numFmtId="49" fontId="69" fillId="2" borderId="6" xfId="31" applyNumberFormat="1" applyFont="1" applyFill="1" applyBorder="1" applyAlignment="1" applyProtection="1">
      <protection locked="0"/>
    </xf>
    <xf numFmtId="0" fontId="20" fillId="0" borderId="0" xfId="2" applyFont="1" applyAlignment="1">
      <alignment horizontal="center"/>
    </xf>
    <xf numFmtId="49" fontId="19" fillId="2" borderId="4" xfId="2" applyNumberFormat="1" applyFont="1" applyFill="1" applyBorder="1" applyAlignment="1" applyProtection="1">
      <protection locked="0"/>
    </xf>
    <xf numFmtId="49" fontId="19" fillId="2" borderId="5" xfId="2" applyNumberFormat="1" applyFont="1" applyFill="1" applyBorder="1" applyAlignment="1" applyProtection="1">
      <protection locked="0"/>
    </xf>
    <xf numFmtId="49" fontId="19" fillId="2" borderId="6" xfId="2" applyNumberFormat="1" applyFont="1" applyFill="1" applyBorder="1" applyAlignment="1" applyProtection="1">
      <protection locked="0"/>
    </xf>
    <xf numFmtId="3" fontId="19" fillId="4" borderId="4" xfId="2" applyNumberFormat="1" applyFill="1" applyBorder="1" applyAlignment="1" applyProtection="1">
      <alignment horizontal="left" shrinkToFit="1"/>
      <protection locked="0"/>
    </xf>
    <xf numFmtId="3" fontId="19" fillId="4" borderId="5" xfId="2" applyNumberFormat="1" applyFill="1" applyBorder="1" applyAlignment="1" applyProtection="1">
      <alignment horizontal="left" shrinkToFit="1"/>
      <protection locked="0"/>
    </xf>
    <xf numFmtId="3" fontId="19" fillId="4" borderId="6" xfId="2" applyNumberFormat="1" applyFill="1" applyBorder="1" applyAlignment="1" applyProtection="1">
      <alignment horizontal="left" shrinkToFit="1"/>
      <protection locked="0"/>
    </xf>
    <xf numFmtId="1" fontId="19" fillId="4" borderId="14" xfId="2" quotePrefix="1" applyNumberFormat="1" applyFont="1" applyFill="1" applyBorder="1" applyAlignment="1" applyProtection="1">
      <alignment horizontal="left"/>
      <protection locked="0"/>
    </xf>
    <xf numFmtId="0" fontId="19" fillId="0" borderId="12" xfId="2" applyBorder="1" applyAlignment="1">
      <alignment horizontal="left"/>
    </xf>
    <xf numFmtId="0" fontId="19" fillId="0" borderId="15" xfId="2" applyBorder="1" applyAlignment="1">
      <alignment horizontal="left"/>
    </xf>
    <xf numFmtId="1" fontId="19" fillId="4" borderId="14" xfId="2" quotePrefix="1" applyNumberFormat="1" applyFill="1" applyBorder="1" applyAlignment="1" applyProtection="1">
      <alignment horizontal="left"/>
      <protection locked="0"/>
    </xf>
    <xf numFmtId="1" fontId="19" fillId="4" borderId="2" xfId="2" quotePrefix="1" applyNumberFormat="1" applyFill="1" applyBorder="1" applyAlignment="1" applyProtection="1">
      <alignment horizontal="left"/>
      <protection locked="0"/>
    </xf>
    <xf numFmtId="0" fontId="19" fillId="0" borderId="2" xfId="2" applyBorder="1" applyAlignment="1">
      <alignment horizontal="left"/>
    </xf>
    <xf numFmtId="1" fontId="28" fillId="4" borderId="2" xfId="2" quotePrefix="1" applyNumberFormat="1" applyFont="1" applyFill="1" applyBorder="1" applyAlignment="1" applyProtection="1">
      <alignment horizontal="left"/>
      <protection locked="0"/>
    </xf>
    <xf numFmtId="0" fontId="28" fillId="0" borderId="2" xfId="2" applyFont="1" applyBorder="1" applyAlignment="1">
      <alignment horizontal="left"/>
    </xf>
    <xf numFmtId="49" fontId="19" fillId="7" borderId="7" xfId="2" applyNumberFormat="1" applyFont="1" applyFill="1" applyBorder="1" applyAlignment="1" applyProtection="1">
      <protection locked="0"/>
    </xf>
    <xf numFmtId="49" fontId="19" fillId="7" borderId="1" xfId="2" applyNumberFormat="1" applyFont="1" applyFill="1" applyBorder="1" applyAlignment="1" applyProtection="1">
      <protection locked="0"/>
    </xf>
    <xf numFmtId="49" fontId="19" fillId="7" borderId="6" xfId="2" applyNumberFormat="1" applyFont="1" applyFill="1" applyBorder="1" applyAlignment="1" applyProtection="1">
      <protection locked="0"/>
    </xf>
    <xf numFmtId="49" fontId="19" fillId="7" borderId="4" xfId="2" applyNumberFormat="1" applyFont="1" applyFill="1" applyBorder="1" applyAlignment="1" applyProtection="1">
      <protection locked="0"/>
    </xf>
    <xf numFmtId="49" fontId="19" fillId="7" borderId="5" xfId="2" applyNumberFormat="1" applyFont="1" applyFill="1" applyBorder="1" applyAlignment="1" applyProtection="1">
      <protection locked="0"/>
    </xf>
    <xf numFmtId="49" fontId="22" fillId="7" borderId="4" xfId="2" applyNumberFormat="1" applyFont="1" applyFill="1" applyBorder="1" applyAlignment="1" applyProtection="1">
      <protection locked="0"/>
    </xf>
    <xf numFmtId="49" fontId="22" fillId="7" borderId="5" xfId="2" applyNumberFormat="1" applyFont="1" applyFill="1" applyBorder="1" applyAlignment="1" applyProtection="1">
      <protection locked="0"/>
    </xf>
    <xf numFmtId="49" fontId="22" fillId="7" borderId="6" xfId="2" applyNumberFormat="1" applyFont="1" applyFill="1" applyBorder="1" applyAlignment="1" applyProtection="1">
      <protection locked="0"/>
    </xf>
    <xf numFmtId="49" fontId="19" fillId="2" borderId="5" xfId="0" applyNumberFormat="1" applyFont="1" applyFill="1" applyBorder="1" applyAlignment="1" applyProtection="1">
      <protection locked="0"/>
    </xf>
    <xf numFmtId="49" fontId="19" fillId="2" borderId="6" xfId="0" applyNumberFormat="1" applyFont="1" applyFill="1" applyBorder="1" applyAlignment="1" applyProtection="1">
      <protection locked="0"/>
    </xf>
    <xf numFmtId="1" fontId="19" fillId="4" borderId="4" xfId="0" quotePrefix="1" applyNumberFormat="1" applyFont="1" applyFill="1" applyBorder="1" applyAlignment="1" applyProtection="1">
      <alignment shrinkToFit="1"/>
      <protection locked="0"/>
    </xf>
    <xf numFmtId="3" fontId="19" fillId="4" borderId="4" xfId="2" quotePrefix="1" applyNumberFormat="1" applyFont="1" applyFill="1" applyBorder="1" applyAlignment="1" applyProtection="1">
      <alignment shrinkToFit="1"/>
      <protection locked="0"/>
    </xf>
    <xf numFmtId="49" fontId="19" fillId="2" borderId="7" xfId="2" applyNumberFormat="1" applyFont="1" applyFill="1" applyBorder="1" applyAlignment="1" applyProtection="1">
      <protection locked="0"/>
    </xf>
    <xf numFmtId="49" fontId="19" fillId="2" borderId="7" xfId="0" applyNumberFormat="1" applyFont="1" applyFill="1" applyBorder="1" applyAlignment="1" applyProtection="1">
      <protection locked="0"/>
    </xf>
    <xf numFmtId="165" fontId="19" fillId="4" borderId="4" xfId="0" applyNumberFormat="1" applyFont="1" applyFill="1" applyBorder="1" applyAlignment="1" applyProtection="1">
      <alignment shrinkToFit="1"/>
      <protection locked="0"/>
    </xf>
    <xf numFmtId="49" fontId="22" fillId="2" borderId="4" xfId="2" quotePrefix="1" applyNumberFormat="1" applyFont="1" applyFill="1" applyBorder="1" applyAlignment="1" applyProtection="1">
      <protection locked="0"/>
    </xf>
    <xf numFmtId="49" fontId="19" fillId="2" borderId="7" xfId="23" applyNumberFormat="1" applyFont="1" applyFill="1" applyBorder="1" applyAlignment="1" applyProtection="1">
      <protection locked="0"/>
    </xf>
    <xf numFmtId="49" fontId="19" fillId="2" borderId="1" xfId="23" applyNumberFormat="1" applyFont="1" applyFill="1" applyBorder="1" applyAlignment="1" applyProtection="1">
      <protection locked="0"/>
    </xf>
    <xf numFmtId="49" fontId="19" fillId="2" borderId="6" xfId="23" applyNumberFormat="1" applyFont="1" applyFill="1" applyBorder="1" applyAlignment="1" applyProtection="1">
      <protection locked="0"/>
    </xf>
    <xf numFmtId="49" fontId="19" fillId="2" borderId="4" xfId="23" applyNumberFormat="1" applyFont="1" applyFill="1" applyBorder="1" applyAlignment="1" applyProtection="1">
      <protection locked="0"/>
    </xf>
    <xf numFmtId="49" fontId="19" fillId="2" borderId="5" xfId="23" applyNumberFormat="1" applyFont="1" applyFill="1" applyBorder="1" applyAlignment="1" applyProtection="1">
      <protection locked="0"/>
    </xf>
    <xf numFmtId="49" fontId="19" fillId="2" borderId="4" xfId="31" applyNumberFormat="1" applyFont="1" applyFill="1" applyBorder="1" applyAlignment="1" applyProtection="1">
      <protection locked="0"/>
    </xf>
    <xf numFmtId="1" fontId="4" fillId="4" borderId="4" xfId="31" quotePrefix="1" applyNumberFormat="1" applyFont="1" applyFill="1" applyBorder="1" applyAlignment="1" applyProtection="1">
      <alignment shrinkToFit="1"/>
      <protection locked="0"/>
    </xf>
    <xf numFmtId="49" fontId="0" fillId="4" borderId="6" xfId="0" applyNumberFormat="1" applyFill="1" applyBorder="1" applyAlignment="1" applyProtection="1">
      <alignment shrinkToFit="1"/>
      <protection locked="0"/>
    </xf>
  </cellXfs>
  <cellStyles count="51">
    <cellStyle name="Comma" xfId="19" builtinId="3"/>
    <cellStyle name="Comma 2" xfId="5"/>
    <cellStyle name="Comma 2 2" xfId="46"/>
    <cellStyle name="Comma 3" xfId="15"/>
    <cellStyle name="Comma 4" xfId="26"/>
    <cellStyle name="Comma 5" xfId="36"/>
    <cellStyle name="Comma 6" xfId="38"/>
    <cellStyle name="Comma 7" xfId="39"/>
    <cellStyle name="Comma 8" xfId="42"/>
    <cellStyle name="Currency" xfId="20" builtinId="4"/>
    <cellStyle name="Currency 2" xfId="8"/>
    <cellStyle name="Currency 2 2" xfId="24"/>
    <cellStyle name="Currency 2 3" xfId="45"/>
    <cellStyle name="Currency 3" xfId="29"/>
    <cellStyle name="Currency 4" xfId="33"/>
    <cellStyle name="Currency 5" xfId="34"/>
    <cellStyle name="Currency 6" xfId="40"/>
    <cellStyle name="Currency 7" xfId="50"/>
    <cellStyle name="Hyperlink" xfId="11" builtinId="8"/>
    <cellStyle name="Hyperlink 2" xfId="17"/>
    <cellStyle name="Hyperlink 3" xfId="22"/>
    <cellStyle name="Hyperlink 4" xfId="35"/>
    <cellStyle name="Normal" xfId="0" builtinId="0"/>
    <cellStyle name="Normal 10" xfId="28"/>
    <cellStyle name="Normal 11" xfId="31"/>
    <cellStyle name="Normal 12" xfId="37"/>
    <cellStyle name="Normal 13" xfId="47"/>
    <cellStyle name="Normal 14" xfId="49"/>
    <cellStyle name="Normal 2" xfId="2"/>
    <cellStyle name="Normal 3" xfId="3"/>
    <cellStyle name="Normal 3 2" xfId="7"/>
    <cellStyle name="Normal 3 3" xfId="10"/>
    <cellStyle name="Normal 3 4" xfId="30"/>
    <cellStyle name="Normal 3 5" xfId="43"/>
    <cellStyle name="Normal 4" xfId="4"/>
    <cellStyle name="Normal 5" xfId="9"/>
    <cellStyle name="Normal 6" xfId="13"/>
    <cellStyle name="Normal 6 2" xfId="23"/>
    <cellStyle name="Normal 7" xfId="14"/>
    <cellStyle name="Normal 8" xfId="18"/>
    <cellStyle name="Normal 9" xfId="21"/>
    <cellStyle name="Percent" xfId="1" builtinId="5"/>
    <cellStyle name="Percent 10" xfId="25"/>
    <cellStyle name="Percent 2" xfId="6"/>
    <cellStyle name="Percent 2 2" xfId="16"/>
    <cellStyle name="Percent 2 3" xfId="44"/>
    <cellStyle name="Percent 3" xfId="12"/>
    <cellStyle name="Percent 4" xfId="27"/>
    <cellStyle name="Percent 5" xfId="32"/>
    <cellStyle name="Percent 6" xfId="41"/>
    <cellStyle name="Percent 7" xfId="4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externalLink" Target="externalLinks/externalLink2.xml"/><Relationship Id="rId84" Type="http://schemas.openxmlformats.org/officeDocument/2006/relationships/externalLink" Target="externalLinks/externalLink18.xml"/><Relationship Id="rId89" Type="http://schemas.openxmlformats.org/officeDocument/2006/relationships/externalLink" Target="externalLinks/externalLink23.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externalLink" Target="externalLinks/externalLink8.xml"/><Relationship Id="rId79" Type="http://schemas.openxmlformats.org/officeDocument/2006/relationships/externalLink" Target="externalLinks/externalLink13.xml"/><Relationship Id="rId102" Type="http://schemas.openxmlformats.org/officeDocument/2006/relationships/sharedStrings" Target="sharedStrings.xml"/><Relationship Id="rId5" Type="http://schemas.openxmlformats.org/officeDocument/2006/relationships/worksheet" Target="worksheets/sheet5.xml"/><Relationship Id="rId90" Type="http://schemas.openxmlformats.org/officeDocument/2006/relationships/externalLink" Target="externalLinks/externalLink24.xml"/><Relationship Id="rId95" Type="http://schemas.openxmlformats.org/officeDocument/2006/relationships/externalLink" Target="externalLinks/externalLink29.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externalLink" Target="externalLinks/externalLink3.xml"/><Relationship Id="rId80" Type="http://schemas.openxmlformats.org/officeDocument/2006/relationships/externalLink" Target="externalLinks/externalLink14.xml"/><Relationship Id="rId85" Type="http://schemas.openxmlformats.org/officeDocument/2006/relationships/externalLink" Target="externalLinks/externalLink19.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externalLink" Target="externalLinks/externalLink4.xml"/><Relationship Id="rId75" Type="http://schemas.openxmlformats.org/officeDocument/2006/relationships/externalLink" Target="externalLinks/externalLink9.xml"/><Relationship Id="rId83" Type="http://schemas.openxmlformats.org/officeDocument/2006/relationships/externalLink" Target="externalLinks/externalLink17.xml"/><Relationship Id="rId88" Type="http://schemas.openxmlformats.org/officeDocument/2006/relationships/externalLink" Target="externalLinks/externalLink22.xml"/><Relationship Id="rId91" Type="http://schemas.openxmlformats.org/officeDocument/2006/relationships/externalLink" Target="externalLinks/externalLink25.xml"/><Relationship Id="rId96" Type="http://schemas.openxmlformats.org/officeDocument/2006/relationships/externalLink" Target="externalLinks/externalLink30.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customXml" Target="../customXml/item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externalLink" Target="externalLinks/externalLink7.xml"/><Relationship Id="rId78" Type="http://schemas.openxmlformats.org/officeDocument/2006/relationships/externalLink" Target="externalLinks/externalLink12.xml"/><Relationship Id="rId81" Type="http://schemas.openxmlformats.org/officeDocument/2006/relationships/externalLink" Target="externalLinks/externalLink15.xml"/><Relationship Id="rId86" Type="http://schemas.openxmlformats.org/officeDocument/2006/relationships/externalLink" Target="externalLinks/externalLink20.xml"/><Relationship Id="rId94" Type="http://schemas.openxmlformats.org/officeDocument/2006/relationships/externalLink" Target="externalLinks/externalLink28.xml"/><Relationship Id="rId99" Type="http://schemas.openxmlformats.org/officeDocument/2006/relationships/externalLink" Target="externalLinks/externalLink33.xml"/><Relationship Id="rId10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10.xml"/><Relationship Id="rId97" Type="http://schemas.openxmlformats.org/officeDocument/2006/relationships/externalLink" Target="externalLinks/externalLink31.xml"/><Relationship Id="rId104"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externalLink" Target="externalLinks/externalLink5.xml"/><Relationship Id="rId92" Type="http://schemas.openxmlformats.org/officeDocument/2006/relationships/externalLink" Target="externalLinks/externalLink26.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21.xml"/><Relationship Id="rId61" Type="http://schemas.openxmlformats.org/officeDocument/2006/relationships/worksheet" Target="worksheets/sheet61.xml"/><Relationship Id="rId82" Type="http://schemas.openxmlformats.org/officeDocument/2006/relationships/externalLink" Target="externalLinks/externalLink16.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externalLink" Target="externalLinks/externalLink11.xml"/><Relationship Id="rId100" Type="http://schemas.openxmlformats.org/officeDocument/2006/relationships/theme" Target="theme/theme1.xml"/><Relationship Id="rId105"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6.xml"/><Relationship Id="rId93" Type="http://schemas.openxmlformats.org/officeDocument/2006/relationships/externalLink" Target="externalLinks/externalLink27.xml"/><Relationship Id="rId98" Type="http://schemas.openxmlformats.org/officeDocument/2006/relationships/externalLink" Target="externalLinks/externalLink3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FY2008 - FY2015 Rate Support for Charity Care</a:t>
            </a:r>
          </a:p>
          <a:p>
            <a:pPr>
              <a:defRPr/>
            </a:pPr>
            <a:r>
              <a:rPr lang="en-US" sz="1200" baseline="0"/>
              <a:t>(in millions)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628799531801311"/>
          <c:y val="0.22101851851851856"/>
          <c:w val="0.87140846625634893"/>
          <c:h val="0.54716025080198305"/>
        </c:manualLayout>
      </c:layout>
      <c:lineChart>
        <c:grouping val="standard"/>
        <c:varyColors val="0"/>
        <c:ser>
          <c:idx val="0"/>
          <c:order val="0"/>
          <c:tx>
            <c:strRef>
              <c:f>Charts!$B$22</c:f>
              <c:strCache>
                <c:ptCount val="1"/>
                <c:pt idx="0">
                  <c:v>Charity Care</c:v>
                </c:pt>
              </c:strCache>
            </c:strRef>
          </c:tx>
          <c:spPr>
            <a:ln w="28575" cap="rnd">
              <a:solidFill>
                <a:schemeClr val="accent1"/>
              </a:solidFill>
              <a:round/>
            </a:ln>
            <a:effectLst/>
          </c:spPr>
          <c:marker>
            <c:symbol val="none"/>
          </c:marker>
          <c:cat>
            <c:numRef>
              <c:f>Charts!$A$23:$A$30</c:f>
              <c:numCache>
                <c:formatCode>General</c:formatCode>
                <c:ptCount val="8"/>
                <c:pt idx="0">
                  <c:v>2008</c:v>
                </c:pt>
                <c:pt idx="1">
                  <c:v>2009</c:v>
                </c:pt>
                <c:pt idx="2">
                  <c:v>2010</c:v>
                </c:pt>
                <c:pt idx="3">
                  <c:v>2011</c:v>
                </c:pt>
                <c:pt idx="4">
                  <c:v>2012</c:v>
                </c:pt>
                <c:pt idx="5">
                  <c:v>2013</c:v>
                </c:pt>
                <c:pt idx="6">
                  <c:v>2014</c:v>
                </c:pt>
                <c:pt idx="7">
                  <c:v>2015</c:v>
                </c:pt>
              </c:numCache>
            </c:numRef>
          </c:cat>
          <c:val>
            <c:numRef>
              <c:f>Charts!$B$23:$B$30</c:f>
              <c:numCache>
                <c:formatCode>"$"#,##0_);[Red]\("$"#,##0\)</c:formatCode>
                <c:ptCount val="8"/>
                <c:pt idx="0">
                  <c:v>256.01314300000001</c:v>
                </c:pt>
                <c:pt idx="1">
                  <c:v>269.06009499999999</c:v>
                </c:pt>
                <c:pt idx="2">
                  <c:v>312.049419</c:v>
                </c:pt>
                <c:pt idx="3">
                  <c:v>374.89863100000002</c:v>
                </c:pt>
                <c:pt idx="4">
                  <c:v>442.00888400000002</c:v>
                </c:pt>
                <c:pt idx="5">
                  <c:v>462.590418</c:v>
                </c:pt>
                <c:pt idx="6">
                  <c:v>463.908838</c:v>
                </c:pt>
                <c:pt idx="7">
                  <c:v>428.14220477171256</c:v>
                </c:pt>
              </c:numCache>
            </c:numRef>
          </c:val>
          <c:smooth val="0"/>
        </c:ser>
        <c:dLbls>
          <c:showLegendKey val="0"/>
          <c:showVal val="0"/>
          <c:showCatName val="0"/>
          <c:showSerName val="0"/>
          <c:showPercent val="0"/>
          <c:showBubbleSize val="0"/>
        </c:dLbls>
        <c:smooth val="0"/>
        <c:axId val="339004056"/>
        <c:axId val="446364656"/>
      </c:lineChart>
      <c:catAx>
        <c:axId val="339004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6364656"/>
        <c:crosses val="autoZero"/>
        <c:auto val="1"/>
        <c:lblAlgn val="ctr"/>
        <c:lblOffset val="100"/>
        <c:noMultiLvlLbl val="0"/>
      </c:catAx>
      <c:valAx>
        <c:axId val="44636465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9004056"/>
        <c:crosses val="autoZero"/>
        <c:crossBetween val="between"/>
        <c:majorUnit val="1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FY2008-FY2015</a:t>
            </a:r>
            <a:r>
              <a:rPr lang="en-US" baseline="0"/>
              <a:t> CB Expense</a:t>
            </a:r>
          </a:p>
          <a:p>
            <a:pPr>
              <a:defRPr/>
            </a:pPr>
            <a:r>
              <a:rPr lang="en-US" sz="1100" baseline="0"/>
              <a:t>(in millions)</a:t>
            </a:r>
            <a:endParaRPr lang="en-US" sz="1100"/>
          </a:p>
        </c:rich>
      </c:tx>
      <c:layout>
        <c:manualLayout>
          <c:xMode val="edge"/>
          <c:yMode val="edge"/>
          <c:x val="0.32462787022400846"/>
          <c:y val="1.818182252011990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Charts!$B$41</c:f>
              <c:strCache>
                <c:ptCount val="1"/>
                <c:pt idx="0">
                  <c:v>CB Expense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Charts!$A$42:$A$49</c:f>
              <c:numCache>
                <c:formatCode>General</c:formatCode>
                <c:ptCount val="8"/>
                <c:pt idx="0">
                  <c:v>2008</c:v>
                </c:pt>
                <c:pt idx="1">
                  <c:v>2009</c:v>
                </c:pt>
                <c:pt idx="2">
                  <c:v>2010</c:v>
                </c:pt>
                <c:pt idx="3">
                  <c:v>2011</c:v>
                </c:pt>
                <c:pt idx="4">
                  <c:v>2012</c:v>
                </c:pt>
                <c:pt idx="5">
                  <c:v>2013</c:v>
                </c:pt>
                <c:pt idx="6">
                  <c:v>2014</c:v>
                </c:pt>
                <c:pt idx="7">
                  <c:v>2015</c:v>
                </c:pt>
              </c:numCache>
            </c:numRef>
          </c:cat>
          <c:val>
            <c:numRef>
              <c:f>Charts!$B$42:$B$49</c:f>
              <c:numCache>
                <c:formatCode>"$"#,##0_);[Red]\("$"#,##0\)</c:formatCode>
                <c:ptCount val="8"/>
                <c:pt idx="0">
                  <c:v>861.08739786232854</c:v>
                </c:pt>
                <c:pt idx="1">
                  <c:v>946.2381640606277</c:v>
                </c:pt>
                <c:pt idx="2">
                  <c:v>1051.0517503757258</c:v>
                </c:pt>
                <c:pt idx="3">
                  <c:v>1203.0176928095927</c:v>
                </c:pt>
                <c:pt idx="4">
                  <c:v>1378.3019303951344</c:v>
                </c:pt>
                <c:pt idx="5">
                  <c:v>1505.554321846221</c:v>
                </c:pt>
                <c:pt idx="6">
                  <c:v>1498.125311</c:v>
                </c:pt>
                <c:pt idx="7">
                  <c:v>1586.4397901673622</c:v>
                </c:pt>
              </c:numCache>
            </c:numRef>
          </c:val>
        </c:ser>
        <c:ser>
          <c:idx val="1"/>
          <c:order val="1"/>
          <c:tx>
            <c:strRef>
              <c:f>Charts!$C$41</c:f>
              <c:strCache>
                <c:ptCount val="1"/>
                <c:pt idx="0">
                  <c:v>CB Expense Less Rate Support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Charts!$A$42:$A$49</c:f>
              <c:numCache>
                <c:formatCode>General</c:formatCode>
                <c:ptCount val="8"/>
                <c:pt idx="0">
                  <c:v>2008</c:v>
                </c:pt>
                <c:pt idx="1">
                  <c:v>2009</c:v>
                </c:pt>
                <c:pt idx="2">
                  <c:v>2010</c:v>
                </c:pt>
                <c:pt idx="3">
                  <c:v>2011</c:v>
                </c:pt>
                <c:pt idx="4">
                  <c:v>2012</c:v>
                </c:pt>
                <c:pt idx="5">
                  <c:v>2013</c:v>
                </c:pt>
                <c:pt idx="6">
                  <c:v>2014</c:v>
                </c:pt>
                <c:pt idx="7">
                  <c:v>2015</c:v>
                </c:pt>
              </c:numCache>
            </c:numRef>
          </c:cat>
          <c:val>
            <c:numRef>
              <c:f>Charts!$C$42:$C$49</c:f>
              <c:numCache>
                <c:formatCode>"$"#,##0_);[Red]\("$"#,##0\)</c:formatCode>
                <c:ptCount val="8"/>
                <c:pt idx="0">
                  <c:v>415.96112386232852</c:v>
                </c:pt>
                <c:pt idx="1">
                  <c:v>452.96287606062765</c:v>
                </c:pt>
                <c:pt idx="2">
                  <c:v>515.46260137572574</c:v>
                </c:pt>
                <c:pt idx="3">
                  <c:v>580.41547980959274</c:v>
                </c:pt>
                <c:pt idx="4">
                  <c:v>651.68681639513431</c:v>
                </c:pt>
                <c:pt idx="5">
                  <c:v>713.44631884622095</c:v>
                </c:pt>
                <c:pt idx="6">
                  <c:v>724.6684919999999</c:v>
                </c:pt>
                <c:pt idx="7">
                  <c:v>840.33950946705954</c:v>
                </c:pt>
              </c:numCache>
            </c:numRef>
          </c:val>
        </c:ser>
        <c:dLbls>
          <c:showLegendKey val="0"/>
          <c:showVal val="0"/>
          <c:showCatName val="0"/>
          <c:showSerName val="0"/>
          <c:showPercent val="0"/>
          <c:showBubbleSize val="0"/>
        </c:dLbls>
        <c:gapWidth val="219"/>
        <c:overlap val="-27"/>
        <c:axId val="446365440"/>
        <c:axId val="446365832"/>
      </c:barChart>
      <c:catAx>
        <c:axId val="446365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6365832"/>
        <c:crosses val="autoZero"/>
        <c:auto val="1"/>
        <c:lblAlgn val="ctr"/>
        <c:lblOffset val="100"/>
        <c:noMultiLvlLbl val="0"/>
      </c:catAx>
      <c:valAx>
        <c:axId val="44636583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6365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0" i="0" u="none" strike="noStrike" kern="1200" spc="0" baseline="0">
                <a:solidFill>
                  <a:sysClr val="windowText" lastClr="000000">
                    <a:lumMod val="65000"/>
                    <a:lumOff val="35000"/>
                  </a:sysClr>
                </a:solidFill>
                <a:latin typeface="+mn-lt"/>
                <a:ea typeface="+mn-ea"/>
                <a:cs typeface="+mn-cs"/>
              </a:defRPr>
            </a:pPr>
            <a:r>
              <a:rPr lang="en-US" sz="1400" b="0" i="0" u="none" strike="noStrike" kern="1200" spc="0" baseline="0">
                <a:solidFill>
                  <a:sysClr val="windowText" lastClr="000000">
                    <a:lumMod val="65000"/>
                    <a:lumOff val="35000"/>
                  </a:sysClr>
                </a:solidFill>
                <a:latin typeface="+mn-lt"/>
                <a:ea typeface="+mn-ea"/>
                <a:cs typeface="+mn-cs"/>
              </a:rPr>
              <a:t>FY2008-FY2015    </a:t>
            </a:r>
          </a:p>
          <a:p>
            <a:pPr algn="ctr" rtl="0">
              <a:defRPr lang="en-US">
                <a:solidFill>
                  <a:sysClr val="windowText" lastClr="000000">
                    <a:lumMod val="65000"/>
                    <a:lumOff val="35000"/>
                  </a:sysClr>
                </a:solidFill>
              </a:defRPr>
            </a:pPr>
            <a:r>
              <a:rPr lang="en-US" sz="1400" b="0" i="0" u="none" strike="noStrike" kern="1200" spc="0" baseline="0">
                <a:solidFill>
                  <a:sysClr val="windowText" lastClr="000000">
                    <a:lumMod val="65000"/>
                    <a:lumOff val="35000"/>
                  </a:sysClr>
                </a:solidFill>
                <a:latin typeface="+mn-lt"/>
                <a:ea typeface="+mn-ea"/>
                <a:cs typeface="+mn-cs"/>
              </a:rPr>
              <a:t> % of Operating Expense</a:t>
            </a:r>
          </a:p>
        </c:rich>
      </c:tx>
      <c:layout>
        <c:manualLayout>
          <c:xMode val="edge"/>
          <c:yMode val="edge"/>
          <c:x val="0.28953008489001641"/>
          <c:y val="3.2407407407407406E-2"/>
        </c:manualLayout>
      </c:layout>
      <c:overlay val="0"/>
      <c:spPr>
        <a:noFill/>
        <a:ln>
          <a:noFill/>
        </a:ln>
        <a:effectLst/>
      </c:spPr>
      <c:txPr>
        <a:bodyPr rot="0" spcFirstLastPara="1" vertOverflow="ellipsis" vert="horz" wrap="square" anchor="ctr" anchorCtr="1"/>
        <a:lstStyle/>
        <a:p>
          <a:pPr algn="ctr" rtl="0">
            <a:defRPr lang="en-US" sz="140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barChart>
        <c:barDir val="col"/>
        <c:grouping val="clustered"/>
        <c:varyColors val="0"/>
        <c:ser>
          <c:idx val="0"/>
          <c:order val="0"/>
          <c:tx>
            <c:strRef>
              <c:f>Charts!$B$64</c:f>
              <c:strCache>
                <c:ptCount val="1"/>
                <c:pt idx="0">
                  <c:v>% of Operating Expense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Charts!$A$65:$A$72</c:f>
              <c:numCache>
                <c:formatCode>General</c:formatCode>
                <c:ptCount val="8"/>
                <c:pt idx="0">
                  <c:v>2008</c:v>
                </c:pt>
                <c:pt idx="1">
                  <c:v>2009</c:v>
                </c:pt>
                <c:pt idx="2">
                  <c:v>2010</c:v>
                </c:pt>
                <c:pt idx="3">
                  <c:v>2011</c:v>
                </c:pt>
                <c:pt idx="4">
                  <c:v>2012</c:v>
                </c:pt>
                <c:pt idx="5">
                  <c:v>2013</c:v>
                </c:pt>
                <c:pt idx="6">
                  <c:v>2014</c:v>
                </c:pt>
                <c:pt idx="7">
                  <c:v>2015</c:v>
                </c:pt>
              </c:numCache>
            </c:numRef>
          </c:cat>
          <c:val>
            <c:numRef>
              <c:f>Charts!$B$65:$B$72</c:f>
              <c:numCache>
                <c:formatCode>0.0%</c:formatCode>
                <c:ptCount val="8"/>
                <c:pt idx="0">
                  <c:v>7.2237367452969423E-2</c:v>
                </c:pt>
                <c:pt idx="1">
                  <c:v>7.6047485522008823E-2</c:v>
                </c:pt>
                <c:pt idx="2">
                  <c:v>8.3101643398462613E-2</c:v>
                </c:pt>
                <c:pt idx="3">
                  <c:v>9.2258868211991238E-2</c:v>
                </c:pt>
                <c:pt idx="4">
                  <c:v>0.10185384603002651</c:v>
                </c:pt>
                <c:pt idx="5">
                  <c:v>0.1104988049791147</c:v>
                </c:pt>
                <c:pt idx="6">
                  <c:v>0.10620841479725308</c:v>
                </c:pt>
                <c:pt idx="7">
                  <c:v>0.10796916376084784</c:v>
                </c:pt>
              </c:numCache>
            </c:numRef>
          </c:val>
        </c:ser>
        <c:ser>
          <c:idx val="1"/>
          <c:order val="1"/>
          <c:tx>
            <c:strRef>
              <c:f>Charts!$C$64</c:f>
              <c:strCache>
                <c:ptCount val="1"/>
                <c:pt idx="0">
                  <c:v>% of Operating Expense less rate support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Charts!$A$65:$A$72</c:f>
              <c:numCache>
                <c:formatCode>General</c:formatCode>
                <c:ptCount val="8"/>
                <c:pt idx="0">
                  <c:v>2008</c:v>
                </c:pt>
                <c:pt idx="1">
                  <c:v>2009</c:v>
                </c:pt>
                <c:pt idx="2">
                  <c:v>2010</c:v>
                </c:pt>
                <c:pt idx="3">
                  <c:v>2011</c:v>
                </c:pt>
                <c:pt idx="4">
                  <c:v>2012</c:v>
                </c:pt>
                <c:pt idx="5">
                  <c:v>2013</c:v>
                </c:pt>
                <c:pt idx="6">
                  <c:v>2014</c:v>
                </c:pt>
                <c:pt idx="7">
                  <c:v>2015</c:v>
                </c:pt>
              </c:numCache>
            </c:numRef>
          </c:cat>
          <c:val>
            <c:numRef>
              <c:f>Charts!$C$65:$C$72</c:f>
              <c:numCache>
                <c:formatCode>0.0%</c:formatCode>
                <c:ptCount val="8"/>
                <c:pt idx="0">
                  <c:v>3.4895338876388064E-2</c:v>
                </c:pt>
                <c:pt idx="1">
                  <c:v>3.6403824182493001E-2</c:v>
                </c:pt>
                <c:pt idx="2">
                  <c:v>4.0755166688468646E-2</c:v>
                </c:pt>
                <c:pt idx="3">
                  <c:v>4.4511793617010624E-2</c:v>
                </c:pt>
                <c:pt idx="4">
                  <c:v>4.8158394901093353E-2</c:v>
                </c:pt>
                <c:pt idx="5">
                  <c:v>5.2362750719338144E-2</c:v>
                </c:pt>
                <c:pt idx="6">
                  <c:v>5.1374802377152994E-2</c:v>
                </c:pt>
                <c:pt idx="7">
                  <c:v>5.7191426157300183E-2</c:v>
                </c:pt>
              </c:numCache>
            </c:numRef>
          </c:val>
        </c:ser>
        <c:dLbls>
          <c:dLblPos val="outEnd"/>
          <c:showLegendKey val="0"/>
          <c:showVal val="1"/>
          <c:showCatName val="0"/>
          <c:showSerName val="0"/>
          <c:showPercent val="0"/>
          <c:showBubbleSize val="0"/>
        </c:dLbls>
        <c:gapWidth val="219"/>
        <c:overlap val="-27"/>
        <c:axId val="446368184"/>
        <c:axId val="445321936"/>
      </c:barChart>
      <c:catAx>
        <c:axId val="446368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5321936"/>
        <c:crosses val="autoZero"/>
        <c:auto val="1"/>
        <c:lblAlgn val="ctr"/>
        <c:lblOffset val="100"/>
        <c:noMultiLvlLbl val="0"/>
      </c:catAx>
      <c:valAx>
        <c:axId val="44532193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63681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t>FY15 Percent of CB expenditures with and without rate support</a:t>
            </a:r>
          </a:p>
        </c:rich>
      </c:tx>
      <c:overlay val="0"/>
      <c:spPr>
        <a:noFill/>
        <a:ln>
          <a:noFill/>
        </a:ln>
        <a:effectLst/>
      </c:spPr>
      <c:txPr>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8642923204464371E-2"/>
          <c:y val="0.19968425809503532"/>
          <c:w val="0.90858596445359274"/>
          <c:h val="0.36858281992286668"/>
        </c:manualLayout>
      </c:layout>
      <c:bar3DChart>
        <c:barDir val="col"/>
        <c:grouping val="clustered"/>
        <c:varyColors val="0"/>
        <c:ser>
          <c:idx val="0"/>
          <c:order val="0"/>
          <c:tx>
            <c:strRef>
              <c:f>Charts!$B$2</c:f>
              <c:strCache>
                <c:ptCount val="1"/>
                <c:pt idx="0">
                  <c:v>Percent of Total CB Expenditures</c:v>
                </c:pt>
              </c:strCache>
            </c:strRef>
          </c:tx>
          <c:spPr>
            <a:gradFill>
              <a:gsLst>
                <a:gs pos="100000">
                  <a:schemeClr val="accent1">
                    <a:alpha val="0"/>
                  </a:schemeClr>
                </a:gs>
                <a:gs pos="50000">
                  <a:schemeClr val="accent1"/>
                </a:gs>
              </a:gsLst>
              <a:lin ang="5400000" scaled="0"/>
            </a:gradFill>
            <a:ln>
              <a:noFill/>
            </a:ln>
            <a:effectLst/>
            <a:sp3d/>
          </c:spPr>
          <c:invertIfNegative val="0"/>
          <c:dLbls>
            <c:dLbl>
              <c:idx val="1"/>
              <c:layout>
                <c:manualLayout>
                  <c:x val="-6.7822732738113513E-3"/>
                  <c:y val="0"/>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5.0867049553584278E-3"/>
                  <c:y val="-1.0954643248457182E-2"/>
                </c:manualLayout>
              </c:layout>
              <c:showLegendKey val="0"/>
              <c:showVal val="1"/>
              <c:showCatName val="0"/>
              <c:showSerName val="0"/>
              <c:showPercent val="0"/>
              <c:showBubbleSize val="0"/>
              <c:extLst>
                <c:ext xmlns:c15="http://schemas.microsoft.com/office/drawing/2012/chart" uri="{CE6537A1-D6FC-4f65-9D91-7224C49458BB}"/>
              </c:extLst>
            </c:dLbl>
            <c:dLbl>
              <c:idx val="4"/>
              <c:layout>
                <c:manualLayout>
                  <c:x val="-5.0867049553586143E-3"/>
                  <c:y val="-5.4773216242285658E-3"/>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Charts!$A$3:$A$12</c:f>
              <c:strCache>
                <c:ptCount val="10"/>
                <c:pt idx="0">
                  <c:v>ACA Expansion Expense + Charity Care *</c:v>
                </c:pt>
                <c:pt idx="1">
                  <c:v>Mission Driven Health Services</c:v>
                </c:pt>
                <c:pt idx="2">
                  <c:v>Health Professions Education *</c:v>
                </c:pt>
                <c:pt idx="3">
                  <c:v>Community Health Services</c:v>
                </c:pt>
                <c:pt idx="4">
                  <c:v>Unreimbursed Medicaid Cost</c:v>
                </c:pt>
                <c:pt idx="5">
                  <c:v>Community Building</c:v>
                </c:pt>
                <c:pt idx="6">
                  <c:v>Financial Contributions</c:v>
                </c:pt>
                <c:pt idx="7">
                  <c:v>Research</c:v>
                </c:pt>
                <c:pt idx="8">
                  <c:v>Community Benefit Operations</c:v>
                </c:pt>
                <c:pt idx="9">
                  <c:v>Foundation</c:v>
                </c:pt>
              </c:strCache>
            </c:strRef>
          </c:cat>
          <c:val>
            <c:numRef>
              <c:f>Charts!$B$3:$B$12</c:f>
              <c:numCache>
                <c:formatCode>0%</c:formatCode>
                <c:ptCount val="10"/>
                <c:pt idx="0">
                  <c:v>0.3</c:v>
                </c:pt>
                <c:pt idx="1">
                  <c:v>0.3</c:v>
                </c:pt>
                <c:pt idx="2">
                  <c:v>0.27</c:v>
                </c:pt>
                <c:pt idx="3">
                  <c:v>0.06</c:v>
                </c:pt>
                <c:pt idx="4">
                  <c:v>0.03</c:v>
                </c:pt>
                <c:pt idx="5">
                  <c:v>0.01</c:v>
                </c:pt>
                <c:pt idx="6">
                  <c:v>0.01</c:v>
                </c:pt>
                <c:pt idx="7">
                  <c:v>0.01</c:v>
                </c:pt>
                <c:pt idx="8">
                  <c:v>0.01</c:v>
                </c:pt>
                <c:pt idx="9">
                  <c:v>0</c:v>
                </c:pt>
              </c:numCache>
            </c:numRef>
          </c:val>
        </c:ser>
        <c:ser>
          <c:idx val="1"/>
          <c:order val="1"/>
          <c:tx>
            <c:strRef>
              <c:f>Charts!$C$2</c:f>
              <c:strCache>
                <c:ptCount val="1"/>
                <c:pt idx="0">
                  <c:v>Percent of Total CB Expenditures w/o Rate Support</c:v>
                </c:pt>
              </c:strCache>
            </c:strRef>
          </c:tx>
          <c:spPr>
            <a:gradFill>
              <a:gsLst>
                <a:gs pos="100000">
                  <a:schemeClr val="accent2">
                    <a:alpha val="0"/>
                  </a:schemeClr>
                </a:gs>
                <a:gs pos="50000">
                  <a:schemeClr val="accent2"/>
                </a:gs>
              </a:gsLst>
              <a:lin ang="5400000" scaled="0"/>
            </a:gradFill>
            <a:ln>
              <a:noFill/>
            </a:ln>
            <a:effectLst/>
            <a:sp3d/>
          </c:spPr>
          <c:invertIfNegative val="0"/>
          <c:dLbls>
            <c:dLbl>
              <c:idx val="0"/>
              <c:layout>
                <c:manualLayout>
                  <c:x val="6.7822732738112889E-3"/>
                  <c:y val="1.919218994316208E-3"/>
                </c:manualLayout>
              </c:layout>
              <c:showLegendKey val="0"/>
              <c:showVal val="1"/>
              <c:showCatName val="0"/>
              <c:showSerName val="0"/>
              <c:showPercent val="0"/>
              <c:showBubbleSize val="0"/>
              <c:extLst>
                <c:ext xmlns:c15="http://schemas.microsoft.com/office/drawing/2012/chart" uri="{CE6537A1-D6FC-4f65-9D91-7224C49458BB}"/>
              </c:extLst>
            </c:dLbl>
            <c:dLbl>
              <c:idx val="1"/>
              <c:layout>
                <c:manualLayout>
                  <c:x val="3.3911366369055976E-3"/>
                  <c:y val="-2.5104100772999913E-17"/>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1.186897822916981E-2"/>
                  <c:y val="-8.2159824363428492E-3"/>
                </c:manualLayout>
              </c:layout>
              <c:showLegendKey val="0"/>
              <c:showVal val="1"/>
              <c:showCatName val="0"/>
              <c:showSerName val="0"/>
              <c:showPercent val="0"/>
              <c:showBubbleSize val="0"/>
              <c:extLst>
                <c:ext xmlns:c15="http://schemas.microsoft.com/office/drawing/2012/chart" uri="{CE6537A1-D6FC-4f65-9D91-7224C49458BB}"/>
              </c:extLst>
            </c:dLbl>
            <c:dLbl>
              <c:idx val="3"/>
              <c:layout>
                <c:manualLayout>
                  <c:x val="8.4778415922640883E-3"/>
                  <c:y val="-5.4773216242285658E-3"/>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Charts!$A$3:$A$12</c:f>
              <c:strCache>
                <c:ptCount val="10"/>
                <c:pt idx="0">
                  <c:v>ACA Expansion Expense + Charity Care *</c:v>
                </c:pt>
                <c:pt idx="1">
                  <c:v>Mission Driven Health Services</c:v>
                </c:pt>
                <c:pt idx="2">
                  <c:v>Health Professions Education *</c:v>
                </c:pt>
                <c:pt idx="3">
                  <c:v>Community Health Services</c:v>
                </c:pt>
                <c:pt idx="4">
                  <c:v>Unreimbursed Medicaid Cost</c:v>
                </c:pt>
                <c:pt idx="5">
                  <c:v>Community Building</c:v>
                </c:pt>
                <c:pt idx="6">
                  <c:v>Financial Contributions</c:v>
                </c:pt>
                <c:pt idx="7">
                  <c:v>Research</c:v>
                </c:pt>
                <c:pt idx="8">
                  <c:v>Community Benefit Operations</c:v>
                </c:pt>
                <c:pt idx="9">
                  <c:v>Foundation</c:v>
                </c:pt>
              </c:strCache>
            </c:strRef>
          </c:cat>
          <c:val>
            <c:numRef>
              <c:f>Charts!$C$3:$C$12</c:f>
              <c:numCache>
                <c:formatCode>0%</c:formatCode>
                <c:ptCount val="10"/>
                <c:pt idx="0">
                  <c:v>5.1999999999999998E-2</c:v>
                </c:pt>
                <c:pt idx="1">
                  <c:v>0.56000000000000005</c:v>
                </c:pt>
                <c:pt idx="2">
                  <c:v>0.14000000000000001</c:v>
                </c:pt>
                <c:pt idx="3">
                  <c:v>0.11</c:v>
                </c:pt>
                <c:pt idx="4">
                  <c:v>7.0000000000000007E-2</c:v>
                </c:pt>
                <c:pt idx="5">
                  <c:v>0.02</c:v>
                </c:pt>
                <c:pt idx="6">
                  <c:v>2.3E-2</c:v>
                </c:pt>
                <c:pt idx="7">
                  <c:v>0.01</c:v>
                </c:pt>
                <c:pt idx="8">
                  <c:v>0.01</c:v>
                </c:pt>
                <c:pt idx="9">
                  <c:v>4.0000000000000001E-3</c:v>
                </c:pt>
              </c:numCache>
            </c:numRef>
          </c:val>
        </c:ser>
        <c:dLbls>
          <c:showLegendKey val="0"/>
          <c:showVal val="1"/>
          <c:showCatName val="0"/>
          <c:showSerName val="0"/>
          <c:showPercent val="0"/>
          <c:showBubbleSize val="0"/>
        </c:dLbls>
        <c:gapWidth val="150"/>
        <c:gapDepth val="0"/>
        <c:shape val="box"/>
        <c:axId val="446367792"/>
        <c:axId val="446367400"/>
        <c:axId val="0"/>
      </c:bar3DChart>
      <c:catAx>
        <c:axId val="446367792"/>
        <c:scaling>
          <c:orientation val="minMax"/>
        </c:scaling>
        <c:delete val="0"/>
        <c:axPos val="b"/>
        <c:numFmt formatCode="General" sourceLinked="1"/>
        <c:majorTickMark val="none"/>
        <c:minorTickMark val="none"/>
        <c:tickLblPos val="low"/>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446367400"/>
        <c:crosses val="autoZero"/>
        <c:auto val="1"/>
        <c:lblAlgn val="ctr"/>
        <c:lblOffset val="300"/>
        <c:noMultiLvlLbl val="0"/>
      </c:catAx>
      <c:valAx>
        <c:axId val="446367400"/>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6367792"/>
        <c:crosses val="autoZero"/>
        <c:crossBetween val="between"/>
      </c:valAx>
      <c:spPr>
        <a:noFill/>
        <a:ln>
          <a:noFill/>
        </a:ln>
        <a:effectLst/>
      </c:spPr>
    </c:plotArea>
    <c:legend>
      <c:legendPos val="b"/>
      <c:layout>
        <c:manualLayout>
          <c:xMode val="edge"/>
          <c:yMode val="edge"/>
          <c:x val="0.16269381118004567"/>
          <c:y val="0.92857230666647639"/>
          <c:w val="0.71808433820171136"/>
          <c:h val="5.269265739028325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3">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
  <cs:dataPoint3D>
    <cs:lnRef idx="0"/>
    <cs:fillRef idx="0">
      <cs:styleClr val="auto"/>
    </cs:fillRef>
    <cs:effectRef idx="0"/>
    <cs:fontRef idx="minor">
      <a:schemeClr val="tx1"/>
    </cs:fontRef>
    <cs:spPr>
      <a:gradFill>
        <a:gsLst>
          <a:gs pos="100000">
            <a:schemeClr val="phClr">
              <a:alpha val="0"/>
            </a:schemeClr>
          </a:gs>
          <a:gs pos="50000">
            <a:schemeClr val="phClr"/>
          </a:gs>
        </a:gsLst>
        <a:lin ang="5400000" scaled="0"/>
      </a:gradFill>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tx1"/>
    </cs:fontRef>
    <cs:spPr>
      <a:ln w="9525" cap="flat" cmpd="sng" algn="ctr">
        <a:solidFill>
          <a:schemeClr val="tx1">
            <a:lumMod val="5000"/>
            <a:lumOff val="9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129887</xdr:colOff>
      <xdr:row>17</xdr:row>
      <xdr:rowOff>189057</xdr:rowOff>
    </xdr:from>
    <xdr:to>
      <xdr:col>14</xdr:col>
      <xdr:colOff>590264</xdr:colOff>
      <xdr:row>34</xdr:row>
      <xdr:rowOff>189057</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115454</xdr:colOff>
      <xdr:row>38</xdr:row>
      <xdr:rowOff>134216</xdr:rowOff>
    </xdr:from>
    <xdr:to>
      <xdr:col>14</xdr:col>
      <xdr:colOff>525318</xdr:colOff>
      <xdr:row>58</xdr:row>
      <xdr:rowOff>134215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141431</xdr:colOff>
      <xdr:row>63</xdr:row>
      <xdr:rowOff>433170</xdr:rowOff>
    </xdr:from>
    <xdr:to>
      <xdr:col>14</xdr:col>
      <xdr:colOff>580158</xdr:colOff>
      <xdr:row>82</xdr:row>
      <xdr:rowOff>137102</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8659</xdr:colOff>
      <xdr:row>1</xdr:row>
      <xdr:rowOff>3969</xdr:rowOff>
    </xdr:from>
    <xdr:to>
      <xdr:col>14</xdr:col>
      <xdr:colOff>554182</xdr:colOff>
      <xdr:row>17</xdr:row>
      <xdr:rowOff>17317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0.04846</cdr:x>
      <cdr:y>0.87404</cdr:y>
    </cdr:from>
    <cdr:to>
      <cdr:x>0.19751</cdr:x>
      <cdr:y>1</cdr:y>
    </cdr:to>
    <cdr:sp macro="" textlink="">
      <cdr:nvSpPr>
        <cdr:cNvPr id="2" name="TextBox 1"/>
        <cdr:cNvSpPr txBox="1"/>
      </cdr:nvSpPr>
      <cdr:spPr>
        <a:xfrm xmlns:a="http://schemas.openxmlformats.org/drawingml/2006/main">
          <a:off x="297296" y="3554916"/>
          <a:ext cx="914400" cy="51233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0.03576</cdr:x>
      <cdr:y>0.88255</cdr:y>
    </cdr:from>
    <cdr:to>
      <cdr:x>0.1848</cdr:x>
      <cdr:y>1</cdr:y>
    </cdr:to>
    <cdr:sp macro="" textlink="">
      <cdr:nvSpPr>
        <cdr:cNvPr id="3" name="TextBox 2"/>
        <cdr:cNvSpPr txBox="1"/>
      </cdr:nvSpPr>
      <cdr:spPr>
        <a:xfrm xmlns:a="http://schemas.openxmlformats.org/drawingml/2006/main">
          <a:off x="219364" y="3589552"/>
          <a:ext cx="914400" cy="47769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000"/>
            <a:t>* Rate</a:t>
          </a:r>
          <a:r>
            <a:rPr lang="en-US" sz="1000" baseline="0"/>
            <a:t> Supported Activities</a:t>
          </a:r>
        </a:p>
        <a:p xmlns:a="http://schemas.openxmlformats.org/drawingml/2006/main">
          <a:endParaRPr lang="en-US"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waugustin\Local%20Settings\Temp\DOCUME~1\GHEMIN~1\LOCALS~1\Temp\UMMS_BudBk_FY06_draftv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AWILLIAM\AppData\Local\Microsoft\Windows\Temporary%20Internet%20Files\Content.Outlook\TN51YYFR\Community%20Benefit%20FY%2015%20YTD%20Contribution%20Prelim.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Kfmcgrath\AppData\Local\Microsoft\Windows\Temporary%20Internet%20Files\Content.Outlook\AWMQKF2F\SHS%20MHE%20DGH%20Inventory%202015%20%20Final%20Draft%2011052015%20(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Mitch\Community%20Benefit%20Report\FY%2015\cbr%20detail%20schedule_fy15.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Community%20Benefit\Community%20Benefit%20SFY%202015\FY2015%20AHC_Community%20Benefit%20Financial%20Reporting_Master%20Data%20Collection%20List.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Community%20Benefit\Community%20Benefit%20SFY%202015\COPY%20-%20AUDIT_AHC_COMB_SCHED_PL_2014-12-3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azumbrum\Downloads\FY15-CB_DataCollectionTool%20Suburban%20-%20HSCRC%20-%20FINAL.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X:\Budget\Revenue%20Management\NSP\FY%202016%20Budget%20Submission\NSPI%20FY16%20Beginning%20Budget%20Form.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X:\Budget\Revenue%20Management\FY%202014\Annual%20Update\Suburban%20Global%200714-final-update%20120814-Approved%20Overhead%20Calculation.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X:\Financial%20Analysis\Community%20Benefits\Community%20Benefits%20FY15\TRAUMA%20PMTS%20June%2015%20application%20-%20Trauma%20number%20for%20Mission%20Driven%20Programs.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X:\Financial%20Analysis\Community%20Benefits\Community%20Benefits%20FY15\6001508652_Statement%20-%20Readmissions%20entry...%20%202%20CC's%20-%20use%20this%20on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ATES\ANU_FILE\FY%202011\UMMC\UMH\Annual%20Filing%20Model\UMH%20AF_2011_v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X:\Financial%20Analysis\Community%20Benefits\Community%20Benefits%20FY15\6005408678_Statement%20-%20Hearwell%20Entry.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Lmccorm5\AppData\Local\Microsoft\Windows\Temporary%20Internet%20Files\Content.IE5\ZW4HPA7D\Monthly%20Comparison_2015-11-11_17-40-27.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X:\Budget\Medicare%20Cost%20Report%20FY%202015\Copy%20of%20Copy%20of%20CO%20Line%20Item%20Detail_2015-11-07_21-31-06.v2.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X:\Budget\FILING%2015\Reclasses\Reclass%2027%20-%20FY15%20Other%20Hosp%20Based%20Physicians%20revisedv2.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X:\Financial%20Analysis\Community%20Benefits\Community%20Benefits%20FY15\Copy%20of%20CO%20Line%20Item%20Detail_2015-11-12_16-17-20%20-%20Research.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X:\Financial%20Analysis\Community%20Benefits\Community%20Benefits%20FY15\Worksheet%20JHH_SH_JHBMC_HCGH_Financial%20Stmt%206%2030%2015.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sers\Kfmcgrath\AppData\Local\Microsoft\Windows\Temporary%20Internet%20Files\Content.Outlook\AWMQKF2F\CRH%20Inventory%202015%20Final%20Draft%20FY15%201105201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Users\AWILLIAM\AppData\Local\Microsoft\Windows\Temporary%20Internet%20Files\Content.Outlook\TN51YYFR\Community%20Benefit%20Report%20Detail%20-%20FY15.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CNJOKA\AppData\Local\Microsoft\Windows\Temporary%20Internet%20Files\Content.Outlook\919WZKV5\MTC%20FY15%20Community%20Benefits%20Report%20102915%20Linked%20(2).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AWILLIAM\AppData\Local\Microsoft\Windows\Temporary%20Internet%20Files\Content.Outlook\TN51YYFR\MTC%20FY15%20Physician%20Payment%20Schedule%20-%20Robin%20Fowlkes%20-%20Edited%20CP%20-%20Brian%20Bailey.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ofs\CLIENTS%20-%20DATA%20FILES\2015\UMMS\Annual%20Filings%20FY%2014\SJMC\SJMC%20Annual%20Filing%202014_Final2%20(unlinked).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P:\Fran%20Moll\FinPlan\HSCRC_Community%20Benefit%20Rpt\FY%202015\FY%202015%20_HCGH%20Master%20File\Data%20Entry_Master%20File_15.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X:\Financial%20Analysis\Community%20Benefits\Community%20Benefits%20FY15\FY-2015-Deficit-Assessment%20(3)%20(003)%20-%20Medicai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X:\Financial%20Analysis\Community%20Benefits\Community%20Benefits%20FY15\Copy%20of%20State%20On-Call%20FY15%20-%20Mission%20Driven%20stats%20for%20offsetting%20revenue.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Users\kellietaylor.UMMS\AppData\Local\Microsoft\Windows\Temporary%20Internet%20Files\Content.Outlook\46J9JHG6\FY15-CB-Data-Collection-Tool%20-%20UM%20St%20%20Joseph%20Medical%20Cente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BMAS\MASTER\FY03\Control%20Structure\Control%20Structure%20FY03%200602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09%20HSCRC\Annual%20Report%202009\Submission%202009\0010%20DGH%20AF_2009%20Submission%20110320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RATES\ANU_FILE\FY%202008\JLK\JLK%20-%20AF_2008%20(Volume%20Adjustmen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V:\VP%20&amp;%20DirF&amp;A\Sherry%20Fluke\EBCA%20Budget%20FY2014\EBCA_JHHS_FY2014_MasterBook_JUN2014_071414_SF.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Amanda\CommunityBenefitsReports\FY13Reports\from%20Bernadette%20Spallitta\HSCRC-FY2013-CB-Data-Report%20Revised.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AWILLIAM\AppData\Local\Microsoft\Windows\Temporary%20Internet%20Files\Content.Outlook\TN51YYFR\FY15%20UMMC-CB_DataCollectionTool%20Inter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6 BUD IS"/>
      <sheetName val="p7 CONS IS"/>
      <sheetName val="p8 CONS BS"/>
      <sheetName val="p9 NARF"/>
      <sheetName val="p10 CF"/>
      <sheetName val="p11 EBIDA"/>
      <sheetName val="p12 RATIOS"/>
      <sheetName val="p13 SRCS"/>
      <sheetName val="p14 USES"/>
      <sheetName val="p26 UMSH IS"/>
      <sheetName val="p27 JLK IS"/>
      <sheetName val="p28 MGHS IS"/>
      <sheetName val="p29 NAHS IS"/>
      <sheetName val="is fy01"/>
      <sheetName val="is fy02"/>
      <sheetName val="is fy03"/>
      <sheetName val="is fy04"/>
      <sheetName val="proj bs"/>
      <sheetName val="bud bs"/>
      <sheetName val="proj is"/>
      <sheetName val="bud is"/>
      <sheetName val="GAAP JE"/>
      <sheetName val="ELIMS"/>
      <sheetName val="Ummcsh"/>
      <sheetName val="UMMCSH ratios for hank"/>
      <sheetName val="UCare"/>
      <sheetName val="Kernan"/>
      <sheetName val="Kern End"/>
      <sheetName val="MGHS"/>
      <sheetName val="NAHS"/>
      <sheetName val="Fdtn"/>
      <sheetName val="Shipley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Y15 Summary"/>
      <sheetName val="FY 15"/>
      <sheetName val="FY 15 (Adj for Rpt)"/>
      <sheetName val="Salary from Payroll FY15"/>
      <sheetName val="FY14 Summary"/>
      <sheetName val="FY 14"/>
      <sheetName val="FY 14 (Adj for Rpt) "/>
      <sheetName val="Salary from Payroll FY14"/>
      <sheetName val="FY13 Summary"/>
      <sheetName val="Salary from Payroll FY13"/>
      <sheetName val="FY 13 (Adj for Rpt)"/>
      <sheetName val="FY 13"/>
      <sheetName val="FY 12"/>
      <sheetName val="FY11"/>
      <sheetName val="FY 09"/>
      <sheetName val="FY 08"/>
      <sheetName val="FY 07"/>
      <sheetName val="FY 06"/>
      <sheetName val="FY 05"/>
      <sheetName val="FY04"/>
    </sheetNames>
    <sheetDataSet>
      <sheetData sheetId="0"/>
      <sheetData sheetId="1">
        <row r="24">
          <cell r="G24">
            <v>46027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4 CBR Initiatives (2)"/>
      <sheetName val="2015 CBR Initiatives"/>
      <sheetName val="MHE CBR FY2015"/>
      <sheetName val="DGH CBR FY2015"/>
      <sheetName val="MHE 2015"/>
      <sheetName val="DGH 2015"/>
      <sheetName val="EST UMMS FSS FIN DATA 2015"/>
      <sheetName val="SHS MHE DGH Com Ben Rpt 2013 cc"/>
      <sheetName val="Activities Comm Ben 2012"/>
      <sheetName val="SHS MHE DGH 2012"/>
    </sheetNames>
    <sheetDataSet>
      <sheetData sheetId="0"/>
      <sheetData sheetId="1">
        <row r="50">
          <cell r="E50">
            <v>3420</v>
          </cell>
          <cell r="F50">
            <v>6011</v>
          </cell>
          <cell r="G50">
            <v>178547.89886862144</v>
          </cell>
          <cell r="H50">
            <v>102276.12163720855</v>
          </cell>
          <cell r="I50">
            <v>5030</v>
          </cell>
        </row>
        <row r="56">
          <cell r="E56">
            <v>282</v>
          </cell>
          <cell r="F56">
            <v>183</v>
          </cell>
          <cell r="G56">
            <v>10487.90938467279</v>
          </cell>
          <cell r="H56">
            <v>6007.7027102743941</v>
          </cell>
          <cell r="I56">
            <v>460</v>
          </cell>
        </row>
        <row r="58">
          <cell r="E58">
            <v>40</v>
          </cell>
          <cell r="F58">
            <v>0</v>
          </cell>
          <cell r="G58">
            <v>1619.6426298585968</v>
          </cell>
          <cell r="H58">
            <v>927.76654147083991</v>
          </cell>
          <cell r="I58">
            <v>0</v>
          </cell>
        </row>
        <row r="60">
          <cell r="E60">
            <v>0</v>
          </cell>
          <cell r="F60">
            <v>0</v>
          </cell>
          <cell r="G60">
            <v>0</v>
          </cell>
          <cell r="H60">
            <v>0</v>
          </cell>
          <cell r="I60">
            <v>0</v>
          </cell>
        </row>
        <row r="63">
          <cell r="E63">
            <v>60</v>
          </cell>
          <cell r="F63">
            <v>98</v>
          </cell>
          <cell r="G63">
            <v>3829.4639447878949</v>
          </cell>
          <cell r="H63">
            <v>2193.6002759160069</v>
          </cell>
          <cell r="I63">
            <v>0</v>
          </cell>
        </row>
        <row r="66">
          <cell r="E66">
            <v>526</v>
          </cell>
          <cell r="F66">
            <v>364</v>
          </cell>
          <cell r="G66">
            <v>189040.30058264054</v>
          </cell>
          <cell r="H66">
            <v>108286.39765148467</v>
          </cell>
          <cell r="I66">
            <v>0</v>
          </cell>
        </row>
        <row r="68">
          <cell r="E68">
            <v>13728</v>
          </cell>
          <cell r="F68">
            <v>115</v>
          </cell>
          <cell r="G68">
            <v>582158.35056747042</v>
          </cell>
          <cell r="H68">
            <v>333472.97085006029</v>
          </cell>
          <cell r="I68">
            <v>35289</v>
          </cell>
        </row>
        <row r="73">
          <cell r="E73">
            <v>106</v>
          </cell>
          <cell r="F73">
            <v>7</v>
          </cell>
          <cell r="G73">
            <v>4292.0529691252814</v>
          </cell>
          <cell r="H73">
            <v>2458.5813348977254</v>
          </cell>
          <cell r="I73">
            <v>0</v>
          </cell>
        </row>
        <row r="75">
          <cell r="E75">
            <v>6</v>
          </cell>
          <cell r="F75">
            <v>60</v>
          </cell>
          <cell r="G75">
            <v>242.94639447878947</v>
          </cell>
          <cell r="H75">
            <v>139.16498122062598</v>
          </cell>
          <cell r="I75">
            <v>0</v>
          </cell>
        </row>
        <row r="77">
          <cell r="E77">
            <v>7280</v>
          </cell>
          <cell r="F77">
            <v>1456</v>
          </cell>
          <cell r="G77">
            <v>265344.83041622932</v>
          </cell>
          <cell r="H77">
            <v>151995.29271091378</v>
          </cell>
          <cell r="I77">
            <v>0</v>
          </cell>
        </row>
        <row r="81">
          <cell r="E81">
            <v>4070</v>
          </cell>
          <cell r="F81">
            <v>910</v>
          </cell>
          <cell r="G81">
            <v>159970.96049403131</v>
          </cell>
          <cell r="H81">
            <v>91634.847105915745</v>
          </cell>
          <cell r="I81">
            <v>0</v>
          </cell>
        </row>
        <row r="103">
          <cell r="E103">
            <v>0</v>
          </cell>
          <cell r="F103">
            <v>0</v>
          </cell>
          <cell r="G103">
            <v>19112</v>
          </cell>
          <cell r="H103">
            <v>10947.769473157634</v>
          </cell>
          <cell r="I103">
            <v>0</v>
          </cell>
        </row>
        <row r="106">
          <cell r="E106">
            <v>0</v>
          </cell>
          <cell r="F106">
            <v>0</v>
          </cell>
          <cell r="G106">
            <v>170000</v>
          </cell>
          <cell r="H106">
            <v>97379.699164755002</v>
          </cell>
          <cell r="I106">
            <v>120000</v>
          </cell>
        </row>
        <row r="110">
          <cell r="E110">
            <v>20</v>
          </cell>
          <cell r="F110">
            <v>10000</v>
          </cell>
          <cell r="G110">
            <v>170200.82131492929</v>
          </cell>
          <cell r="H110">
            <v>97494.733983776692</v>
          </cell>
          <cell r="I110">
            <v>0</v>
          </cell>
        </row>
        <row r="114">
          <cell r="E114">
            <v>422</v>
          </cell>
          <cell r="F114">
            <v>2395</v>
          </cell>
          <cell r="G114">
            <v>26941.324516760073</v>
          </cell>
          <cell r="H114">
            <v>15432.576920836083</v>
          </cell>
        </row>
        <row r="116">
          <cell r="E116">
            <v>123</v>
          </cell>
          <cell r="F116">
            <v>0</v>
          </cell>
          <cell r="G116">
            <v>4980.4010868151845</v>
          </cell>
          <cell r="H116">
            <v>2852.8821150228323</v>
          </cell>
        </row>
        <row r="121">
          <cell r="E121">
            <v>66</v>
          </cell>
          <cell r="F121">
            <v>0</v>
          </cell>
          <cell r="G121">
            <v>5172.4103392666839</v>
          </cell>
          <cell r="H121">
            <v>2962.8691929085771</v>
          </cell>
        </row>
        <row r="123">
          <cell r="E123">
            <v>575</v>
          </cell>
          <cell r="F123">
            <v>0</v>
          </cell>
          <cell r="G123">
            <v>23282.36280421733</v>
          </cell>
          <cell r="H123">
            <v>13336.644033643324</v>
          </cell>
          <cell r="I123">
            <v>0</v>
          </cell>
        </row>
        <row r="126">
          <cell r="E126">
            <v>385</v>
          </cell>
          <cell r="F126">
            <v>0</v>
          </cell>
          <cell r="G126">
            <v>19054.060312388996</v>
          </cell>
          <cell r="H126">
            <v>10914.580359338459</v>
          </cell>
          <cell r="I126">
            <v>0</v>
          </cell>
        </row>
        <row r="128">
          <cell r="E128">
            <v>80</v>
          </cell>
          <cell r="F128">
            <v>0</v>
          </cell>
          <cell r="G128">
            <v>3239.2852597171936</v>
          </cell>
          <cell r="H128">
            <v>1855.5330829416798</v>
          </cell>
        </row>
        <row r="137">
          <cell r="E137">
            <v>36</v>
          </cell>
          <cell r="F137">
            <v>231</v>
          </cell>
          <cell r="G137">
            <v>1271.6745674658403</v>
          </cell>
          <cell r="H137">
            <v>728.44286361937327</v>
          </cell>
          <cell r="I137">
            <v>0</v>
          </cell>
        </row>
        <row r="139">
          <cell r="E139">
            <v>0</v>
          </cell>
          <cell r="F139">
            <v>0</v>
          </cell>
          <cell r="G139">
            <v>0</v>
          </cell>
          <cell r="H139">
            <v>0</v>
          </cell>
          <cell r="I139">
            <v>0</v>
          </cell>
        </row>
        <row r="143">
          <cell r="E143">
            <v>22</v>
          </cell>
          <cell r="F143">
            <v>78</v>
          </cell>
          <cell r="G143">
            <v>1149.7930134105172</v>
          </cell>
          <cell r="H143">
            <v>658.626457339137</v>
          </cell>
          <cell r="I143">
            <v>0</v>
          </cell>
        </row>
        <row r="155">
          <cell r="E155">
            <v>200</v>
          </cell>
          <cell r="F155">
            <v>0</v>
          </cell>
          <cell r="G155">
            <v>7064.8587081435571</v>
          </cell>
          <cell r="H155">
            <v>4046.9047978854073</v>
          </cell>
          <cell r="I155">
            <v>0</v>
          </cell>
        </row>
        <row r="157">
          <cell r="E157">
            <v>175</v>
          </cell>
          <cell r="F157">
            <v>0</v>
          </cell>
          <cell r="G157">
            <v>6181.7513696256119</v>
          </cell>
          <cell r="H157">
            <v>3541.041698149731</v>
          </cell>
          <cell r="I157">
            <v>0</v>
          </cell>
        </row>
        <row r="172">
          <cell r="E172">
            <v>406</v>
          </cell>
          <cell r="F172">
            <v>0</v>
          </cell>
          <cell r="G172">
            <v>3320.2673912101232</v>
          </cell>
          <cell r="H172">
            <v>1901.9214100152217</v>
          </cell>
        </row>
      </sheetData>
      <sheetData sheetId="2"/>
      <sheetData sheetId="3"/>
      <sheetData sheetId="4">
        <row r="20">
          <cell r="D20">
            <v>1353</v>
          </cell>
        </row>
        <row r="28">
          <cell r="F28">
            <v>885000</v>
          </cell>
          <cell r="H28">
            <v>10192</v>
          </cell>
        </row>
        <row r="29">
          <cell r="H29">
            <v>25</v>
          </cell>
        </row>
        <row r="32">
          <cell r="E32">
            <v>132899.99999999997</v>
          </cell>
        </row>
        <row r="90">
          <cell r="L90">
            <v>912155.8</v>
          </cell>
          <cell r="N90">
            <v>1478.1328795981203</v>
          </cell>
        </row>
        <row r="93">
          <cell r="I93">
            <v>654247.93999999994</v>
          </cell>
        </row>
        <row r="94">
          <cell r="I94">
            <v>1184395.25</v>
          </cell>
        </row>
        <row r="95">
          <cell r="N95">
            <v>36866</v>
          </cell>
        </row>
        <row r="96">
          <cell r="N96">
            <v>18250</v>
          </cell>
        </row>
        <row r="97">
          <cell r="N97">
            <v>15531</v>
          </cell>
        </row>
        <row r="98">
          <cell r="N98">
            <v>14763</v>
          </cell>
        </row>
        <row r="104">
          <cell r="I104">
            <v>1205624.1499999999</v>
          </cell>
        </row>
        <row r="106">
          <cell r="I106">
            <v>27295</v>
          </cell>
        </row>
        <row r="107">
          <cell r="I107">
            <v>0</v>
          </cell>
          <cell r="L107">
            <v>0</v>
          </cell>
        </row>
        <row r="108">
          <cell r="I108">
            <v>0</v>
          </cell>
        </row>
        <row r="109">
          <cell r="I109">
            <v>1357492</v>
          </cell>
        </row>
        <row r="110">
          <cell r="I110">
            <v>608685</v>
          </cell>
        </row>
        <row r="111">
          <cell r="I111">
            <v>299802.23999999999</v>
          </cell>
        </row>
        <row r="113">
          <cell r="I113">
            <v>473633.94</v>
          </cell>
        </row>
        <row r="114">
          <cell r="I114">
            <v>143883.93</v>
          </cell>
        </row>
        <row r="232">
          <cell r="F232">
            <v>9321</v>
          </cell>
          <cell r="G232">
            <v>19270</v>
          </cell>
        </row>
        <row r="240">
          <cell r="F240">
            <v>202347</v>
          </cell>
          <cell r="G240">
            <v>0</v>
          </cell>
        </row>
        <row r="244">
          <cell r="G244">
            <v>0</v>
          </cell>
        </row>
      </sheetData>
      <sheetData sheetId="5">
        <row r="18">
          <cell r="D18">
            <v>649</v>
          </cell>
        </row>
        <row r="24">
          <cell r="E24">
            <v>102600</v>
          </cell>
          <cell r="G24">
            <v>3120</v>
          </cell>
        </row>
        <row r="25">
          <cell r="G25">
            <v>18</v>
          </cell>
        </row>
        <row r="28">
          <cell r="E28">
            <v>18600.000000000007</v>
          </cell>
        </row>
        <row r="84">
          <cell r="I84">
            <v>0</v>
          </cell>
        </row>
        <row r="85">
          <cell r="I85">
            <v>240524.2</v>
          </cell>
        </row>
        <row r="86">
          <cell r="O86">
            <v>382.12289615246522</v>
          </cell>
        </row>
        <row r="87">
          <cell r="O87">
            <v>286.5921721143489</v>
          </cell>
        </row>
        <row r="89">
          <cell r="I89">
            <v>810852.88</v>
          </cell>
        </row>
        <row r="90">
          <cell r="O90">
            <v>21572</v>
          </cell>
        </row>
        <row r="91">
          <cell r="O91">
            <v>10950</v>
          </cell>
        </row>
        <row r="95">
          <cell r="J95">
            <v>359300</v>
          </cell>
        </row>
        <row r="100">
          <cell r="I100">
            <v>0</v>
          </cell>
        </row>
        <row r="102">
          <cell r="I102">
            <v>800820</v>
          </cell>
        </row>
        <row r="104">
          <cell r="I104">
            <v>372109.4</v>
          </cell>
        </row>
        <row r="105">
          <cell r="I105">
            <v>133589.06</v>
          </cell>
        </row>
      </sheetData>
      <sheetData sheetId="6">
        <row r="8">
          <cell r="R8">
            <v>45005.618000000002</v>
          </cell>
          <cell r="AC8">
            <v>183148.63699999999</v>
          </cell>
        </row>
        <row r="9">
          <cell r="R9">
            <v>306.77999999999997</v>
          </cell>
          <cell r="AC9">
            <v>2938.3130000000001</v>
          </cell>
        </row>
        <row r="12">
          <cell r="R12">
            <v>38814.754000000001</v>
          </cell>
          <cell r="AC12">
            <v>169250.12599999999</v>
          </cell>
        </row>
        <row r="16">
          <cell r="R16">
            <v>45.253999999999905</v>
          </cell>
          <cell r="AC16">
            <v>-290.10599999999977</v>
          </cell>
        </row>
        <row r="17">
          <cell r="AZ17">
            <v>0.59525767283856001</v>
          </cell>
        </row>
        <row r="22">
          <cell r="AZ22">
            <v>0.57282175979267647</v>
          </cell>
        </row>
        <row r="29">
          <cell r="R29">
            <v>1542.184</v>
          </cell>
          <cell r="AC29">
            <v>4177.8360000000002</v>
          </cell>
        </row>
      </sheetData>
      <sheetData sheetId="7"/>
      <sheetData sheetId="8"/>
      <sheetData sheetId="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ummary"/>
      <sheetName val="Rqstd Items"/>
      <sheetName val="Cost of initiatives"/>
      <sheetName val="Indirect Calc"/>
      <sheetName val="Attachments"/>
      <sheetName val="Screenings"/>
      <sheetName val="Programs"/>
      <sheetName val="Comm Ben Ops"/>
    </sheetNames>
    <sheetDataSet>
      <sheetData sheetId="0"/>
      <sheetData sheetId="1">
        <row r="38">
          <cell r="V38">
            <v>4473.16</v>
          </cell>
        </row>
        <row r="39">
          <cell r="V39">
            <v>13771</v>
          </cell>
        </row>
      </sheetData>
      <sheetData sheetId="2"/>
      <sheetData sheetId="3"/>
      <sheetData sheetId="4"/>
      <sheetData sheetId="5"/>
      <sheetData sheetId="6"/>
      <sheetData sheetId="7"/>
      <sheetData sheetId="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 Master List - FY15&amp;FY14"/>
      <sheetName val="Main Notes"/>
      <sheetName val="Support Center % Presentation"/>
      <sheetName val="Support Center Percentages"/>
      <sheetName val="Category T"/>
      <sheetName val="Category A"/>
      <sheetName val="Category B"/>
      <sheetName val="Category C"/>
      <sheetName val="Category D"/>
      <sheetName val="Category E"/>
      <sheetName val="Category F"/>
      <sheetName val="Category G"/>
      <sheetName val="Category H"/>
      <sheetName val="SGMC - Notes"/>
      <sheetName val="WAH - Notes"/>
    </sheetNames>
    <sheetDataSet>
      <sheetData sheetId="0">
        <row r="9">
          <cell r="AD9">
            <v>6068142.6048915852</v>
          </cell>
        </row>
        <row r="34">
          <cell r="G34">
            <v>14716.672597604909</v>
          </cell>
          <cell r="H34">
            <v>30371.47096303077</v>
          </cell>
          <cell r="I34">
            <v>616492.82276114472</v>
          </cell>
          <cell r="J34">
            <v>430553.29370357294</v>
          </cell>
          <cell r="K34">
            <v>56989.65625</v>
          </cell>
          <cell r="AB34">
            <v>12474.123053135054</v>
          </cell>
          <cell r="AC34">
            <v>16087.069546664718</v>
          </cell>
          <cell r="AD34">
            <v>493102.87418437225</v>
          </cell>
          <cell r="AE34">
            <v>270907.58191981516</v>
          </cell>
          <cell r="AF34">
            <v>45591.725000000006</v>
          </cell>
          <cell r="AY34">
            <v>50989.53788544597</v>
          </cell>
          <cell r="AZ34">
            <v>58933.722475771036</v>
          </cell>
          <cell r="BA34">
            <v>4707.3456062500009</v>
          </cell>
          <cell r="BT34">
            <v>13807.560433901761</v>
          </cell>
          <cell r="BU34">
            <v>15958.782299756198</v>
          </cell>
          <cell r="BV34">
            <v>1276.5683000000001</v>
          </cell>
          <cell r="DH34">
            <v>18553.42040283672</v>
          </cell>
          <cell r="DI34">
            <v>743.68778704559304</v>
          </cell>
          <cell r="DJ34">
            <v>277029.42733513529</v>
          </cell>
          <cell r="DK34">
            <v>262087.43481569435</v>
          </cell>
          <cell r="DL34">
            <v>71139.017343750005</v>
          </cell>
        </row>
        <row r="47">
          <cell r="G47">
            <v>569.32749999999999</v>
          </cell>
          <cell r="H47">
            <v>0</v>
          </cell>
          <cell r="I47">
            <v>23767.777249999999</v>
          </cell>
          <cell r="J47">
            <v>16599.211541778415</v>
          </cell>
          <cell r="K47">
            <v>1765.8624999999997</v>
          </cell>
          <cell r="AB47">
            <v>455.46199999999999</v>
          </cell>
          <cell r="AC47">
            <v>0</v>
          </cell>
          <cell r="AD47">
            <v>19014.221799999999</v>
          </cell>
          <cell r="AE47">
            <v>10446.292487029856</v>
          </cell>
          <cell r="AF47">
            <v>1412.69</v>
          </cell>
          <cell r="AY47">
            <v>1963.2184008500001</v>
          </cell>
          <cell r="AZ47">
            <v>2269.0883893663472</v>
          </cell>
          <cell r="BA47">
            <v>145.8602425</v>
          </cell>
          <cell r="BT47">
            <v>532.39821039999993</v>
          </cell>
          <cell r="BU47">
            <v>615.34600389595846</v>
          </cell>
          <cell r="BV47">
            <v>39.555319999999995</v>
          </cell>
          <cell r="DH47">
            <v>233.08611250000001</v>
          </cell>
          <cell r="DI47">
            <v>96</v>
          </cell>
          <cell r="DJ47">
            <v>11432.908838750001</v>
          </cell>
          <cell r="DK47">
            <v>10816.257965276578</v>
          </cell>
          <cell r="DL47">
            <v>167.75693749999999</v>
          </cell>
        </row>
        <row r="50">
          <cell r="G50">
            <v>1246.05</v>
          </cell>
          <cell r="I50">
            <v>17786.496149999999</v>
          </cell>
          <cell r="J50">
            <v>12421.936181721718</v>
          </cell>
          <cell r="AB50">
            <v>996.84</v>
          </cell>
          <cell r="AC50">
            <v>0</v>
          </cell>
          <cell r="AD50">
            <v>14229.19692</v>
          </cell>
          <cell r="AE50">
            <v>7817.4302606412402</v>
          </cell>
          <cell r="AF50">
            <v>0</v>
          </cell>
          <cell r="AY50">
            <v>1469.16458199</v>
          </cell>
          <cell r="AZ50">
            <v>1698.0608441823997</v>
          </cell>
          <cell r="BA50">
            <v>0</v>
          </cell>
          <cell r="BT50">
            <v>398.41751375999996</v>
          </cell>
          <cell r="BU50">
            <v>460.49107638844731</v>
          </cell>
          <cell r="BV50">
            <v>0</v>
          </cell>
          <cell r="DH50">
            <v>118.37474999999999</v>
          </cell>
          <cell r="DI50">
            <v>0</v>
          </cell>
          <cell r="DJ50">
            <v>1689.7171342499998</v>
          </cell>
          <cell r="DK50">
            <v>1598.5797376824094</v>
          </cell>
          <cell r="DL50">
            <v>0</v>
          </cell>
        </row>
        <row r="56">
          <cell r="G56">
            <v>5541.0622302135525</v>
          </cell>
          <cell r="H56">
            <v>3269.9992533978166</v>
          </cell>
          <cell r="I56">
            <v>410522.46379201644</v>
          </cell>
          <cell r="J56">
            <v>286705.36362990149</v>
          </cell>
          <cell r="AB56">
            <v>968.32047486377553</v>
          </cell>
          <cell r="AC56">
            <v>1916.2926881169149</v>
          </cell>
          <cell r="AD56">
            <v>17065.138496575695</v>
          </cell>
          <cell r="AE56">
            <v>9375.4785203411593</v>
          </cell>
          <cell r="AF56">
            <v>0</v>
          </cell>
          <cell r="AY56">
            <v>1941.7317294639599</v>
          </cell>
          <cell r="AZ56">
            <v>2244.2540884311661</v>
          </cell>
          <cell r="BA56">
            <v>0</v>
          </cell>
          <cell r="BT56">
            <v>482.9207406104905</v>
          </cell>
          <cell r="BU56">
            <v>558.15993015806362</v>
          </cell>
          <cell r="BV56">
            <v>0</v>
          </cell>
          <cell r="DH56">
            <v>51.827473140634503</v>
          </cell>
          <cell r="DI56">
            <v>4.9801245975927646</v>
          </cell>
          <cell r="DJ56">
            <v>2109.2292413334062</v>
          </cell>
          <cell r="DK56">
            <v>1995.4648378584518</v>
          </cell>
          <cell r="DL56">
            <v>0</v>
          </cell>
        </row>
        <row r="67">
          <cell r="G67">
            <v>6378.8094999999994</v>
          </cell>
          <cell r="H67">
            <v>0</v>
          </cell>
          <cell r="I67">
            <v>271124.10245000001</v>
          </cell>
          <cell r="J67">
            <v>189350.74505725404</v>
          </cell>
          <cell r="K67">
            <v>23828.8675</v>
          </cell>
          <cell r="AB67">
            <v>5103.0476000000008</v>
          </cell>
          <cell r="AC67">
            <v>0</v>
          </cell>
          <cell r="AD67">
            <v>216899.28195999999</v>
          </cell>
          <cell r="AE67">
            <v>119163.08557949599</v>
          </cell>
          <cell r="AF67">
            <v>19063.094000000001</v>
          </cell>
          <cell r="AY67">
            <v>22394.85086237</v>
          </cell>
          <cell r="AZ67">
            <v>25883.975033747294</v>
          </cell>
          <cell r="BA67">
            <v>1968.2644555000002</v>
          </cell>
          <cell r="BT67">
            <v>6073.1798948800006</v>
          </cell>
          <cell r="BU67">
            <v>7019.3830599992662</v>
          </cell>
          <cell r="BV67">
            <v>533.76663200000007</v>
          </cell>
          <cell r="DH67">
            <v>605.98690250000004</v>
          </cell>
          <cell r="DI67">
            <v>0</v>
          </cell>
          <cell r="DJ67">
            <v>25756.789732749996</v>
          </cell>
          <cell r="DK67">
            <v>24367.559125685344</v>
          </cell>
          <cell r="DL67">
            <v>2263.7424125000002</v>
          </cell>
        </row>
        <row r="89">
          <cell r="G89">
            <v>304.76443466262396</v>
          </cell>
          <cell r="H89">
            <v>358.49533739616845</v>
          </cell>
          <cell r="I89">
            <v>1226928.0001000001</v>
          </cell>
          <cell r="J89">
            <v>825917.10563180631</v>
          </cell>
          <cell r="K89">
            <v>731.7</v>
          </cell>
          <cell r="AB89">
            <v>14285.218835829504</v>
          </cell>
          <cell r="AC89">
            <v>5276.6317875536743</v>
          </cell>
          <cell r="AD89">
            <v>2235941.8860800001</v>
          </cell>
          <cell r="AE89">
            <v>1181698.8607353079</v>
          </cell>
          <cell r="AF89">
            <v>585.36</v>
          </cell>
          <cell r="AY89">
            <v>149444.45668026002</v>
          </cell>
          <cell r="AZ89">
            <v>116560.49015508121</v>
          </cell>
          <cell r="BA89">
            <v>60.438420000000008</v>
          </cell>
          <cell r="BT89">
            <v>92.348930239999987</v>
          </cell>
          <cell r="BU89">
            <v>106.73691999181565</v>
          </cell>
          <cell r="BV89">
            <v>16.390080000000001</v>
          </cell>
          <cell r="DH89">
            <v>28.098303996935485</v>
          </cell>
          <cell r="DI89">
            <v>31.10136635947638</v>
          </cell>
          <cell r="DJ89">
            <v>14567.4784095</v>
          </cell>
          <cell r="DK89">
            <v>10304.200679667647</v>
          </cell>
          <cell r="DL89">
            <v>69.511499999999998</v>
          </cell>
        </row>
        <row r="98">
          <cell r="G98">
            <v>587.64470721483008</v>
          </cell>
          <cell r="H98">
            <v>99.998536074150209</v>
          </cell>
          <cell r="I98">
            <v>29817.268981761063</v>
          </cell>
          <cell r="J98">
            <v>20824.124621344628</v>
          </cell>
          <cell r="K98">
            <v>2272.2950000000001</v>
          </cell>
          <cell r="AB98">
            <v>2869.9170541634958</v>
          </cell>
          <cell r="AC98">
            <v>2649.0052708174799</v>
          </cell>
          <cell r="AD98">
            <v>23830.218181915148</v>
          </cell>
          <cell r="AE98">
            <v>13092.170259527658</v>
          </cell>
          <cell r="AF98">
            <v>1817.8360000000002</v>
          </cell>
          <cell r="AY98">
            <v>2480.2348850035601</v>
          </cell>
          <cell r="AZ98">
            <v>2866.6561896660596</v>
          </cell>
          <cell r="BA98">
            <v>187.69156700000002</v>
          </cell>
          <cell r="BT98">
            <v>667.80652802545887</v>
          </cell>
          <cell r="BU98">
            <v>771.85097614689607</v>
          </cell>
          <cell r="BV98">
            <v>50.899408000000008</v>
          </cell>
          <cell r="DH98">
            <v>55.879265038271676</v>
          </cell>
          <cell r="DI98">
            <v>9.764950191358361</v>
          </cell>
          <cell r="DJ98">
            <v>2838.936423294761</v>
          </cell>
          <cell r="DK98">
            <v>2685.8141820654128</v>
          </cell>
          <cell r="DL98">
            <v>215.86802500000002</v>
          </cell>
        </row>
        <row r="106">
          <cell r="G106">
            <v>1416</v>
          </cell>
          <cell r="H106">
            <v>4318.8</v>
          </cell>
          <cell r="I106">
            <v>189895.66800000001</v>
          </cell>
        </row>
        <row r="111">
          <cell r="AB111">
            <v>3360</v>
          </cell>
          <cell r="AC111">
            <v>3240</v>
          </cell>
          <cell r="AD111">
            <v>277664.28200000001</v>
          </cell>
          <cell r="AF111">
            <v>0</v>
          </cell>
        </row>
        <row r="117">
          <cell r="G117">
            <v>15109</v>
          </cell>
          <cell r="H117">
            <v>5883.8452380952385</v>
          </cell>
          <cell r="I117">
            <v>634578</v>
          </cell>
          <cell r="J117">
            <v>0</v>
          </cell>
          <cell r="K117">
            <v>0</v>
          </cell>
          <cell r="AB117">
            <v>7973.185079062262</v>
          </cell>
          <cell r="AC117">
            <v>1892.7403162490489</v>
          </cell>
          <cell r="AD117">
            <v>334824</v>
          </cell>
          <cell r="AF117">
            <v>0</v>
          </cell>
          <cell r="AY117">
            <v>0</v>
          </cell>
          <cell r="AZ117">
            <v>0</v>
          </cell>
          <cell r="BA117">
            <v>0</v>
          </cell>
          <cell r="DH117">
            <v>0.14647425287037541</v>
          </cell>
          <cell r="DI117">
            <v>0.58589701148150164</v>
          </cell>
        </row>
        <row r="130">
          <cell r="G130">
            <v>622.36923875855814</v>
          </cell>
          <cell r="H130">
            <v>206.99890205561266</v>
          </cell>
          <cell r="I130">
            <v>33402.765500000001</v>
          </cell>
          <cell r="J130">
            <v>0</v>
          </cell>
          <cell r="K130">
            <v>302.21949999999998</v>
          </cell>
          <cell r="AB130">
            <v>10234.87874082509</v>
          </cell>
          <cell r="AC130">
            <v>1146.8789531131101</v>
          </cell>
          <cell r="AD130">
            <v>432734.08240000001</v>
          </cell>
          <cell r="AF130">
            <v>18203.775600000001</v>
          </cell>
          <cell r="AY130">
            <v>2759.0684303000003</v>
          </cell>
          <cell r="AZ130">
            <v>0</v>
          </cell>
          <cell r="BA130">
            <v>24.9633307</v>
          </cell>
          <cell r="BT130">
            <v>748.22194720000005</v>
          </cell>
          <cell r="BU130">
            <v>0</v>
          </cell>
          <cell r="BV130">
            <v>6.7697167999999994</v>
          </cell>
          <cell r="DH130">
            <v>6340.1079240995059</v>
          </cell>
          <cell r="DI130">
            <v>794.19871264351877</v>
          </cell>
          <cell r="DJ130">
            <v>267563.26272249996</v>
          </cell>
          <cell r="DK130">
            <v>0</v>
          </cell>
          <cell r="DL130">
            <v>28.710852499999998</v>
          </cell>
        </row>
        <row r="155">
          <cell r="G155">
            <v>71889.665846868171</v>
          </cell>
          <cell r="H155">
            <v>3703.9958058524408</v>
          </cell>
          <cell r="I155">
            <v>8779195.7230834197</v>
          </cell>
          <cell r="J155">
            <v>0</v>
          </cell>
          <cell r="K155">
            <v>0</v>
          </cell>
          <cell r="AB155">
            <v>83537.489618324442</v>
          </cell>
          <cell r="AC155">
            <v>5006.3501008920812</v>
          </cell>
          <cell r="AD155">
            <v>12687374.513002997</v>
          </cell>
          <cell r="AF155">
            <v>551457.63</v>
          </cell>
          <cell r="AY155">
            <v>429674.92609095812</v>
          </cell>
          <cell r="AZ155">
            <v>0</v>
          </cell>
          <cell r="BA155">
            <v>0</v>
          </cell>
          <cell r="BT155">
            <v>486698.96219067962</v>
          </cell>
          <cell r="BU155">
            <v>0</v>
          </cell>
          <cell r="BV155">
            <v>0</v>
          </cell>
          <cell r="DH155">
            <v>5.4683721071606817</v>
          </cell>
          <cell r="DI155">
            <v>27.976582298241706</v>
          </cell>
          <cell r="DJ155">
            <v>70117.138965278151</v>
          </cell>
          <cell r="DK155">
            <v>0</v>
          </cell>
          <cell r="DL155">
            <v>0</v>
          </cell>
        </row>
        <row r="158">
          <cell r="G158">
            <v>8796.5</v>
          </cell>
          <cell r="H158">
            <v>0</v>
          </cell>
          <cell r="I158">
            <v>456446.66000000003</v>
          </cell>
        </row>
        <row r="166">
          <cell r="G166">
            <v>0</v>
          </cell>
          <cell r="H166">
            <v>0</v>
          </cell>
          <cell r="I166">
            <v>2063162.3557319592</v>
          </cell>
          <cell r="J166">
            <v>0</v>
          </cell>
          <cell r="K166">
            <v>0</v>
          </cell>
          <cell r="AB166">
            <v>0</v>
          </cell>
          <cell r="AC166">
            <v>0</v>
          </cell>
          <cell r="AD166">
            <v>6215525.2292680414</v>
          </cell>
          <cell r="AF166">
            <v>0</v>
          </cell>
          <cell r="AY166">
            <v>780995.65</v>
          </cell>
          <cell r="AZ166">
            <v>0</v>
          </cell>
          <cell r="BA166">
            <v>0</v>
          </cell>
          <cell r="BT166">
            <v>239333.64</v>
          </cell>
          <cell r="BU166">
            <v>0</v>
          </cell>
          <cell r="BV166">
            <v>0</v>
          </cell>
          <cell r="DH166">
            <v>0</v>
          </cell>
          <cell r="DI166">
            <v>0</v>
          </cell>
          <cell r="DJ166">
            <v>700915.83</v>
          </cell>
          <cell r="DK166">
            <v>0</v>
          </cell>
          <cell r="DL166">
            <v>0</v>
          </cell>
        </row>
        <row r="177">
          <cell r="G177">
            <v>7062.2978041112256</v>
          </cell>
          <cell r="H177">
            <v>0</v>
          </cell>
          <cell r="I177">
            <v>590664.14</v>
          </cell>
          <cell r="J177">
            <v>0</v>
          </cell>
          <cell r="K177">
            <v>102434.68</v>
          </cell>
          <cell r="AB177">
            <v>6589.1079062262188</v>
          </cell>
          <cell r="AC177">
            <v>811</v>
          </cell>
          <cell r="AD177">
            <v>433167.63</v>
          </cell>
          <cell r="AF177">
            <v>264596.67</v>
          </cell>
          <cell r="DH177">
            <v>14.647425287037542</v>
          </cell>
        </row>
        <row r="182">
          <cell r="G182">
            <v>0</v>
          </cell>
          <cell r="H182">
            <v>0</v>
          </cell>
          <cell r="I182">
            <v>42510.180000000008</v>
          </cell>
          <cell r="J182">
            <v>0</v>
          </cell>
          <cell r="K182">
            <v>0</v>
          </cell>
          <cell r="AB182">
            <v>0</v>
          </cell>
          <cell r="AC182">
            <v>0</v>
          </cell>
          <cell r="AD182">
            <v>35565.42</v>
          </cell>
          <cell r="AF182">
            <v>0</v>
          </cell>
        </row>
        <row r="201">
          <cell r="G201">
            <v>46.999311954850597</v>
          </cell>
          <cell r="H201">
            <v>0</v>
          </cell>
          <cell r="I201">
            <v>778977.5</v>
          </cell>
          <cell r="J201">
            <v>0</v>
          </cell>
          <cell r="K201">
            <v>0</v>
          </cell>
          <cell r="AB201">
            <v>37.132477284215639</v>
          </cell>
          <cell r="AC201">
            <v>0</v>
          </cell>
          <cell r="AD201">
            <v>590401.22499999998</v>
          </cell>
          <cell r="AF201">
            <v>0</v>
          </cell>
          <cell r="AY201">
            <v>69782.974999999991</v>
          </cell>
          <cell r="AZ201">
            <v>0</v>
          </cell>
          <cell r="BA201">
            <v>0</v>
          </cell>
          <cell r="BT201">
            <v>16497.096000000001</v>
          </cell>
          <cell r="BU201">
            <v>0</v>
          </cell>
          <cell r="BV201">
            <v>0</v>
          </cell>
          <cell r="DH201">
            <v>4.5895265899384299</v>
          </cell>
          <cell r="DJ201">
            <v>71880.203999999998</v>
          </cell>
          <cell r="DK201">
            <v>0</v>
          </cell>
          <cell r="DL201">
            <v>0</v>
          </cell>
        </row>
        <row r="204">
          <cell r="G204">
            <v>20.999692575571544</v>
          </cell>
          <cell r="AB204">
            <v>24.591106871670817</v>
          </cell>
          <cell r="AC204">
            <v>32</v>
          </cell>
          <cell r="AD204">
            <v>0</v>
          </cell>
          <cell r="AF204">
            <v>0</v>
          </cell>
          <cell r="DH204">
            <v>2.050639540185256</v>
          </cell>
        </row>
        <row r="209">
          <cell r="AB209">
            <v>0</v>
          </cell>
          <cell r="AC209">
            <v>0</v>
          </cell>
          <cell r="AD209">
            <v>43290</v>
          </cell>
          <cell r="AF209">
            <v>0</v>
          </cell>
        </row>
        <row r="213">
          <cell r="G213">
            <v>188.49724049977314</v>
          </cell>
          <cell r="AB213">
            <v>148.92493549094993</v>
          </cell>
          <cell r="AC213">
            <v>0</v>
          </cell>
          <cell r="AD213">
            <v>0</v>
          </cell>
          <cell r="AF213">
            <v>0</v>
          </cell>
          <cell r="BT213">
            <v>0</v>
          </cell>
          <cell r="BU213">
            <v>0</v>
          </cell>
          <cell r="BV213">
            <v>0</v>
          </cell>
          <cell r="DH213">
            <v>18.406931110710509</v>
          </cell>
        </row>
        <row r="225">
          <cell r="G225">
            <v>0</v>
          </cell>
          <cell r="H225">
            <v>0</v>
          </cell>
          <cell r="I225">
            <v>2466.238588698001</v>
          </cell>
          <cell r="J225">
            <v>1722.3998532002045</v>
          </cell>
          <cell r="K225">
            <v>1686.75</v>
          </cell>
          <cell r="AB225">
            <v>2</v>
          </cell>
          <cell r="AC225">
            <v>5</v>
          </cell>
          <cell r="AD225">
            <v>623.64108602225724</v>
          </cell>
          <cell r="AE225">
            <v>342.62444500975818</v>
          </cell>
          <cell r="AF225">
            <v>0</v>
          </cell>
          <cell r="AY225">
            <v>64.351612736905409</v>
          </cell>
          <cell r="AZ225">
            <v>74.377612411889899</v>
          </cell>
          <cell r="BA225">
            <v>0</v>
          </cell>
          <cell r="BT225">
            <v>17.427625801198026</v>
          </cell>
          <cell r="BU225">
            <v>20.142854886954197</v>
          </cell>
          <cell r="BV225">
            <v>0</v>
          </cell>
          <cell r="DJ225">
            <v>74.091086741638421</v>
          </cell>
          <cell r="DK225">
            <v>70.09487422912602</v>
          </cell>
          <cell r="DL225">
            <v>0</v>
          </cell>
        </row>
        <row r="228">
          <cell r="G228">
            <v>1.7499743812976287</v>
          </cell>
          <cell r="H228">
            <v>100.99852143489171</v>
          </cell>
          <cell r="I228">
            <v>0</v>
          </cell>
          <cell r="J228">
            <v>0</v>
          </cell>
          <cell r="K228">
            <v>0</v>
          </cell>
          <cell r="AB228">
            <v>64.382592239305907</v>
          </cell>
          <cell r="AC228">
            <v>351.79532352565491</v>
          </cell>
          <cell r="AD228">
            <v>0</v>
          </cell>
          <cell r="AE228">
            <v>0</v>
          </cell>
          <cell r="AF228">
            <v>0</v>
          </cell>
          <cell r="BT228">
            <v>0</v>
          </cell>
          <cell r="BU228">
            <v>0</v>
          </cell>
          <cell r="BV228">
            <v>0</v>
          </cell>
          <cell r="DH228">
            <v>0.17088662834877133</v>
          </cell>
          <cell r="DI228">
            <v>9.8625996932719442</v>
          </cell>
        </row>
        <row r="235">
          <cell r="G235">
            <v>1009.4856462070428</v>
          </cell>
          <cell r="H235">
            <v>640.49450295843405</v>
          </cell>
          <cell r="I235">
            <v>88609.799999999988</v>
          </cell>
          <cell r="J235">
            <v>61884.323443610054</v>
          </cell>
          <cell r="K235">
            <v>0</v>
          </cell>
          <cell r="AB235">
            <v>830.14668036539217</v>
          </cell>
          <cell r="AC235">
            <v>2958.6647919196375</v>
          </cell>
          <cell r="AD235">
            <v>68852.87</v>
          </cell>
          <cell r="AE235">
            <v>37827.328730931455</v>
          </cell>
          <cell r="AF235">
            <v>0</v>
          </cell>
          <cell r="AY235">
            <v>8424</v>
          </cell>
          <cell r="AZ235">
            <v>9736.4616100511867</v>
          </cell>
          <cell r="BA235">
            <v>0</v>
          </cell>
          <cell r="BT235">
            <v>8424</v>
          </cell>
          <cell r="BU235">
            <v>9736.4616100511867</v>
          </cell>
          <cell r="BV235">
            <v>0</v>
          </cell>
          <cell r="DH235">
            <v>95.745336626268724</v>
          </cell>
          <cell r="DI235">
            <v>36.667387968550649</v>
          </cell>
          <cell r="DJ235">
            <v>19224</v>
          </cell>
          <cell r="DK235">
            <v>18187.125084014126</v>
          </cell>
          <cell r="DL235">
            <v>0</v>
          </cell>
        </row>
        <row r="238">
          <cell r="G238">
            <v>0.7499890205561266</v>
          </cell>
          <cell r="H238">
            <v>2.4999634018537553</v>
          </cell>
          <cell r="I238">
            <v>0</v>
          </cell>
          <cell r="J238">
            <v>0</v>
          </cell>
          <cell r="K238">
            <v>0</v>
          </cell>
          <cell r="AB238">
            <v>24.592539531131102</v>
          </cell>
          <cell r="AC238">
            <v>136.975131770437</v>
          </cell>
          <cell r="AD238">
            <v>0</v>
          </cell>
          <cell r="AE238">
            <v>0</v>
          </cell>
          <cell r="AF238">
            <v>0</v>
          </cell>
          <cell r="DH238">
            <v>7.3237126435187705E-2</v>
          </cell>
          <cell r="DI238">
            <v>0.24412375478395903</v>
          </cell>
        </row>
        <row r="241">
          <cell r="G241">
            <v>19.749710874644666</v>
          </cell>
          <cell r="H241">
            <v>70.998960612646655</v>
          </cell>
          <cell r="I241">
            <v>0</v>
          </cell>
          <cell r="J241">
            <v>0</v>
          </cell>
          <cell r="K241">
            <v>0</v>
          </cell>
          <cell r="AB241">
            <v>15.603540986452316</v>
          </cell>
          <cell r="AC241">
            <v>56.093742280410858</v>
          </cell>
          <cell r="AD241">
            <v>0</v>
          </cell>
          <cell r="AE241">
            <v>0</v>
          </cell>
          <cell r="AF241">
            <v>0</v>
          </cell>
          <cell r="AY241">
            <v>0</v>
          </cell>
          <cell r="AZ241">
            <v>0</v>
          </cell>
          <cell r="BA241">
            <v>0</v>
          </cell>
          <cell r="BT241">
            <v>0</v>
          </cell>
          <cell r="BU241">
            <v>0</v>
          </cell>
          <cell r="BV241">
            <v>0</v>
          </cell>
          <cell r="DH241">
            <v>1.9285776627932762</v>
          </cell>
          <cell r="DI241">
            <v>6.9331146358644364</v>
          </cell>
        </row>
        <row r="244">
          <cell r="G244">
            <v>996.48492383711584</v>
          </cell>
          <cell r="H244">
            <v>2539.9637239174422</v>
          </cell>
          <cell r="I244">
            <v>58618.971436313041</v>
          </cell>
          <cell r="J244">
            <v>40938.986300573248</v>
          </cell>
          <cell r="K244">
            <v>3691.7400000000002</v>
          </cell>
          <cell r="AB244">
            <v>947.94277655961218</v>
          </cell>
          <cell r="AC244">
            <v>2595.7506108571561</v>
          </cell>
          <cell r="AD244">
            <v>46676.594379845614</v>
          </cell>
          <cell r="AE244">
            <v>25643.823992329846</v>
          </cell>
          <cell r="AF244">
            <v>2953.3920000000003</v>
          </cell>
          <cell r="AY244">
            <v>1977.6897244540332</v>
          </cell>
          <cell r="AZ244">
            <v>2285.8143493280395</v>
          </cell>
          <cell r="BA244">
            <v>0</v>
          </cell>
          <cell r="BT244">
            <v>491.86371728846257</v>
          </cell>
          <cell r="BU244">
            <v>568.49622516099078</v>
          </cell>
          <cell r="BV244">
            <v>0</v>
          </cell>
          <cell r="DH244">
            <v>33.859964788535116</v>
          </cell>
          <cell r="DI244">
            <v>241.97546574186018</v>
          </cell>
          <cell r="DJ244">
            <v>2148.2890420988397</v>
          </cell>
          <cell r="DK244">
            <v>2032.4178904113862</v>
          </cell>
          <cell r="DL244">
            <v>0</v>
          </cell>
        </row>
        <row r="253">
          <cell r="G253">
            <v>9426.1234399504719</v>
          </cell>
          <cell r="H253">
            <v>652.49122376453056</v>
          </cell>
          <cell r="I253">
            <v>682735.10295760783</v>
          </cell>
          <cell r="J253">
            <v>476816.33338225586</v>
          </cell>
          <cell r="K253">
            <v>0</v>
          </cell>
          <cell r="AB253">
            <v>7506.7031753481961</v>
          </cell>
          <cell r="AC253">
            <v>1055.636598550793</v>
          </cell>
          <cell r="AD253">
            <v>540383.02463282866</v>
          </cell>
          <cell r="AE253">
            <v>296882.99577637127</v>
          </cell>
          <cell r="AF253">
            <v>0</v>
          </cell>
          <cell r="AY253">
            <v>60656.865519024796</v>
          </cell>
          <cell r="AZ253">
            <v>70107.222520420532</v>
          </cell>
          <cell r="BA253">
            <v>0</v>
          </cell>
          <cell r="BT253">
            <v>15303.5923751217</v>
          </cell>
          <cell r="BU253">
            <v>17687.896445423135</v>
          </cell>
          <cell r="BV253">
            <v>0</v>
          </cell>
          <cell r="DH253">
            <v>917.35435641840877</v>
          </cell>
          <cell r="DI253">
            <v>58.540876397193372</v>
          </cell>
          <cell r="DJ253">
            <v>66408.670801624394</v>
          </cell>
          <cell r="DK253">
            <v>62826.820772589446</v>
          </cell>
          <cell r="DL253">
            <v>0</v>
          </cell>
        </row>
        <row r="256">
          <cell r="G256">
            <v>2.2499670616683796</v>
          </cell>
          <cell r="H256">
            <v>1.9999707214830043</v>
          </cell>
          <cell r="I256">
            <v>0</v>
          </cell>
          <cell r="J256">
            <v>0</v>
          </cell>
          <cell r="K256">
            <v>0</v>
          </cell>
          <cell r="AB256">
            <v>1.7776185933933017</v>
          </cell>
          <cell r="AC256">
            <v>1.5801054163496016</v>
          </cell>
          <cell r="AD256">
            <v>0</v>
          </cell>
          <cell r="AE256">
            <v>0</v>
          </cell>
          <cell r="AF256">
            <v>0</v>
          </cell>
          <cell r="DH256">
            <v>0.21971137930556311</v>
          </cell>
          <cell r="DI256">
            <v>0.19529900382716722</v>
          </cell>
        </row>
        <row r="273">
          <cell r="G273">
            <v>3435.2726138008647</v>
          </cell>
          <cell r="H273">
            <v>189.9972185408854</v>
          </cell>
          <cell r="I273">
            <v>156306.75975</v>
          </cell>
          <cell r="J273">
            <v>109163.29883141199</v>
          </cell>
          <cell r="K273">
            <v>4431.5692500000005</v>
          </cell>
          <cell r="AB273">
            <v>2746.5985914324924</v>
          </cell>
          <cell r="AC273">
            <v>150.11001455321215</v>
          </cell>
          <cell r="AD273">
            <v>125215.50779999999</v>
          </cell>
          <cell r="AE273">
            <v>68792.603354967083</v>
          </cell>
          <cell r="AF273">
            <v>3545.2554</v>
          </cell>
          <cell r="AY273">
            <v>14219.158555349999</v>
          </cell>
          <cell r="AZ273">
            <v>16434.507526281595</v>
          </cell>
          <cell r="BA273">
            <v>366.04762005000009</v>
          </cell>
          <cell r="BT273">
            <v>4448.1362184</v>
          </cell>
          <cell r="BU273">
            <v>5141.1571138093377</v>
          </cell>
          <cell r="BV273">
            <v>99.267151200000001</v>
          </cell>
          <cell r="DH273">
            <v>154.23686881191415</v>
          </cell>
          <cell r="DI273">
            <v>18.553405363580886</v>
          </cell>
          <cell r="DJ273">
            <v>6509.3</v>
          </cell>
          <cell r="DK273">
            <v>6158.2112624517877</v>
          </cell>
          <cell r="DL273">
            <v>0</v>
          </cell>
        </row>
        <row r="276">
          <cell r="G276">
            <v>15.249776751307907</v>
          </cell>
          <cell r="H276">
            <v>110.99837504230673</v>
          </cell>
          <cell r="I276">
            <v>0</v>
          </cell>
          <cell r="J276">
            <v>0</v>
          </cell>
          <cell r="K276">
            <v>0</v>
          </cell>
          <cell r="AB276">
            <v>12.048303799665712</v>
          </cell>
          <cell r="AC276">
            <v>87.695850607402889</v>
          </cell>
          <cell r="AD276">
            <v>0</v>
          </cell>
          <cell r="AE276">
            <v>0</v>
          </cell>
          <cell r="AF276">
            <v>0</v>
          </cell>
          <cell r="AY276">
            <v>0</v>
          </cell>
          <cell r="AZ276">
            <v>0</v>
          </cell>
          <cell r="BA276">
            <v>0</v>
          </cell>
          <cell r="BT276">
            <v>0</v>
          </cell>
          <cell r="BU276">
            <v>0</v>
          </cell>
          <cell r="BV276">
            <v>0</v>
          </cell>
        </row>
        <row r="281">
          <cell r="G281">
            <v>1872</v>
          </cell>
          <cell r="H281">
            <v>0</v>
          </cell>
          <cell r="I281">
            <v>75519.153000000006</v>
          </cell>
          <cell r="J281">
            <v>52741.927985837632</v>
          </cell>
          <cell r="K281">
            <v>10248.889500000001</v>
          </cell>
          <cell r="AB281">
            <v>1497.6000000000001</v>
          </cell>
          <cell r="AC281">
            <v>0</v>
          </cell>
          <cell r="AD281">
            <v>60415.322400000005</v>
          </cell>
          <cell r="AE281">
            <v>33191.793759795444</v>
          </cell>
          <cell r="AF281">
            <v>8199.111600000002</v>
          </cell>
          <cell r="AY281">
            <v>6237.8820378000009</v>
          </cell>
          <cell r="AZ281">
            <v>7209.7458439064076</v>
          </cell>
          <cell r="BA281">
            <v>846.5582727000002</v>
          </cell>
          <cell r="BT281">
            <v>1691.6290272000001</v>
          </cell>
          <cell r="BU281">
            <v>1955.1853136017376</v>
          </cell>
          <cell r="BV281">
            <v>229.57512480000003</v>
          </cell>
          <cell r="DH281">
            <v>177.84</v>
          </cell>
          <cell r="DI281">
            <v>0</v>
          </cell>
          <cell r="DJ281">
            <v>7174.3195350000005</v>
          </cell>
          <cell r="DK281">
            <v>6787.3619837562983</v>
          </cell>
          <cell r="DL281">
            <v>973.64450250000016</v>
          </cell>
        </row>
        <row r="293">
          <cell r="L293">
            <v>9388553.5380000006</v>
          </cell>
          <cell r="AG293">
            <v>9217135.790000001</v>
          </cell>
          <cell r="BB293">
            <v>818859.83999999985</v>
          </cell>
          <cell r="BW293">
            <v>32068.649999999994</v>
          </cell>
          <cell r="DM293">
            <v>2086400.4000000001</v>
          </cell>
        </row>
        <row r="294">
          <cell r="L294">
            <v>849907.16000000015</v>
          </cell>
        </row>
        <row r="302">
          <cell r="L302">
            <v>0.69839141318014553</v>
          </cell>
          <cell r="AG302">
            <v>0.54939363792578955</v>
          </cell>
          <cell r="BB302">
            <v>1.1558002860934458</v>
          </cell>
          <cell r="BW302">
            <v>1.1558002860934458</v>
          </cell>
          <cell r="DM302">
            <v>0.94606351872732664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_PL"/>
    </sheetNames>
    <sheetDataSet>
      <sheetData sheetId="0">
        <row r="73">
          <cell r="E73">
            <v>322939390</v>
          </cell>
          <cell r="F73">
            <v>9216436</v>
          </cell>
          <cell r="M73">
            <v>209906032</v>
          </cell>
          <cell r="X73">
            <v>34926185</v>
          </cell>
          <cell r="Z73">
            <v>7094195</v>
          </cell>
          <cell r="AE73">
            <v>31243964</v>
          </cell>
        </row>
        <row r="119">
          <cell r="X119">
            <v>4607427</v>
          </cell>
          <cell r="Z119">
            <v>1827748</v>
          </cell>
        </row>
        <row r="120">
          <cell r="E120">
            <v>5643958</v>
          </cell>
          <cell r="F120">
            <v>600334</v>
          </cell>
          <cell r="M120">
            <v>3902025</v>
          </cell>
          <cell r="AE120">
            <v>393446</v>
          </cell>
        </row>
        <row r="467">
          <cell r="E467">
            <v>305902369</v>
          </cell>
          <cell r="F467">
            <v>11736176</v>
          </cell>
          <cell r="M467">
            <v>213524356</v>
          </cell>
          <cell r="X467">
            <v>34810449</v>
          </cell>
          <cell r="Z467">
            <v>9590451</v>
          </cell>
          <cell r="AE467">
            <v>35485321</v>
          </cell>
        </row>
        <row r="469">
          <cell r="E469">
            <v>22680979</v>
          </cell>
          <cell r="F469">
            <v>-1919406</v>
          </cell>
          <cell r="M469">
            <v>283701</v>
          </cell>
          <cell r="X469">
            <v>4723163</v>
          </cell>
          <cell r="Z469">
            <v>-668508</v>
          </cell>
          <cell r="AE469">
            <v>-3847911</v>
          </cell>
        </row>
        <row r="484">
          <cell r="E484">
            <v>1589772</v>
          </cell>
          <cell r="F484">
            <v>-407785</v>
          </cell>
          <cell r="M484">
            <v>-1460713</v>
          </cell>
          <cell r="X484">
            <v>-150128</v>
          </cell>
          <cell r="Z484">
            <v>0</v>
          </cell>
          <cell r="AE484">
            <v>103662</v>
          </cell>
        </row>
        <row r="491">
          <cell r="E491">
            <v>24270751</v>
          </cell>
          <cell r="F491">
            <v>-2327191</v>
          </cell>
          <cell r="M491">
            <v>-1177012</v>
          </cell>
          <cell r="X491">
            <v>4573035</v>
          </cell>
          <cell r="Z491">
            <v>-668508</v>
          </cell>
          <cell r="AE491">
            <v>-3744249</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rect Cost Ratio"/>
      <sheetName val="Inventory Sheet"/>
      <sheetName val="Detailed Analysis"/>
    </sheetNames>
    <sheetDataSet>
      <sheetData sheetId="0">
        <row r="23">
          <cell r="C23">
            <v>0.53809190728380485</v>
          </cell>
          <cell r="E23">
            <v>0.24241201976404156</v>
          </cell>
        </row>
      </sheetData>
      <sheetData sheetId="1"/>
      <sheetData sheetId="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Budget Sheet"/>
      <sheetName val="Drop down menu "/>
      <sheetName val="Sheet1"/>
    </sheetNames>
    <sheetDataSet>
      <sheetData sheetId="0"/>
      <sheetData sheetId="1">
        <row r="61">
          <cell r="B61">
            <v>1145103</v>
          </cell>
        </row>
      </sheetData>
      <sheetData sheetId="2"/>
      <sheetData sheetId="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Info"/>
      <sheetName val="GBR TPR-1"/>
      <sheetName val="GBR TPR-2"/>
      <sheetName val="Realignment"/>
      <sheetName val="CPC"/>
      <sheetName val="CPV"/>
      <sheetName val="RR Results"/>
      <sheetName val="Rate Order"/>
      <sheetName val="Medicare Impact"/>
      <sheetName val="Summary"/>
      <sheetName val="Markup Calculation"/>
      <sheetName val="Markup for UCC"/>
      <sheetName val="UCC Calc"/>
      <sheetName val="Penalty"/>
      <sheetName val="Total Volume"/>
      <sheetName val="Total Revenue"/>
      <sheetName val="Jul"/>
      <sheetName val="Aug"/>
      <sheetName val="Sep"/>
      <sheetName val="Oct"/>
      <sheetName val="Nov"/>
      <sheetName val="Dec"/>
      <sheetName val="Jan"/>
      <sheetName val="Feb"/>
      <sheetName val="Mar"/>
      <sheetName val="April"/>
      <sheetName val="May"/>
      <sheetName val="June"/>
      <sheetName val="MHIP Rate Calc"/>
      <sheetName val="MHIP Recon"/>
      <sheetName val="CTRs"/>
      <sheetName val="MHIP"/>
      <sheetName val="UCC"/>
      <sheetName val="Ms"/>
      <sheetName val="Hosp ID"/>
    </sheetNames>
    <sheetDataSet>
      <sheetData sheetId="0">
        <row r="108">
          <cell r="F108">
            <v>312229.21529934363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Orthopedic"/>
      <sheetName val="Neurosurgeons"/>
      <sheetName val="Trauma Surgeons"/>
      <sheetName val="ORTHO BY PHYSICIAN"/>
      <sheetName val="ORTHO BY MONTH"/>
      <sheetName val="GL DWLD JUN05 APPLIC"/>
      <sheetName val="RCE calc"/>
      <sheetName val="Submission"/>
    </sheetNames>
    <sheetDataSet>
      <sheetData sheetId="0"/>
      <sheetData sheetId="1"/>
      <sheetData sheetId="2"/>
      <sheetData sheetId="3"/>
      <sheetData sheetId="4"/>
      <sheetData sheetId="5"/>
      <sheetData sheetId="6"/>
      <sheetData sheetId="7">
        <row r="52">
          <cell r="E52">
            <v>519730</v>
          </cell>
          <cell r="F52">
            <v>401290.56</v>
          </cell>
        </row>
      </sheetData>
      <sheetData sheetId="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ement"/>
    </sheetNames>
    <sheetDataSet>
      <sheetData sheetId="0">
        <row r="26">
          <cell r="I26">
            <v>218924.9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Info"/>
      <sheetName val="Master Table (DO NOT HIDE)"/>
      <sheetName val="Input M"/>
      <sheetName val="Input TB"/>
      <sheetName val="Expense TB"/>
      <sheetName val="Revenue"/>
      <sheetName val="Volume"/>
      <sheetName val="Statistic (Js) Input"/>
      <sheetName val="DP1 Input"/>
      <sheetName val="RE Input"/>
      <sheetName val="PDA Input"/>
      <sheetName val="P1 Input"/>
      <sheetName val="P2 Input"/>
      <sheetName val="P3 Input"/>
      <sheetName val="P4 Input"/>
      <sheetName val="Don Service Exp"/>
      <sheetName val="ACS Input"/>
      <sheetName val="E,F,UR Alloc"/>
      <sheetName val="PY RO"/>
      <sheetName val="URS Input"/>
      <sheetName val="H1_H4 Input"/>
      <sheetName val="H2 Input"/>
      <sheetName val="Equip Fac Allow_Hist Lease Pur"/>
      <sheetName val="G_GR Input"/>
      <sheetName val="OFC Input"/>
      <sheetName val="SB Input"/>
      <sheetName val="AHA Input"/>
      <sheetName val="TRE Input"/>
      <sheetName val="RAT Sched"/>
      <sheetName val="AMS Sched"/>
      <sheetName val="Trauma Standby"/>
      <sheetName val="Trauma Dept"/>
      <sheetName val="XX"/>
      <sheetName val="V1"/>
      <sheetName val="V2"/>
      <sheetName val="V3"/>
      <sheetName val="V5"/>
      <sheetName val="UA"/>
      <sheetName val="P1"/>
      <sheetName val="P2"/>
      <sheetName val="P3"/>
      <sheetName val="P4"/>
      <sheetName val="P5"/>
      <sheetName val="C"/>
      <sheetName val="D"/>
      <sheetName val="Es"/>
      <sheetName val="Fs"/>
      <sheetName val="OADP"/>
      <sheetName val="RE"/>
      <sheetName val="RER"/>
      <sheetName val="AHA"/>
      <sheetName val="Js"/>
      <sheetName val="H1"/>
      <sheetName val="H2"/>
      <sheetName val="H3"/>
      <sheetName val="H4"/>
      <sheetName val="GR"/>
      <sheetName val="PDA"/>
      <sheetName val="Ms"/>
      <sheetName val="ACS"/>
      <sheetName val="UR"/>
      <sheetName val="URS"/>
      <sheetName val="TRE"/>
      <sheetName val="RAT"/>
      <sheetName val="AMS"/>
      <sheetName val="SB"/>
      <sheetName val="SBC"/>
      <sheetName val="MTC"/>
      <sheetName val="S1"/>
      <sheetName val="S2"/>
      <sheetName val="S3"/>
      <sheetName val="S4"/>
      <sheetName val="S5"/>
      <sheetName val="S6"/>
      <sheetName val="E_I"/>
      <sheetName val="E_II"/>
      <sheetName val="E_II (b)"/>
      <sheetName val="E_III"/>
      <sheetName val="E_IV"/>
      <sheetName val="E_V"/>
      <sheetName val="E_VI"/>
      <sheetName val="E_VII"/>
      <sheetName val="E_VIII"/>
      <sheetName val="E_IX"/>
      <sheetName val="E_X"/>
      <sheetName val="E_XI"/>
      <sheetName val="E_XII"/>
      <sheetName val="E_XIII"/>
      <sheetName val="E_XIV"/>
      <sheetName val="Hospital Phys Cost"/>
      <sheetName val="Med Ed Cost"/>
      <sheetName val="RR"/>
      <sheetName val="PY_M"/>
      <sheetName val="EC"/>
      <sheetName val="Instructions"/>
      <sheetName val="Rct (DON'T HIDE)"/>
      <sheetName val="Cvr (DON'T HIDE)"/>
      <sheetName val="Sig (DON'T HIDE)"/>
      <sheetName val="Sch"/>
      <sheetName val="cdefhpv"/>
      <sheetName val="rev5pda"/>
      <sheetName val="Pri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ement"/>
    </sheetNames>
    <sheetDataSet>
      <sheetData sheetId="0">
        <row r="19">
          <cell r="I19">
            <v>26245.89</v>
          </cell>
        </row>
        <row r="26">
          <cell r="I26">
            <v>142339.68000000002</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ly Comparison"/>
      <sheetName val="Monthly Comparison+"/>
    </sheetNames>
    <sheetDataSet>
      <sheetData sheetId="0">
        <row r="7">
          <cell r="H7">
            <v>236600</v>
          </cell>
        </row>
        <row r="8">
          <cell r="H8">
            <v>33000</v>
          </cell>
        </row>
        <row r="9">
          <cell r="H9">
            <v>213082.5</v>
          </cell>
        </row>
        <row r="10">
          <cell r="H10">
            <v>161735.89000000001</v>
          </cell>
        </row>
        <row r="12">
          <cell r="H12">
            <v>24700</v>
          </cell>
        </row>
        <row r="19">
          <cell r="H19">
            <v>365004</v>
          </cell>
        </row>
        <row r="20">
          <cell r="H20">
            <v>54600</v>
          </cell>
        </row>
      </sheetData>
      <sheetData sheetId="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 Line Item Detail"/>
      <sheetName val="Sheet1"/>
      <sheetName val="Rollups"/>
      <sheetName val="Sheet2"/>
      <sheetName val="Sheet3"/>
      <sheetName val="CO Line Item Detail+"/>
    </sheetNames>
    <sheetDataSet>
      <sheetData sheetId="0">
        <row r="870">
          <cell r="U870">
            <v>162433</v>
          </cell>
        </row>
        <row r="921">
          <cell r="U921">
            <v>261525</v>
          </cell>
        </row>
        <row r="922">
          <cell r="U922">
            <v>233539</v>
          </cell>
        </row>
      </sheetData>
      <sheetData sheetId="1"/>
      <sheetData sheetId="2">
        <row r="10">
          <cell r="H10" t="str">
            <v>Sum of Amount13</v>
          </cell>
        </row>
        <row r="12">
          <cell r="J12" t="str">
            <v>Ortho and Spine Surgey (ER)</v>
          </cell>
          <cell r="K12">
            <v>487250</v>
          </cell>
        </row>
        <row r="13">
          <cell r="J13" t="str">
            <v>ENT On Call (ER)</v>
          </cell>
          <cell r="K13">
            <v>236600</v>
          </cell>
        </row>
        <row r="14">
          <cell r="J14" t="str">
            <v>Vascular On Call (ER)</v>
          </cell>
          <cell r="K14">
            <v>33000</v>
          </cell>
        </row>
        <row r="15">
          <cell r="J15" t="str">
            <v>Urology On Call (ER)</v>
          </cell>
          <cell r="K15">
            <v>374818.38999999996</v>
          </cell>
        </row>
        <row r="16">
          <cell r="J16" t="str">
            <v>OB/GYN On Call (ER)</v>
          </cell>
          <cell r="K16">
            <v>244450</v>
          </cell>
        </row>
        <row r="17">
          <cell r="J17" t="str">
            <v>Opthamology On Call (ER)</v>
          </cell>
          <cell r="K17">
            <v>24700</v>
          </cell>
        </row>
        <row r="18">
          <cell r="J18" t="str">
            <v>Trauma On Call Coverage (ER)</v>
          </cell>
          <cell r="K18">
            <v>610039.43999999994</v>
          </cell>
        </row>
        <row r="19">
          <cell r="J19">
            <v>0</v>
          </cell>
          <cell r="K19">
            <v>0</v>
          </cell>
        </row>
        <row r="20">
          <cell r="J20" t="str">
            <v>Emergency Room Coverage (ER)</v>
          </cell>
          <cell r="K20">
            <v>225996</v>
          </cell>
        </row>
        <row r="21">
          <cell r="J21" t="str">
            <v>General Surgery (ER)</v>
          </cell>
          <cell r="K21">
            <v>187667.08999999997</v>
          </cell>
        </row>
        <row r="22">
          <cell r="J22" t="str">
            <v>Anesthesiology On Call (ER)</v>
          </cell>
          <cell r="K22">
            <v>515523.5</v>
          </cell>
        </row>
        <row r="23">
          <cell r="J23" t="str">
            <v>Gastroenterology (ER)</v>
          </cell>
          <cell r="K23">
            <v>54600</v>
          </cell>
        </row>
        <row r="24">
          <cell r="J24" t="str">
            <v>Behav. Health On Call (ER)</v>
          </cell>
          <cell r="K24">
            <v>371544.15000000014</v>
          </cell>
        </row>
        <row r="25">
          <cell r="J25" t="str">
            <v>Hospitalists (ER)</v>
          </cell>
          <cell r="K25">
            <v>4777179.3499999996</v>
          </cell>
        </row>
      </sheetData>
      <sheetData sheetId="3"/>
      <sheetData sheetId="4"/>
      <sheetData sheetId="5"/>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 Vol"/>
      <sheetName val="OP Vol"/>
      <sheetName val="Mapping"/>
      <sheetName val="FTEs"/>
      <sheetName val="09 DATA"/>
      <sheetName val="Dec Trauma Reimb"/>
      <sheetName val="Jun Trauma Reimb"/>
      <sheetName val="FY10 dtl"/>
      <sheetName val="by Acct"/>
      <sheetName val="FY11 Budget"/>
      <sheetName val="FY 12 bud"/>
      <sheetName val="Reclass 27"/>
      <sheetName val="FY15 Formula"/>
      <sheetName val="FY13 Formula"/>
      <sheetName val="BHU Breakdown"/>
      <sheetName val="FY15 Physician Payment Detail"/>
      <sheetName val="FY15 CO Line Item Detail+"/>
      <sheetName val="FY14 Physician Payments"/>
      <sheetName val="FY12 01-8725 by Acct"/>
      <sheetName val="FY11 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8">
          <cell r="P18">
            <v>229600</v>
          </cell>
        </row>
      </sheetData>
      <sheetData sheetId="15"/>
      <sheetData sheetId="16"/>
      <sheetData sheetId="17"/>
      <sheetData sheetId="18"/>
      <sheetData sheetId="1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 Line Item Detail"/>
      <sheetName val="Pivot"/>
      <sheetName val="CO Line Item Detail+"/>
    </sheetNames>
    <sheetDataSet>
      <sheetData sheetId="0" refreshError="1"/>
      <sheetData sheetId="1">
        <row r="14">
          <cell r="J14">
            <v>4091382.53</v>
          </cell>
        </row>
      </sheetData>
      <sheetData sheetId="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HH"/>
      <sheetName val="HCGH"/>
      <sheetName val="JHBMC"/>
      <sheetName val="Suburban"/>
    </sheetNames>
    <sheetDataSet>
      <sheetData sheetId="0"/>
      <sheetData sheetId="1"/>
      <sheetData sheetId="2"/>
      <sheetData sheetId="3">
        <row r="14">
          <cell r="D14">
            <v>4093000</v>
          </cell>
        </row>
        <row r="19">
          <cell r="D19">
            <v>250848000</v>
          </cell>
        </row>
        <row r="24">
          <cell r="D24">
            <v>24257000</v>
          </cell>
        </row>
        <row r="30">
          <cell r="D30">
            <v>263831000</v>
          </cell>
        </row>
        <row r="36">
          <cell r="D36">
            <v>-1460000</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H CBR INITIATIVES 2014 (2)"/>
      <sheetName val="CRH CBR INITIATIVES 2015"/>
      <sheetName val="CRH CBR FY2015"/>
      <sheetName val="CRH 15"/>
      <sheetName val="UMMS FSS FIN DATA 2015"/>
      <sheetName val="CRH Com Ben Rpt 2013 (2)"/>
      <sheetName val="SHS MHE DGH 2012"/>
    </sheetNames>
    <sheetDataSet>
      <sheetData sheetId="0"/>
      <sheetData sheetId="1">
        <row r="306">
          <cell r="E306">
            <v>81</v>
          </cell>
          <cell r="F306">
            <v>4600</v>
          </cell>
          <cell r="G306">
            <v>2183.0925575949432</v>
          </cell>
          <cell r="H306">
            <v>1472.3611172641993</v>
          </cell>
          <cell r="I306">
            <v>0</v>
          </cell>
        </row>
        <row r="314">
          <cell r="E314">
            <v>137</v>
          </cell>
          <cell r="F314">
            <v>400</v>
          </cell>
          <cell r="G314">
            <v>4442.3911159321869</v>
          </cell>
          <cell r="H314">
            <v>2996.1184760687852</v>
          </cell>
          <cell r="I314">
            <v>0</v>
          </cell>
        </row>
        <row r="316">
          <cell r="E316">
            <v>120</v>
          </cell>
          <cell r="F316">
            <v>68</v>
          </cell>
          <cell r="G316">
            <v>3234.2111964369524</v>
          </cell>
          <cell r="H316">
            <v>2181.2757292802949</v>
          </cell>
        </row>
        <row r="318">
          <cell r="E318">
            <v>0</v>
          </cell>
          <cell r="F318">
            <v>0</v>
          </cell>
          <cell r="G318">
            <v>0</v>
          </cell>
          <cell r="H318">
            <v>0</v>
          </cell>
          <cell r="I318">
            <v>0</v>
          </cell>
        </row>
        <row r="321">
          <cell r="E321">
            <v>1664</v>
          </cell>
          <cell r="F321">
            <v>275</v>
          </cell>
          <cell r="G321">
            <v>89635.910071919949</v>
          </cell>
          <cell r="H321">
            <v>60453.886044062361</v>
          </cell>
          <cell r="I321">
            <v>0</v>
          </cell>
        </row>
        <row r="325">
          <cell r="E325">
            <v>0</v>
          </cell>
          <cell r="F325">
            <v>0</v>
          </cell>
          <cell r="G325">
            <v>6000</v>
          </cell>
          <cell r="H325">
            <v>4046.6294811235898</v>
          </cell>
          <cell r="I325">
            <v>0</v>
          </cell>
        </row>
        <row r="327">
          <cell r="E327">
            <v>0</v>
          </cell>
          <cell r="F327">
            <v>2500</v>
          </cell>
          <cell r="G327">
            <v>46055</v>
          </cell>
          <cell r="H327">
            <v>31061.25345885782</v>
          </cell>
          <cell r="I327">
            <v>0</v>
          </cell>
        </row>
        <row r="329">
          <cell r="E329">
            <v>18</v>
          </cell>
          <cell r="F329">
            <v>0</v>
          </cell>
          <cell r="G329">
            <v>485.1316794655429</v>
          </cell>
          <cell r="H329">
            <v>327.19135939204426</v>
          </cell>
          <cell r="I329">
            <v>0</v>
          </cell>
        </row>
        <row r="335">
          <cell r="E335">
            <v>256</v>
          </cell>
          <cell r="F335">
            <v>0</v>
          </cell>
          <cell r="G335">
            <v>6899.6505523988326</v>
          </cell>
          <cell r="H335">
            <v>4653.3882224646295</v>
          </cell>
          <cell r="I335">
            <v>0</v>
          </cell>
        </row>
        <row r="340">
          <cell r="E340">
            <v>56</v>
          </cell>
          <cell r="F340">
            <v>0</v>
          </cell>
          <cell r="G340">
            <v>1509.2985583372447</v>
          </cell>
          <cell r="H340">
            <v>1017.9286736641377</v>
          </cell>
          <cell r="I340">
            <v>0</v>
          </cell>
        </row>
        <row r="343">
          <cell r="E343">
            <v>124</v>
          </cell>
          <cell r="F343">
            <v>0</v>
          </cell>
          <cell r="G343">
            <v>3342.0182363181839</v>
          </cell>
          <cell r="H343">
            <v>2253.9849202563046</v>
          </cell>
          <cell r="I343">
            <v>0</v>
          </cell>
        </row>
        <row r="346">
          <cell r="E346">
            <v>535</v>
          </cell>
          <cell r="F346">
            <v>0</v>
          </cell>
          <cell r="G346">
            <v>9028.8395900531596</v>
          </cell>
          <cell r="H346">
            <v>6089.3947442408235</v>
          </cell>
          <cell r="I346">
            <v>0</v>
          </cell>
        </row>
        <row r="349">
          <cell r="E349">
            <v>207</v>
          </cell>
          <cell r="F349">
            <v>0</v>
          </cell>
          <cell r="G349">
            <v>5579.0143138537433</v>
          </cell>
          <cell r="H349">
            <v>3762.7006330085087</v>
          </cell>
          <cell r="I349">
            <v>0</v>
          </cell>
        </row>
      </sheetData>
      <sheetData sheetId="2"/>
      <sheetData sheetId="3">
        <row r="20">
          <cell r="D20">
            <v>330</v>
          </cell>
        </row>
        <row r="28">
          <cell r="F28">
            <v>0</v>
          </cell>
          <cell r="H28">
            <v>0</v>
          </cell>
        </row>
        <row r="29">
          <cell r="H29">
            <v>0</v>
          </cell>
        </row>
        <row r="32">
          <cell r="E32">
            <v>0</v>
          </cell>
        </row>
        <row r="90">
          <cell r="L90">
            <v>877797</v>
          </cell>
          <cell r="N90">
            <v>1450.9041322314049</v>
          </cell>
        </row>
        <row r="91">
          <cell r="N91">
            <v>1088.1780991735536</v>
          </cell>
        </row>
        <row r="93">
          <cell r="K93">
            <v>0</v>
          </cell>
        </row>
        <row r="94">
          <cell r="K94">
            <v>2860077.08</v>
          </cell>
        </row>
        <row r="95">
          <cell r="N95">
            <v>15062</v>
          </cell>
        </row>
        <row r="96">
          <cell r="N96">
            <v>10950</v>
          </cell>
        </row>
        <row r="97">
          <cell r="N97">
            <v>0</v>
          </cell>
        </row>
        <row r="98">
          <cell r="N98">
            <v>0</v>
          </cell>
        </row>
        <row r="100">
          <cell r="I100">
            <v>1571039</v>
          </cell>
        </row>
        <row r="105">
          <cell r="I105">
            <v>692597.27</v>
          </cell>
        </row>
        <row r="107">
          <cell r="I107">
            <v>0</v>
          </cell>
        </row>
        <row r="108">
          <cell r="I108">
            <v>0</v>
          </cell>
        </row>
        <row r="114">
          <cell r="I114">
            <v>359937.69</v>
          </cell>
        </row>
        <row r="264">
          <cell r="B264">
            <v>0.1</v>
          </cell>
        </row>
      </sheetData>
      <sheetData sheetId="4">
        <row r="8">
          <cell r="Q8">
            <v>50444.404000000002</v>
          </cell>
        </row>
        <row r="9">
          <cell r="Q9">
            <v>259.108</v>
          </cell>
        </row>
        <row r="12">
          <cell r="Q12">
            <v>49362.347999999998</v>
          </cell>
        </row>
        <row r="16">
          <cell r="Q16">
            <v>-166.98400000000424</v>
          </cell>
          <cell r="AZ16">
            <v>0.67443824685393161</v>
          </cell>
        </row>
        <row r="27">
          <cell r="Q27">
            <v>1230.8309999999999</v>
          </cell>
        </row>
      </sheetData>
      <sheetData sheetId="5"/>
      <sheetData sheetId="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B1 detail"/>
      <sheetName val="E"/>
      <sheetName val="G"/>
      <sheetName val="B"/>
      <sheetName val="A"/>
      <sheetName val="F"/>
      <sheetName val="C"/>
    </sheetNames>
    <sheetDataSet>
      <sheetData sheetId="0" refreshError="1"/>
      <sheetData sheetId="1" refreshError="1"/>
      <sheetData sheetId="2">
        <row r="10">
          <cell r="G10">
            <v>38330</v>
          </cell>
        </row>
        <row r="18">
          <cell r="G18">
            <v>12410.36</v>
          </cell>
        </row>
        <row r="23">
          <cell r="G23">
            <v>1194.4000000000001</v>
          </cell>
        </row>
        <row r="27">
          <cell r="G27">
            <v>14560</v>
          </cell>
        </row>
        <row r="32">
          <cell r="G32">
            <v>48297.599999999999</v>
          </cell>
        </row>
      </sheetData>
      <sheetData sheetId="3">
        <row r="5">
          <cell r="D5">
            <v>156</v>
          </cell>
          <cell r="I5">
            <v>11844.3</v>
          </cell>
        </row>
        <row r="10">
          <cell r="I10">
            <v>11844.3</v>
          </cell>
        </row>
        <row r="11">
          <cell r="D11">
            <v>156</v>
          </cell>
        </row>
      </sheetData>
      <sheetData sheetId="4">
        <row r="5">
          <cell r="D5">
            <v>1080</v>
          </cell>
          <cell r="H5">
            <v>61236</v>
          </cell>
        </row>
        <row r="9">
          <cell r="D9">
            <v>2080</v>
          </cell>
        </row>
        <row r="11">
          <cell r="J11">
            <v>71620</v>
          </cell>
        </row>
      </sheetData>
      <sheetData sheetId="5">
        <row r="5">
          <cell r="E5">
            <v>2164</v>
          </cell>
          <cell r="H5">
            <v>36195</v>
          </cell>
        </row>
        <row r="6">
          <cell r="E6">
            <v>3750</v>
          </cell>
          <cell r="H6">
            <v>5812.5</v>
          </cell>
        </row>
        <row r="8">
          <cell r="H8">
            <v>16004</v>
          </cell>
        </row>
        <row r="12">
          <cell r="D12">
            <v>2080</v>
          </cell>
        </row>
        <row r="13">
          <cell r="D13">
            <v>2080</v>
          </cell>
        </row>
        <row r="14">
          <cell r="H14">
            <v>80337</v>
          </cell>
        </row>
        <row r="16">
          <cell r="D16">
            <v>208</v>
          </cell>
        </row>
        <row r="17">
          <cell r="H17">
            <v>11156.599999999999</v>
          </cell>
        </row>
        <row r="25">
          <cell r="H25">
            <v>171522.84</v>
          </cell>
        </row>
        <row r="28">
          <cell r="D28">
            <v>12480</v>
          </cell>
          <cell r="I28">
            <v>371652.83999999991</v>
          </cell>
          <cell r="K28">
            <v>1743</v>
          </cell>
        </row>
        <row r="38">
          <cell r="E38">
            <v>596</v>
          </cell>
          <cell r="G38">
            <v>366</v>
          </cell>
          <cell r="H38">
            <v>27057.7395</v>
          </cell>
        </row>
        <row r="51">
          <cell r="E51">
            <v>5227</v>
          </cell>
          <cell r="G51">
            <v>717</v>
          </cell>
          <cell r="H51">
            <v>103051.05</v>
          </cell>
        </row>
        <row r="65">
          <cell r="D65">
            <v>180</v>
          </cell>
          <cell r="F65">
            <v>151</v>
          </cell>
          <cell r="H65">
            <v>5360.3774999999987</v>
          </cell>
        </row>
        <row r="80">
          <cell r="D80">
            <v>63</v>
          </cell>
          <cell r="H80">
            <v>2400.9300000000003</v>
          </cell>
        </row>
        <row r="84">
          <cell r="D84">
            <v>230.5</v>
          </cell>
          <cell r="H84">
            <v>8784.3549999999996</v>
          </cell>
          <cell r="J84">
            <v>85</v>
          </cell>
        </row>
      </sheetData>
      <sheetData sheetId="6">
        <row r="9">
          <cell r="H9">
            <v>936</v>
          </cell>
          <cell r="L9">
            <v>39273</v>
          </cell>
        </row>
        <row r="25">
          <cell r="H25">
            <v>13</v>
          </cell>
          <cell r="L25">
            <v>568.75</v>
          </cell>
        </row>
      </sheetData>
      <sheetData sheetId="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each"/>
      <sheetName val="Indirect Costs"/>
    </sheetNames>
    <sheetDataSet>
      <sheetData sheetId="0" refreshError="1"/>
      <sheetData sheetId="1">
        <row r="11">
          <cell r="F11">
            <v>101326.09443712411</v>
          </cell>
        </row>
        <row r="23">
          <cell r="F23">
            <v>4028365.45</v>
          </cell>
        </row>
      </sheetData>
      <sheetData sheetId="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290"/>
      <sheetName val="Comparison to FY14"/>
      <sheetName val="check to source"/>
      <sheetName val="RECLASS"/>
      <sheetName val="Rollup"/>
      <sheetName val="7283"/>
      <sheetName val="7284"/>
      <sheetName val="7285"/>
      <sheetName val="7291"/>
      <sheetName val="7293"/>
      <sheetName val="7326"/>
      <sheetName val="7327"/>
      <sheetName val="7380"/>
      <sheetName val="7400"/>
      <sheetName val="7510"/>
      <sheetName val="7521"/>
      <sheetName val="7550"/>
      <sheetName val="7577"/>
      <sheetName val="7585"/>
      <sheetName val="7900"/>
      <sheetName val="8000"/>
      <sheetName val="8001"/>
      <sheetName val="8002"/>
      <sheetName val="8003"/>
      <sheetName val="8004"/>
      <sheetName val="8007"/>
      <sheetName val="8008"/>
      <sheetName val="8009"/>
      <sheetName val="8011"/>
      <sheetName val="8018"/>
      <sheetName val="8020"/>
      <sheetName val="8021"/>
      <sheetName val="8022"/>
      <sheetName val="8023"/>
      <sheetName val="8025"/>
      <sheetName val="8027"/>
      <sheetName val="8028"/>
      <sheetName val="8050"/>
      <sheetName val="8060"/>
      <sheetName val="8070"/>
      <sheetName val="8090"/>
      <sheetName val="8105"/>
      <sheetName val="8275"/>
      <sheetName val="8490"/>
      <sheetName val="8500"/>
      <sheetName val="8595"/>
      <sheetName val="8641"/>
      <sheetName val="8645"/>
      <sheetName val="8671"/>
      <sheetName val="8695"/>
      <sheetName val="8731"/>
      <sheetName val="8820"/>
      <sheetName val="8961"/>
      <sheetName val="8963"/>
      <sheetName val="8981"/>
      <sheetName val="8984"/>
      <sheetName val="SUMMARY"/>
    </sheetNames>
    <sheetDataSet>
      <sheetData sheetId="0" refreshError="1"/>
      <sheetData sheetId="1">
        <row r="70">
          <cell r="S70">
            <v>18228905.345500004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Info"/>
      <sheetName val="Master Table (DO NOT HIDE)"/>
      <sheetName val="Input M"/>
      <sheetName val="Input TB"/>
      <sheetName val="Expense TB"/>
      <sheetName val="Revenue"/>
      <sheetName val="Volume"/>
      <sheetName val="Statistic (Js) Input"/>
      <sheetName val="DP1 Input"/>
      <sheetName val="RE Input"/>
      <sheetName val="PDA Input"/>
      <sheetName val="P1 Input"/>
      <sheetName val="P2 Input"/>
      <sheetName val="P3 Input"/>
      <sheetName val="P4 Input"/>
      <sheetName val="Don Service Exp"/>
      <sheetName val="ACS Input"/>
      <sheetName val="E,F,UR Alloc"/>
      <sheetName val="PY RO"/>
      <sheetName val="URS Input"/>
      <sheetName val="H1_H4 Input"/>
      <sheetName val="H2 Input"/>
      <sheetName val="Equip Fac Allow_Hist Lease Pur"/>
      <sheetName val="G_GR Input"/>
      <sheetName val="OFC Input"/>
      <sheetName val="SB Input"/>
      <sheetName val="AHA Input"/>
      <sheetName val="TRE Input"/>
      <sheetName val="RAT Sched"/>
      <sheetName val="AMS Sched"/>
      <sheetName val="Trauma Standby"/>
      <sheetName val="Trauma Dept"/>
      <sheetName val="XX"/>
      <sheetName val="V1"/>
      <sheetName val="V2"/>
      <sheetName val="V3"/>
      <sheetName val="V5"/>
      <sheetName val="UA"/>
      <sheetName val="P1"/>
      <sheetName val="P2"/>
      <sheetName val="P3"/>
      <sheetName val="P4"/>
      <sheetName val="P5"/>
      <sheetName val="C"/>
      <sheetName val="D"/>
      <sheetName val="Es"/>
      <sheetName val="Fs"/>
      <sheetName val="OADP"/>
      <sheetName val="RE"/>
      <sheetName val="RER"/>
      <sheetName val="AHA"/>
      <sheetName val="Js"/>
      <sheetName val="H1"/>
      <sheetName val="H2"/>
      <sheetName val="H3"/>
      <sheetName val="H4"/>
      <sheetName val="GR"/>
      <sheetName val="PDA"/>
      <sheetName val="Ms"/>
      <sheetName val="ACS"/>
      <sheetName val="UR"/>
      <sheetName val="URS"/>
      <sheetName val="TRE"/>
      <sheetName val="RAT"/>
      <sheetName val="AMS"/>
      <sheetName val="SB"/>
      <sheetName val="SBC"/>
      <sheetName val="MTC"/>
      <sheetName val="S1"/>
      <sheetName val="S2"/>
      <sheetName val="S3"/>
      <sheetName val="S4"/>
      <sheetName val="S5"/>
      <sheetName val="S7"/>
      <sheetName val="E_I"/>
      <sheetName val="E_II (a)"/>
      <sheetName val="E_II (b)"/>
      <sheetName val="E_III"/>
      <sheetName val="E_IV"/>
      <sheetName val="E_V"/>
      <sheetName val="E_VI"/>
      <sheetName val="E_VII"/>
      <sheetName val="E_VIII"/>
      <sheetName val="E_IX"/>
      <sheetName val="E_X"/>
      <sheetName val="E_XI"/>
      <sheetName val="E_XII"/>
      <sheetName val="E_XIII"/>
      <sheetName val="E_XIV"/>
      <sheetName val="E_XV"/>
      <sheetName val="E_XVI"/>
      <sheetName val="E_XVII"/>
      <sheetName val="E_XVIII"/>
      <sheetName val="E_XIX"/>
      <sheetName val="Exhibits Formatting"/>
      <sheetName val="cdef2013 - D"/>
      <sheetName val="rev5pda2013 - M"/>
      <sheetName val="HSCRC Rates By Center 2014"/>
      <sheetName val="FY 2013 - RE"/>
      <sheetName val="FY 2013 - UA"/>
      <sheetName val="cdef2013 - C"/>
      <sheetName val="RR (a)"/>
      <sheetName val="RR (b)"/>
      <sheetName val="Provider IDs"/>
      <sheetName val="PY_M"/>
      <sheetName val="EC"/>
      <sheetName val="Instructions"/>
      <sheetName val="Rct (DON'T HIDE)"/>
      <sheetName val="Cvr (DON'T HIDE)"/>
      <sheetName val="Sig (DON'T HIDE)"/>
      <sheetName val="Sch"/>
      <sheetName val="cdefhpv"/>
      <sheetName val="rev5pda"/>
      <sheetName val="Print"/>
    </sheetNames>
    <sheetDataSet>
      <sheetData sheetId="0">
        <row r="4">
          <cell r="B4">
            <v>210063</v>
          </cell>
        </row>
      </sheetData>
      <sheetData sheetId="1" refreshError="1"/>
      <sheetData sheetId="2">
        <row r="5">
          <cell r="B5" t="str">
            <v>UNITS</v>
          </cell>
          <cell r="D5" t="str">
            <v>PAT CARE</v>
          </cell>
          <cell r="E5" t="str">
            <v>OTHER</v>
          </cell>
          <cell r="G5" t="str">
            <v>PHYSICIAN</v>
          </cell>
          <cell r="H5" t="str">
            <v>RESIDENT</v>
          </cell>
        </row>
        <row r="6">
          <cell r="B6" t="str">
            <v>OF</v>
          </cell>
          <cell r="C6" t="str">
            <v>DIRECT</v>
          </cell>
          <cell r="D6" t="str">
            <v>OVERHEAD</v>
          </cell>
          <cell r="E6" t="str">
            <v>OVERHEAD</v>
          </cell>
          <cell r="F6" t="str">
            <v>N/A</v>
          </cell>
          <cell r="G6" t="str">
            <v>SUPPORT</v>
          </cell>
          <cell r="H6" t="str">
            <v>INTERN</v>
          </cell>
          <cell r="I6" t="str">
            <v>LEVEL</v>
          </cell>
        </row>
        <row r="7">
          <cell r="B7" t="str">
            <v>MEASURE</v>
          </cell>
          <cell r="C7" t="str">
            <v>EXPENSES</v>
          </cell>
          <cell r="D7" t="str">
            <v>EXPENSES</v>
          </cell>
          <cell r="E7" t="str">
            <v>EXPENSES</v>
          </cell>
          <cell r="G7" t="str">
            <v>EXPENSES</v>
          </cell>
          <cell r="H7" t="str">
            <v>EXPENSES</v>
          </cell>
          <cell r="I7" t="str">
            <v>I</v>
          </cell>
        </row>
        <row r="9">
          <cell r="A9" t="str">
            <v>CODE</v>
          </cell>
          <cell r="B9" t="str">
            <v>COL 1</v>
          </cell>
          <cell r="C9" t="str">
            <v>COL 2</v>
          </cell>
          <cell r="D9" t="str">
            <v>COL 3</v>
          </cell>
          <cell r="E9" t="str">
            <v>COL 4</v>
          </cell>
          <cell r="F9" t="str">
            <v>COL 5</v>
          </cell>
          <cell r="G9" t="str">
            <v>COL 6</v>
          </cell>
          <cell r="H9" t="str">
            <v>COL 7</v>
          </cell>
          <cell r="I9" t="str">
            <v>COL 8</v>
          </cell>
        </row>
        <row r="10">
          <cell r="A10" t="str">
            <v>MSG</v>
          </cell>
          <cell r="B10">
            <v>43801</v>
          </cell>
          <cell r="C10">
            <v>27547.702819874721</v>
          </cell>
          <cell r="D10">
            <v>7621.1544327530046</v>
          </cell>
          <cell r="E10">
            <v>8637.2075233668711</v>
          </cell>
          <cell r="F10" t="str">
            <v xml:space="preserve"> /////////</v>
          </cell>
          <cell r="G10">
            <v>466.72997993071078</v>
          </cell>
          <cell r="H10">
            <v>0</v>
          </cell>
          <cell r="I10">
            <v>44272.794755925308</v>
          </cell>
        </row>
        <row r="11">
          <cell r="A11" t="str">
            <v>PED</v>
          </cell>
          <cell r="B11">
            <v>0</v>
          </cell>
          <cell r="C11">
            <v>0</v>
          </cell>
          <cell r="D11">
            <v>0</v>
          </cell>
          <cell r="E11">
            <v>0</v>
          </cell>
          <cell r="F11" t="str">
            <v xml:space="preserve"> /////////</v>
          </cell>
          <cell r="G11">
            <v>0</v>
          </cell>
          <cell r="H11">
            <v>0</v>
          </cell>
          <cell r="I11">
            <v>0</v>
          </cell>
        </row>
        <row r="12">
          <cell r="A12" t="str">
            <v>PSY</v>
          </cell>
          <cell r="B12">
            <v>5490</v>
          </cell>
          <cell r="C12">
            <v>3239.0422893270052</v>
          </cell>
          <cell r="D12">
            <v>890.01961784726507</v>
          </cell>
          <cell r="E12">
            <v>1015.3528015196043</v>
          </cell>
          <cell r="F12" t="str">
            <v xml:space="preserve"> /////////</v>
          </cell>
          <cell r="G12">
            <v>0</v>
          </cell>
          <cell r="H12">
            <v>0</v>
          </cell>
          <cell r="I12">
            <v>5144.4147086938747</v>
          </cell>
        </row>
        <row r="13">
          <cell r="A13" t="str">
            <v>OBS</v>
          </cell>
          <cell r="B13">
            <v>5563</v>
          </cell>
          <cell r="C13">
            <v>1937.8835006195845</v>
          </cell>
          <cell r="D13">
            <v>784.08116274256099</v>
          </cell>
          <cell r="E13">
            <v>615.96367050484162</v>
          </cell>
          <cell r="F13" t="str">
            <v xml:space="preserve"> /////////</v>
          </cell>
          <cell r="G13">
            <v>0</v>
          </cell>
          <cell r="H13">
            <v>0</v>
          </cell>
          <cell r="I13">
            <v>3337.928333866987</v>
          </cell>
        </row>
        <row r="14">
          <cell r="A14" t="str">
            <v>DEF</v>
          </cell>
          <cell r="B14">
            <v>0</v>
          </cell>
          <cell r="C14">
            <v>0</v>
          </cell>
          <cell r="D14">
            <v>0</v>
          </cell>
          <cell r="E14">
            <v>0</v>
          </cell>
          <cell r="F14" t="str">
            <v xml:space="preserve"> /////////</v>
          </cell>
          <cell r="G14">
            <v>0</v>
          </cell>
          <cell r="H14">
            <v>0</v>
          </cell>
          <cell r="I14">
            <v>0</v>
          </cell>
        </row>
        <row r="15">
          <cell r="A15" t="str">
            <v>MIS</v>
          </cell>
          <cell r="B15">
            <v>5436</v>
          </cell>
          <cell r="C15">
            <v>7789.4403556329953</v>
          </cell>
          <cell r="D15">
            <v>1488.7581337189581</v>
          </cell>
          <cell r="E15">
            <v>2419.7937001470655</v>
          </cell>
          <cell r="F15" t="str">
            <v xml:space="preserve"> /////////</v>
          </cell>
          <cell r="G15">
            <v>0</v>
          </cell>
          <cell r="H15">
            <v>0</v>
          </cell>
          <cell r="I15">
            <v>11697.992189499018</v>
          </cell>
        </row>
        <row r="16">
          <cell r="A16" t="str">
            <v>CCU</v>
          </cell>
          <cell r="B16">
            <v>0</v>
          </cell>
          <cell r="C16">
            <v>0</v>
          </cell>
          <cell r="D16">
            <v>0</v>
          </cell>
          <cell r="E16">
            <v>0</v>
          </cell>
          <cell r="F16" t="str">
            <v xml:space="preserve"> /////////</v>
          </cell>
          <cell r="G16">
            <v>0</v>
          </cell>
          <cell r="H16">
            <v>0</v>
          </cell>
          <cell r="I16">
            <v>0</v>
          </cell>
        </row>
        <row r="17">
          <cell r="A17" t="str">
            <v>PIC</v>
          </cell>
          <cell r="B17">
            <v>0</v>
          </cell>
          <cell r="C17">
            <v>0</v>
          </cell>
          <cell r="D17">
            <v>0</v>
          </cell>
          <cell r="E17">
            <v>0</v>
          </cell>
          <cell r="F17" t="str">
            <v xml:space="preserve"> /////////</v>
          </cell>
          <cell r="G17">
            <v>0</v>
          </cell>
          <cell r="H17">
            <v>0</v>
          </cell>
          <cell r="I17">
            <v>0</v>
          </cell>
        </row>
        <row r="18">
          <cell r="A18" t="str">
            <v>NEO</v>
          </cell>
          <cell r="B18">
            <v>3221</v>
          </cell>
          <cell r="C18">
            <v>3949.5717497429428</v>
          </cell>
          <cell r="D18">
            <v>297.98910124194708</v>
          </cell>
          <cell r="E18">
            <v>1211.5207041412007</v>
          </cell>
          <cell r="F18" t="str">
            <v xml:space="preserve"> /////////</v>
          </cell>
          <cell r="G18">
            <v>2.0318942785368561</v>
          </cell>
          <cell r="H18">
            <v>0</v>
          </cell>
          <cell r="I18">
            <v>5461.1134494046273</v>
          </cell>
        </row>
        <row r="19">
          <cell r="A19" t="str">
            <v>BUR</v>
          </cell>
          <cell r="B19">
            <v>0</v>
          </cell>
          <cell r="C19">
            <v>0</v>
          </cell>
          <cell r="D19">
            <v>0</v>
          </cell>
          <cell r="E19">
            <v>0</v>
          </cell>
          <cell r="F19" t="str">
            <v xml:space="preserve"> /////////</v>
          </cell>
          <cell r="G19">
            <v>0</v>
          </cell>
          <cell r="H19">
            <v>0</v>
          </cell>
          <cell r="I19">
            <v>0</v>
          </cell>
        </row>
        <row r="20">
          <cell r="A20" t="str">
            <v>TRM</v>
          </cell>
          <cell r="B20">
            <v>0</v>
          </cell>
          <cell r="C20">
            <v>0</v>
          </cell>
          <cell r="D20">
            <v>0</v>
          </cell>
          <cell r="E20">
            <v>0</v>
          </cell>
          <cell r="F20" t="str">
            <v xml:space="preserve"> /////////</v>
          </cell>
          <cell r="G20">
            <v>0</v>
          </cell>
          <cell r="H20">
            <v>0</v>
          </cell>
          <cell r="I20">
            <v>0</v>
          </cell>
        </row>
        <row r="21">
          <cell r="A21" t="str">
            <v>ONC</v>
          </cell>
          <cell r="B21">
            <v>0</v>
          </cell>
          <cell r="C21">
            <v>0</v>
          </cell>
          <cell r="D21">
            <v>0</v>
          </cell>
          <cell r="E21">
            <v>0</v>
          </cell>
          <cell r="F21" t="str">
            <v xml:space="preserve"> /////////</v>
          </cell>
          <cell r="G21">
            <v>0</v>
          </cell>
          <cell r="H21">
            <v>0</v>
          </cell>
          <cell r="I21">
            <v>0</v>
          </cell>
        </row>
        <row r="22">
          <cell r="A22" t="str">
            <v>NUR</v>
          </cell>
          <cell r="B22">
            <v>4384</v>
          </cell>
          <cell r="C22">
            <v>1216.09121</v>
          </cell>
          <cell r="D22">
            <v>16.676014187722195</v>
          </cell>
          <cell r="E22">
            <v>370.49954787797304</v>
          </cell>
          <cell r="F22" t="str">
            <v xml:space="preserve"> /////////</v>
          </cell>
          <cell r="G22">
            <v>0</v>
          </cell>
          <cell r="H22">
            <v>0</v>
          </cell>
          <cell r="I22">
            <v>1603.2667720656952</v>
          </cell>
        </row>
        <row r="23">
          <cell r="A23" t="str">
            <v>PRE</v>
          </cell>
          <cell r="B23">
            <v>0</v>
          </cell>
          <cell r="C23">
            <v>0</v>
          </cell>
          <cell r="D23">
            <v>0</v>
          </cell>
          <cell r="E23">
            <v>0</v>
          </cell>
          <cell r="F23" t="str">
            <v xml:space="preserve"> /////////</v>
          </cell>
          <cell r="G23">
            <v>0</v>
          </cell>
          <cell r="H23">
            <v>0</v>
          </cell>
          <cell r="I23">
            <v>0</v>
          </cell>
        </row>
        <row r="24">
          <cell r="A24" t="str">
            <v>CHR</v>
          </cell>
          <cell r="B24">
            <v>0</v>
          </cell>
          <cell r="C24">
            <v>0</v>
          </cell>
          <cell r="D24">
            <v>0</v>
          </cell>
          <cell r="E24">
            <v>0</v>
          </cell>
          <cell r="F24" t="str">
            <v xml:space="preserve"> /////////</v>
          </cell>
          <cell r="G24">
            <v>0</v>
          </cell>
          <cell r="H24">
            <v>0</v>
          </cell>
          <cell r="I24">
            <v>0</v>
          </cell>
        </row>
        <row r="25">
          <cell r="A25" t="str">
            <v>EMG</v>
          </cell>
          <cell r="B25">
            <v>486997</v>
          </cell>
          <cell r="C25">
            <v>9472.0940932641788</v>
          </cell>
          <cell r="D25">
            <v>1242.2166772502644</v>
          </cell>
          <cell r="E25">
            <v>3077.2870134523064</v>
          </cell>
          <cell r="F25" t="str">
            <v xml:space="preserve"> /////////</v>
          </cell>
          <cell r="G25">
            <v>0</v>
          </cell>
          <cell r="H25">
            <v>0</v>
          </cell>
          <cell r="I25">
            <v>13791.59778396675</v>
          </cell>
        </row>
        <row r="26">
          <cell r="A26" t="str">
            <v>CL</v>
          </cell>
          <cell r="B26">
            <v>257863</v>
          </cell>
          <cell r="C26">
            <v>6276.5276017304577</v>
          </cell>
          <cell r="D26">
            <v>822.16894701876913</v>
          </cell>
          <cell r="E26">
            <v>2072.1915038225407</v>
          </cell>
          <cell r="F26" t="str">
            <v xml:space="preserve"> /////////</v>
          </cell>
          <cell r="G26">
            <v>0</v>
          </cell>
          <cell r="H26">
            <v>0</v>
          </cell>
          <cell r="I26">
            <v>9170.8880525717686</v>
          </cell>
        </row>
        <row r="27">
          <cell r="A27" t="str">
            <v>PDC</v>
          </cell>
          <cell r="B27">
            <v>1736</v>
          </cell>
          <cell r="C27">
            <v>234.61896250000001</v>
          </cell>
          <cell r="D27">
            <v>14.260386978501545</v>
          </cell>
          <cell r="E27">
            <v>77.552275900601984</v>
          </cell>
          <cell r="F27" t="str">
            <v xml:space="preserve"> /////////</v>
          </cell>
          <cell r="G27">
            <v>0</v>
          </cell>
          <cell r="H27">
            <v>0</v>
          </cell>
          <cell r="I27">
            <v>326.43162537910354</v>
          </cell>
        </row>
        <row r="28">
          <cell r="A28" t="str">
            <v>SDS</v>
          </cell>
          <cell r="B28">
            <v>5523</v>
          </cell>
          <cell r="C28">
            <v>1868.32448</v>
          </cell>
          <cell r="D28">
            <v>214.0682834360467</v>
          </cell>
          <cell r="E28">
            <v>575.57034416671445</v>
          </cell>
          <cell r="F28" t="str">
            <v xml:space="preserve"> /////////</v>
          </cell>
          <cell r="G28">
            <v>0</v>
          </cell>
          <cell r="H28">
            <v>0</v>
          </cell>
          <cell r="I28">
            <v>2657.9631076027608</v>
          </cell>
        </row>
        <row r="29">
          <cell r="A29" t="str">
            <v>DEL</v>
          </cell>
          <cell r="B29">
            <v>97296</v>
          </cell>
          <cell r="C29">
            <v>4211.2879685443313</v>
          </cell>
          <cell r="D29">
            <v>579.16378101559064</v>
          </cell>
          <cell r="E29">
            <v>1408.2553519949056</v>
          </cell>
          <cell r="F29" t="str">
            <v xml:space="preserve"> /////////</v>
          </cell>
          <cell r="G29">
            <v>0</v>
          </cell>
          <cell r="H29">
            <v>0</v>
          </cell>
          <cell r="I29">
            <v>6198.7071015548281</v>
          </cell>
        </row>
        <row r="30">
          <cell r="A30" t="str">
            <v>OR</v>
          </cell>
          <cell r="B30">
            <v>1190372</v>
          </cell>
          <cell r="C30">
            <v>15891.246628009467</v>
          </cell>
          <cell r="D30">
            <v>3272.2986088437638</v>
          </cell>
          <cell r="E30">
            <v>5754.2755295842599</v>
          </cell>
          <cell r="F30" t="str">
            <v xml:space="preserve"> /////////</v>
          </cell>
          <cell r="G30">
            <v>389.00670070521306</v>
          </cell>
          <cell r="H30">
            <v>0</v>
          </cell>
          <cell r="I30">
            <v>25306.827467142706</v>
          </cell>
        </row>
        <row r="31">
          <cell r="A31" t="str">
            <v>ORC</v>
          </cell>
          <cell r="B31">
            <v>4194</v>
          </cell>
          <cell r="C31">
            <v>11.43825</v>
          </cell>
          <cell r="D31">
            <v>2.5538971847254448</v>
          </cell>
          <cell r="E31">
            <v>4.8335195059979874</v>
          </cell>
          <cell r="F31" t="str">
            <v xml:space="preserve"> /////////</v>
          </cell>
          <cell r="G31">
            <v>0</v>
          </cell>
          <cell r="H31">
            <v>0</v>
          </cell>
          <cell r="I31">
            <v>18.82566669072343</v>
          </cell>
        </row>
        <row r="32">
          <cell r="A32" t="str">
            <v>ANS</v>
          </cell>
          <cell r="B32">
            <v>1142348</v>
          </cell>
          <cell r="C32">
            <v>1283.6281209672156</v>
          </cell>
          <cell r="D32">
            <v>93.132725593592113</v>
          </cell>
          <cell r="E32">
            <v>451.5306629353687</v>
          </cell>
          <cell r="F32" t="str">
            <v xml:space="preserve"> /////////</v>
          </cell>
          <cell r="G32">
            <v>0</v>
          </cell>
          <cell r="H32">
            <v>0</v>
          </cell>
          <cell r="I32">
            <v>1828.2915094961763</v>
          </cell>
        </row>
        <row r="33">
          <cell r="A33" t="str">
            <v>LAB</v>
          </cell>
          <cell r="B33">
            <v>11691696</v>
          </cell>
          <cell r="C33">
            <v>10543.677055394794</v>
          </cell>
          <cell r="D33">
            <v>1394.7923830741233</v>
          </cell>
          <cell r="E33">
            <v>3733.8139409373548</v>
          </cell>
          <cell r="F33" t="str">
            <v xml:space="preserve"> /////////</v>
          </cell>
          <cell r="G33">
            <v>0</v>
          </cell>
          <cell r="H33">
            <v>0</v>
          </cell>
          <cell r="I33">
            <v>15672.283379406272</v>
          </cell>
        </row>
        <row r="34">
          <cell r="A34" t="str">
            <v>EKG</v>
          </cell>
          <cell r="B34">
            <v>752547</v>
          </cell>
          <cell r="C34">
            <v>989.82997607410675</v>
          </cell>
          <cell r="D34">
            <v>301.20026624583488</v>
          </cell>
          <cell r="E34">
            <v>363.7701946117291</v>
          </cell>
          <cell r="F34" t="str">
            <v xml:space="preserve"> /////////</v>
          </cell>
          <cell r="G34">
            <v>0.70195985556695129</v>
          </cell>
          <cell r="H34">
            <v>0</v>
          </cell>
          <cell r="I34">
            <v>1655.5023967872376</v>
          </cell>
        </row>
        <row r="35">
          <cell r="A35" t="str">
            <v>IRC</v>
          </cell>
          <cell r="B35">
            <v>130721</v>
          </cell>
          <cell r="C35">
            <v>5618.5887744248394</v>
          </cell>
          <cell r="D35">
            <v>1209.036140238318</v>
          </cell>
          <cell r="E35">
            <v>1977.9599831598819</v>
          </cell>
          <cell r="F35" t="str">
            <v xml:space="preserve"> /////////</v>
          </cell>
          <cell r="G35">
            <v>5.7069947415211528</v>
          </cell>
          <cell r="H35">
            <v>0</v>
          </cell>
          <cell r="I35">
            <v>8811.291892564559</v>
          </cell>
        </row>
        <row r="36">
          <cell r="A36" t="str">
            <v>RAD</v>
          </cell>
          <cell r="B36">
            <v>389100</v>
          </cell>
          <cell r="C36">
            <v>4565.8630791335709</v>
          </cell>
          <cell r="D36">
            <v>997.72531576129109</v>
          </cell>
          <cell r="E36">
            <v>1760.8725485749678</v>
          </cell>
          <cell r="F36" t="str">
            <v xml:space="preserve"> /////////</v>
          </cell>
          <cell r="G36">
            <v>0</v>
          </cell>
          <cell r="H36">
            <v>0</v>
          </cell>
          <cell r="I36">
            <v>7324.4609434698305</v>
          </cell>
        </row>
        <row r="37">
          <cell r="A37" t="str">
            <v>CAT</v>
          </cell>
          <cell r="B37">
            <v>583451</v>
          </cell>
          <cell r="C37">
            <v>1626.2420468019409</v>
          </cell>
          <cell r="D37">
            <v>90.81438948918597</v>
          </cell>
          <cell r="E37">
            <v>618.0990090960729</v>
          </cell>
          <cell r="F37" t="str">
            <v xml:space="preserve"> /////////</v>
          </cell>
          <cell r="G37">
            <v>0</v>
          </cell>
          <cell r="H37">
            <v>0</v>
          </cell>
          <cell r="I37">
            <v>2335.1554453871995</v>
          </cell>
        </row>
        <row r="38">
          <cell r="A38" t="str">
            <v>RAT</v>
          </cell>
          <cell r="B38">
            <v>226184</v>
          </cell>
          <cell r="C38">
            <v>3686.3</v>
          </cell>
          <cell r="D38">
            <v>343.66845530824463</v>
          </cell>
          <cell r="E38">
            <v>1542.353398332504</v>
          </cell>
          <cell r="F38" t="str">
            <v xml:space="preserve"> /////////</v>
          </cell>
          <cell r="G38">
            <v>0</v>
          </cell>
          <cell r="H38">
            <v>0</v>
          </cell>
          <cell r="I38">
            <v>5572.3218536407485</v>
          </cell>
        </row>
        <row r="39">
          <cell r="A39" t="str">
            <v>NUC</v>
          </cell>
          <cell r="B39">
            <v>181014</v>
          </cell>
          <cell r="C39">
            <v>2145.9086124702253</v>
          </cell>
          <cell r="D39">
            <v>804.33673879542664</v>
          </cell>
          <cell r="E39">
            <v>890.9790804922294</v>
          </cell>
          <cell r="F39" t="str">
            <v xml:space="preserve"> /////////</v>
          </cell>
          <cell r="G39">
            <v>0</v>
          </cell>
          <cell r="H39">
            <v>0</v>
          </cell>
          <cell r="I39">
            <v>3841.2244317578816</v>
          </cell>
        </row>
        <row r="40">
          <cell r="A40" t="str">
            <v>RES</v>
          </cell>
          <cell r="B40">
            <v>3110049</v>
          </cell>
          <cell r="C40">
            <v>2967.3818536038821</v>
          </cell>
          <cell r="D40">
            <v>114.05317309133237</v>
          </cell>
          <cell r="E40">
            <v>920.78052567927625</v>
          </cell>
          <cell r="F40" t="str">
            <v xml:space="preserve"> /////////</v>
          </cell>
          <cell r="G40">
            <v>0</v>
          </cell>
          <cell r="H40">
            <v>0</v>
          </cell>
          <cell r="I40">
            <v>4002.2155523744905</v>
          </cell>
        </row>
        <row r="41">
          <cell r="A41" t="str">
            <v>PUL</v>
          </cell>
          <cell r="B41">
            <v>98026</v>
          </cell>
          <cell r="C41">
            <v>178.44825020291134</v>
          </cell>
          <cell r="D41">
            <v>52.275328692645409</v>
          </cell>
          <cell r="E41">
            <v>74.008925345313997</v>
          </cell>
          <cell r="F41" t="str">
            <v xml:space="preserve"> /////////</v>
          </cell>
          <cell r="G41">
            <v>0</v>
          </cell>
          <cell r="H41">
            <v>0</v>
          </cell>
          <cell r="I41">
            <v>304.73250424087075</v>
          </cell>
        </row>
        <row r="42">
          <cell r="A42" t="str">
            <v>EEG</v>
          </cell>
          <cell r="B42">
            <v>110342</v>
          </cell>
          <cell r="C42">
            <v>444.25234473753869</v>
          </cell>
          <cell r="D42">
            <v>211.49230819620132</v>
          </cell>
          <cell r="E42">
            <v>189.60418977308797</v>
          </cell>
          <cell r="F42" t="str">
            <v xml:space="preserve"> /////////</v>
          </cell>
          <cell r="G42">
            <v>0</v>
          </cell>
          <cell r="H42">
            <v>0</v>
          </cell>
          <cell r="I42">
            <v>845.34884270682801</v>
          </cell>
        </row>
        <row r="43">
          <cell r="A43" t="str">
            <v>PTH</v>
          </cell>
          <cell r="B43">
            <v>347704</v>
          </cell>
          <cell r="C43">
            <v>1387.9268313365683</v>
          </cell>
          <cell r="D43">
            <v>204.78326245041714</v>
          </cell>
          <cell r="E43">
            <v>459.40068669380344</v>
          </cell>
          <cell r="F43" t="str">
            <v xml:space="preserve"> /////////</v>
          </cell>
          <cell r="G43">
            <v>0</v>
          </cell>
          <cell r="H43">
            <v>0</v>
          </cell>
          <cell r="I43">
            <v>2052.1107804807889</v>
          </cell>
        </row>
        <row r="44">
          <cell r="A44" t="str">
            <v>OTH</v>
          </cell>
          <cell r="B44">
            <v>317989</v>
          </cell>
          <cell r="C44">
            <v>1348.4180368019411</v>
          </cell>
          <cell r="D44">
            <v>17.955823142989935</v>
          </cell>
          <cell r="E44">
            <v>413.83202996046526</v>
          </cell>
          <cell r="F44" t="str">
            <v xml:space="preserve"> /////////</v>
          </cell>
          <cell r="G44">
            <v>0</v>
          </cell>
          <cell r="H44">
            <v>0</v>
          </cell>
          <cell r="I44">
            <v>1780.2058899053961</v>
          </cell>
        </row>
        <row r="45">
          <cell r="A45" t="str">
            <v>STH</v>
          </cell>
          <cell r="B45">
            <v>35670</v>
          </cell>
          <cell r="C45">
            <v>166.16693999999998</v>
          </cell>
          <cell r="D45">
            <v>4.55791767411612</v>
          </cell>
          <cell r="E45">
            <v>54.992562479579369</v>
          </cell>
          <cell r="F45" t="str">
            <v xml:space="preserve"> /////////</v>
          </cell>
          <cell r="G45">
            <v>0</v>
          </cell>
          <cell r="H45">
            <v>0</v>
          </cell>
          <cell r="I45">
            <v>225.71742015369546</v>
          </cell>
        </row>
        <row r="46">
          <cell r="A46" t="str">
            <v>REC</v>
          </cell>
          <cell r="B46">
            <v>0</v>
          </cell>
          <cell r="C46">
            <v>0</v>
          </cell>
          <cell r="D46">
            <v>0</v>
          </cell>
          <cell r="E46">
            <v>0</v>
          </cell>
          <cell r="F46" t="str">
            <v xml:space="preserve"> /////////</v>
          </cell>
          <cell r="G46">
            <v>0</v>
          </cell>
          <cell r="H46">
            <v>0</v>
          </cell>
          <cell r="I46">
            <v>0</v>
          </cell>
        </row>
        <row r="47">
          <cell r="A47" t="str">
            <v>AUD</v>
          </cell>
          <cell r="B47">
            <v>8456</v>
          </cell>
          <cell r="C47">
            <v>100.5</v>
          </cell>
          <cell r="D47">
            <v>9.3694706775028038</v>
          </cell>
          <cell r="E47">
            <v>30.888403159085748</v>
          </cell>
          <cell r="F47" t="str">
            <v xml:space="preserve"> /////////</v>
          </cell>
          <cell r="G47">
            <v>0</v>
          </cell>
          <cell r="H47">
            <v>0</v>
          </cell>
          <cell r="I47">
            <v>140.75787383658854</v>
          </cell>
        </row>
        <row r="48">
          <cell r="A48" t="str">
            <v>OPM</v>
          </cell>
          <cell r="B48">
            <v>0</v>
          </cell>
          <cell r="C48">
            <v>0</v>
          </cell>
          <cell r="D48">
            <v>0</v>
          </cell>
          <cell r="E48">
            <v>0</v>
          </cell>
          <cell r="F48" t="str">
            <v xml:space="preserve"> /////////</v>
          </cell>
          <cell r="G48">
            <v>0</v>
          </cell>
          <cell r="H48">
            <v>0</v>
          </cell>
          <cell r="I48">
            <v>0</v>
          </cell>
        </row>
        <row r="49">
          <cell r="A49" t="str">
            <v>RDL</v>
          </cell>
          <cell r="B49">
            <v>0</v>
          </cell>
          <cell r="C49">
            <v>0</v>
          </cell>
          <cell r="D49">
            <v>0</v>
          </cell>
          <cell r="E49">
            <v>0</v>
          </cell>
          <cell r="F49" t="str">
            <v xml:space="preserve"> /////////</v>
          </cell>
          <cell r="G49">
            <v>0</v>
          </cell>
          <cell r="H49">
            <v>0</v>
          </cell>
          <cell r="I49">
            <v>0</v>
          </cell>
        </row>
        <row r="50">
          <cell r="A50" t="str">
            <v>OA</v>
          </cell>
          <cell r="B50">
            <v>0</v>
          </cell>
          <cell r="C50">
            <v>0</v>
          </cell>
          <cell r="D50">
            <v>0</v>
          </cell>
          <cell r="E50">
            <v>0</v>
          </cell>
          <cell r="F50" t="str">
            <v xml:space="preserve"> /////////</v>
          </cell>
          <cell r="G50">
            <v>0</v>
          </cell>
          <cell r="H50">
            <v>0</v>
          </cell>
          <cell r="I50">
            <v>0</v>
          </cell>
        </row>
        <row r="51">
          <cell r="A51" t="str">
            <v>LEU</v>
          </cell>
          <cell r="B51">
            <v>0</v>
          </cell>
          <cell r="C51">
            <v>0</v>
          </cell>
          <cell r="D51">
            <v>0</v>
          </cell>
          <cell r="E51">
            <v>0</v>
          </cell>
          <cell r="F51" t="str">
            <v xml:space="preserve"> /////////</v>
          </cell>
          <cell r="G51">
            <v>0</v>
          </cell>
          <cell r="H51">
            <v>0</v>
          </cell>
          <cell r="I51">
            <v>0</v>
          </cell>
        </row>
        <row r="52">
          <cell r="A52" t="str">
            <v>HYP</v>
          </cell>
          <cell r="B52">
            <v>0</v>
          </cell>
          <cell r="C52">
            <v>0</v>
          </cell>
          <cell r="D52">
            <v>0</v>
          </cell>
          <cell r="E52">
            <v>0</v>
          </cell>
          <cell r="F52" t="str">
            <v xml:space="preserve"> /////////</v>
          </cell>
          <cell r="G52">
            <v>0</v>
          </cell>
          <cell r="H52">
            <v>0</v>
          </cell>
          <cell r="I52">
            <v>0</v>
          </cell>
        </row>
        <row r="53">
          <cell r="A53" t="str">
            <v>FSE</v>
          </cell>
          <cell r="B53">
            <v>0</v>
          </cell>
          <cell r="C53">
            <v>0</v>
          </cell>
          <cell r="D53">
            <v>0</v>
          </cell>
          <cell r="E53">
            <v>0</v>
          </cell>
          <cell r="F53" t="str">
            <v xml:space="preserve"> /////////</v>
          </cell>
          <cell r="G53">
            <v>0</v>
          </cell>
          <cell r="H53">
            <v>0</v>
          </cell>
          <cell r="I53">
            <v>0</v>
          </cell>
        </row>
        <row r="54">
          <cell r="A54" t="str">
            <v>MRI</v>
          </cell>
          <cell r="B54">
            <v>28018</v>
          </cell>
          <cell r="C54">
            <v>804.04016999999999</v>
          </cell>
          <cell r="D54">
            <v>76.118059183590418</v>
          </cell>
          <cell r="E54">
            <v>256.34139181605684</v>
          </cell>
          <cell r="F54" t="str">
            <v xml:space="preserve"> /////////</v>
          </cell>
          <cell r="G54">
            <v>0</v>
          </cell>
          <cell r="H54">
            <v>0</v>
          </cell>
          <cell r="I54">
            <v>1136.4996209996473</v>
          </cell>
        </row>
        <row r="55">
          <cell r="A55" t="str">
            <v>LIT</v>
          </cell>
          <cell r="B55">
            <v>21</v>
          </cell>
          <cell r="C55">
            <v>24</v>
          </cell>
          <cell r="D55">
            <v>2.2374855349260425</v>
          </cell>
          <cell r="E55">
            <v>10.124963146745504</v>
          </cell>
          <cell r="F55" t="str">
            <v xml:space="preserve"> /////////</v>
          </cell>
          <cell r="G55">
            <v>0</v>
          </cell>
          <cell r="H55">
            <v>0</v>
          </cell>
          <cell r="I55">
            <v>36.362448681671552</v>
          </cell>
        </row>
        <row r="56">
          <cell r="A56" t="str">
            <v>RHB</v>
          </cell>
          <cell r="B56">
            <v>0</v>
          </cell>
          <cell r="C56">
            <v>0</v>
          </cell>
          <cell r="D56">
            <v>0</v>
          </cell>
          <cell r="E56">
            <v>0</v>
          </cell>
          <cell r="F56" t="str">
            <v xml:space="preserve"> /////////</v>
          </cell>
          <cell r="G56">
            <v>0</v>
          </cell>
          <cell r="H56">
            <v>0</v>
          </cell>
          <cell r="I56">
            <v>0</v>
          </cell>
        </row>
        <row r="57">
          <cell r="A57" t="str">
            <v>OBV</v>
          </cell>
          <cell r="B57">
            <v>45365</v>
          </cell>
          <cell r="C57">
            <v>1330.7675948963388</v>
          </cell>
          <cell r="D57">
            <v>382.08891531883728</v>
          </cell>
          <cell r="E57">
            <v>698.31216084028574</v>
          </cell>
          <cell r="F57" t="str">
            <v xml:space="preserve"> /////////</v>
          </cell>
          <cell r="G57">
            <v>0</v>
          </cell>
          <cell r="H57">
            <v>0</v>
          </cell>
          <cell r="I57">
            <v>2411.1686710554618</v>
          </cell>
        </row>
        <row r="58">
          <cell r="A58" t="str">
            <v>AMR</v>
          </cell>
          <cell r="B58">
            <v>0</v>
          </cell>
          <cell r="C58">
            <v>161.36261906925449</v>
          </cell>
          <cell r="D58">
            <v>15.016567840301065</v>
          </cell>
          <cell r="E58">
            <v>5.9513827699848854</v>
          </cell>
          <cell r="F58" t="str">
            <v xml:space="preserve"> /////////</v>
          </cell>
          <cell r="G58" t="str">
            <v>////////////</v>
          </cell>
          <cell r="H58" t="str">
            <v>////////////</v>
          </cell>
          <cell r="I58">
            <v>182.33056967954045</v>
          </cell>
        </row>
        <row r="59">
          <cell r="A59" t="str">
            <v>TMT</v>
          </cell>
          <cell r="B59">
            <v>0</v>
          </cell>
          <cell r="C59">
            <v>0</v>
          </cell>
          <cell r="D59">
            <v>0</v>
          </cell>
          <cell r="E59">
            <v>0</v>
          </cell>
          <cell r="F59" t="str">
            <v xml:space="preserve"> /////////</v>
          </cell>
          <cell r="G59">
            <v>0</v>
          </cell>
          <cell r="H59">
            <v>0</v>
          </cell>
          <cell r="I59">
            <v>0</v>
          </cell>
        </row>
        <row r="60">
          <cell r="A60" t="str">
            <v>OCL</v>
          </cell>
          <cell r="B60">
            <v>0</v>
          </cell>
          <cell r="C60">
            <v>0</v>
          </cell>
          <cell r="D60">
            <v>0</v>
          </cell>
          <cell r="E60">
            <v>0</v>
          </cell>
          <cell r="F60" t="str">
            <v xml:space="preserve"> /////////</v>
          </cell>
          <cell r="G60">
            <v>0</v>
          </cell>
          <cell r="H60">
            <v>0</v>
          </cell>
          <cell r="I60">
            <v>0</v>
          </cell>
        </row>
        <row r="61">
          <cell r="A61" t="str">
            <v>TNA</v>
          </cell>
          <cell r="B61">
            <v>0</v>
          </cell>
          <cell r="C61">
            <v>5.7203311336568143</v>
          </cell>
          <cell r="D61">
            <v>0.52991823088424495</v>
          </cell>
          <cell r="E61">
            <v>0.21089578100455236</v>
          </cell>
          <cell r="F61" t="str">
            <v xml:space="preserve"> /////////</v>
          </cell>
          <cell r="G61">
            <v>0</v>
          </cell>
          <cell r="H61">
            <v>0</v>
          </cell>
          <cell r="I61">
            <v>6.4611451455456113</v>
          </cell>
        </row>
        <row r="62">
          <cell r="A62" t="str">
            <v>ADM</v>
          </cell>
          <cell r="B62">
            <v>15176</v>
          </cell>
          <cell r="C62" t="str">
            <v>////////////</v>
          </cell>
          <cell r="D62">
            <v>548.58057793559772</v>
          </cell>
          <cell r="E62">
            <v>670.77846475290551</v>
          </cell>
          <cell r="F62" t="str">
            <v xml:space="preserve"> /////////</v>
          </cell>
          <cell r="G62" t="str">
            <v>////////////</v>
          </cell>
          <cell r="H62" t="str">
            <v>////////////</v>
          </cell>
          <cell r="I62">
            <v>1219.3590426885032</v>
          </cell>
        </row>
        <row r="63">
          <cell r="A63" t="str">
            <v>MSS</v>
          </cell>
          <cell r="B63">
            <v>24887.001029999999</v>
          </cell>
          <cell r="C63">
            <v>39859.699999999997</v>
          </cell>
          <cell r="D63">
            <v>2664.2860083889332</v>
          </cell>
          <cell r="E63">
            <v>876.7513168352923</v>
          </cell>
          <cell r="F63" t="str">
            <v xml:space="preserve"> /////////</v>
          </cell>
          <cell r="G63" t="str">
            <v>////////////</v>
          </cell>
          <cell r="H63" t="str">
            <v>////////////</v>
          </cell>
          <cell r="I63">
            <v>43400.737325224218</v>
          </cell>
        </row>
        <row r="64">
          <cell r="A64" t="str">
            <v>CDS</v>
          </cell>
          <cell r="B64">
            <v>24887.001029999999</v>
          </cell>
          <cell r="C64">
            <v>19398.3</v>
          </cell>
          <cell r="D64">
            <v>5010.36520494045</v>
          </cell>
          <cell r="E64">
            <v>1924.1198952707871</v>
          </cell>
          <cell r="F64" t="str">
            <v xml:space="preserve"> /////////</v>
          </cell>
          <cell r="G64" t="str">
            <v>////////////</v>
          </cell>
          <cell r="H64" t="str">
            <v>////////////</v>
          </cell>
          <cell r="I64">
            <v>26332.785100211237</v>
          </cell>
        </row>
        <row r="65">
          <cell r="F65" t="str">
            <v xml:space="preserve"> /////////</v>
          </cell>
        </row>
        <row r="67">
          <cell r="B67">
            <v>21375527.002060004</v>
          </cell>
          <cell r="C67">
            <v>182282.29254629445</v>
          </cell>
          <cell r="D67">
            <v>31793.825480023865</v>
          </cell>
          <cell r="E67">
            <v>45165.780098428666</v>
          </cell>
          <cell r="G67">
            <v>864.17752951154887</v>
          </cell>
          <cell r="H67">
            <v>0</v>
          </cell>
          <cell r="I67">
            <v>260106.07565425851</v>
          </cell>
        </row>
      </sheetData>
      <sheetData sheetId="3">
        <row r="4">
          <cell r="B4">
            <v>1</v>
          </cell>
          <cell r="C4">
            <v>2</v>
          </cell>
          <cell r="D4">
            <v>3</v>
          </cell>
          <cell r="E4">
            <v>4</v>
          </cell>
          <cell r="F4">
            <v>5</v>
          </cell>
          <cell r="G4">
            <v>6</v>
          </cell>
          <cell r="H4">
            <v>7</v>
          </cell>
          <cell r="I4">
            <v>8</v>
          </cell>
          <cell r="J4">
            <v>9</v>
          </cell>
          <cell r="K4">
            <v>10</v>
          </cell>
          <cell r="L4">
            <v>11</v>
          </cell>
          <cell r="M4">
            <v>12</v>
          </cell>
          <cell r="N4">
            <v>13</v>
          </cell>
          <cell r="O4">
            <v>14</v>
          </cell>
          <cell r="P4">
            <v>15</v>
          </cell>
          <cell r="Q4">
            <v>16</v>
          </cell>
          <cell r="R4">
            <v>17</v>
          </cell>
          <cell r="S4">
            <v>18</v>
          </cell>
          <cell r="T4">
            <v>19</v>
          </cell>
          <cell r="U4">
            <v>20</v>
          </cell>
          <cell r="V4">
            <v>21</v>
          </cell>
          <cell r="W4">
            <v>22</v>
          </cell>
          <cell r="X4">
            <v>23</v>
          </cell>
          <cell r="Y4">
            <v>24</v>
          </cell>
          <cell r="Z4">
            <v>25</v>
          </cell>
          <cell r="AA4">
            <v>26</v>
          </cell>
          <cell r="AB4">
            <v>27</v>
          </cell>
          <cell r="AC4">
            <v>28</v>
          </cell>
          <cell r="AD4">
            <v>29</v>
          </cell>
          <cell r="AE4">
            <v>30</v>
          </cell>
          <cell r="AF4">
            <v>31</v>
          </cell>
          <cell r="AG4">
            <v>32</v>
          </cell>
          <cell r="AH4">
            <v>33</v>
          </cell>
          <cell r="AI4">
            <v>34</v>
          </cell>
          <cell r="AJ4">
            <v>35</v>
          </cell>
          <cell r="AK4">
            <v>36</v>
          </cell>
          <cell r="AL4">
            <v>37</v>
          </cell>
          <cell r="AM4">
            <v>38</v>
          </cell>
          <cell r="AN4">
            <v>39</v>
          </cell>
          <cell r="AO4">
            <v>40</v>
          </cell>
          <cell r="AP4">
            <v>41</v>
          </cell>
          <cell r="AQ4">
            <v>42</v>
          </cell>
          <cell r="AR4">
            <v>43</v>
          </cell>
          <cell r="AS4">
            <v>44</v>
          </cell>
          <cell r="AT4">
            <v>45</v>
          </cell>
          <cell r="AU4">
            <v>46</v>
          </cell>
          <cell r="AV4">
            <v>47</v>
          </cell>
          <cell r="AW4">
            <v>48</v>
          </cell>
          <cell r="AX4">
            <v>49</v>
          </cell>
          <cell r="AY4">
            <v>50</v>
          </cell>
          <cell r="AZ4">
            <v>51</v>
          </cell>
          <cell r="BA4">
            <v>52</v>
          </cell>
          <cell r="BB4">
            <v>53</v>
          </cell>
          <cell r="BC4">
            <v>54</v>
          </cell>
          <cell r="BD4">
            <v>55</v>
          </cell>
          <cell r="BE4">
            <v>56</v>
          </cell>
          <cell r="BF4">
            <v>57</v>
          </cell>
          <cell r="BG4">
            <v>58</v>
          </cell>
          <cell r="BH4">
            <v>59</v>
          </cell>
          <cell r="BI4">
            <v>60</v>
          </cell>
          <cell r="BJ4">
            <v>61</v>
          </cell>
          <cell r="BK4">
            <v>62</v>
          </cell>
          <cell r="BL4">
            <v>63</v>
          </cell>
          <cell r="BM4">
            <v>64</v>
          </cell>
          <cell r="BN4">
            <v>65</v>
          </cell>
          <cell r="BO4">
            <v>66</v>
          </cell>
          <cell r="BP4">
            <v>67</v>
          </cell>
          <cell r="BQ4">
            <v>68</v>
          </cell>
          <cell r="BR4">
            <v>69</v>
          </cell>
          <cell r="BS4">
            <v>70</v>
          </cell>
          <cell r="BT4">
            <v>71</v>
          </cell>
          <cell r="BU4">
            <v>72</v>
          </cell>
          <cell r="BV4">
            <v>73</v>
          </cell>
          <cell r="BW4">
            <v>74</v>
          </cell>
          <cell r="BX4">
            <v>75</v>
          </cell>
          <cell r="BY4">
            <v>76</v>
          </cell>
          <cell r="BZ4">
            <v>77</v>
          </cell>
          <cell r="CA4">
            <v>78</v>
          </cell>
          <cell r="CB4">
            <v>79</v>
          </cell>
          <cell r="CC4">
            <v>80</v>
          </cell>
          <cell r="CD4">
            <v>81</v>
          </cell>
          <cell r="CE4">
            <v>82</v>
          </cell>
          <cell r="CF4">
            <v>83</v>
          </cell>
          <cell r="CG4">
            <v>84</v>
          </cell>
          <cell r="CH4">
            <v>85</v>
          </cell>
          <cell r="CI4">
            <v>86</v>
          </cell>
          <cell r="CJ4">
            <v>87</v>
          </cell>
          <cell r="CK4">
            <v>88</v>
          </cell>
          <cell r="CL4">
            <v>89</v>
          </cell>
          <cell r="CM4">
            <v>90</v>
          </cell>
          <cell r="CN4">
            <v>91</v>
          </cell>
          <cell r="CO4">
            <v>92</v>
          </cell>
          <cell r="CP4">
            <v>93</v>
          </cell>
          <cell r="CQ4">
            <v>94</v>
          </cell>
          <cell r="CR4">
            <v>95</v>
          </cell>
          <cell r="CS4">
            <v>96</v>
          </cell>
          <cell r="CT4">
            <v>97</v>
          </cell>
          <cell r="CU4">
            <v>98</v>
          </cell>
          <cell r="CV4">
            <v>99</v>
          </cell>
        </row>
        <row r="5">
          <cell r="AD5" t="str">
            <v>HSCRC TRIAL BALANCE</v>
          </cell>
          <cell r="BB5" t="str">
            <v>HSCRC TRIAL BALANCE</v>
          </cell>
          <cell r="BR5" t="str">
            <v>HSCRC TRIAL BALANCE</v>
          </cell>
          <cell r="CH5" t="str">
            <v>OVERHEAD ALLOCATION</v>
          </cell>
          <cell r="CP5" t="str">
            <v>FINAL HSCRC TRIAL BALANCE FOR</v>
          </cell>
        </row>
        <row r="6">
          <cell r="F6" t="str">
            <v>HSCRC</v>
          </cell>
          <cell r="H6" t="str">
            <v>RECLASSED TRIAL BALANCE</v>
          </cell>
          <cell r="P6" t="str">
            <v>HSCRC TRIAL BALANCE</v>
          </cell>
          <cell r="V6" t="str">
            <v>PHYSICIAN PART B OVERHEAD ALLOCATION</v>
          </cell>
          <cell r="AD6" t="str">
            <v>ADJUSTED FOR PART B ALLOCATIONS</v>
          </cell>
          <cell r="AL6" t="str">
            <v>DONATED SERVICES</v>
          </cell>
          <cell r="AT6" t="str">
            <v>DATA PROCESSING ALLOCATION</v>
          </cell>
          <cell r="BB6" t="str">
            <v>ADJUSTED FOR DONATED SERVICES &amp; D/P</v>
          </cell>
          <cell r="BJ6" t="str">
            <v>PHYSICIAN COST ALLOCATION</v>
          </cell>
          <cell r="BR6" t="str">
            <v>ADJUSTED FOR PHYSICIAN COST ALLOCATION</v>
          </cell>
          <cell r="BZ6" t="str">
            <v>CAFETERIA, PARKING ALLOCATION</v>
          </cell>
          <cell r="CH6" t="str">
            <v>AUXILIARY ENTERPRISES, OIP'S and URs</v>
          </cell>
          <cell r="CP6" t="str">
            <v>J &amp; M SCHEDULE USE</v>
          </cell>
        </row>
        <row r="7">
          <cell r="F7" t="str">
            <v>SCHD</v>
          </cell>
          <cell r="BZ7" t="str">
            <v>Yes, Salary &amp; Other are Reversed Here</v>
          </cell>
        </row>
        <row r="8">
          <cell r="B8" t="str">
            <v>CODE</v>
          </cell>
          <cell r="D8" t="str">
            <v>DESCRIPTION</v>
          </cell>
          <cell r="F8" t="str">
            <v>#</v>
          </cell>
          <cell r="H8" t="str">
            <v>SALARIES</v>
          </cell>
          <cell r="J8" t="str">
            <v>OTHER</v>
          </cell>
          <cell r="L8" t="str">
            <v>TOTAL</v>
          </cell>
          <cell r="N8" t="str">
            <v>FTES</v>
          </cell>
          <cell r="P8" t="str">
            <v>SALARIES</v>
          </cell>
          <cell r="R8" t="str">
            <v>OTHER</v>
          </cell>
          <cell r="T8" t="str">
            <v>TOTAL</v>
          </cell>
          <cell r="V8" t="str">
            <v>SALARIES</v>
          </cell>
          <cell r="X8" t="str">
            <v>OTHER</v>
          </cell>
          <cell r="Z8" t="str">
            <v>TOTAL</v>
          </cell>
          <cell r="AB8" t="str">
            <v>FTES</v>
          </cell>
          <cell r="AD8" t="str">
            <v>SALARIES</v>
          </cell>
          <cell r="AF8" t="str">
            <v>OTHER</v>
          </cell>
          <cell r="AH8" t="str">
            <v>TOTAL</v>
          </cell>
          <cell r="AJ8" t="str">
            <v>FTES</v>
          </cell>
          <cell r="AL8" t="str">
            <v>SALARIES</v>
          </cell>
          <cell r="AN8" t="str">
            <v>OTHER</v>
          </cell>
          <cell r="AP8" t="str">
            <v>TOTAL</v>
          </cell>
          <cell r="AR8" t="str">
            <v>FTES</v>
          </cell>
          <cell r="AT8" t="str">
            <v>SALARIES</v>
          </cell>
          <cell r="AV8" t="str">
            <v>OTHER</v>
          </cell>
          <cell r="AX8" t="str">
            <v>TOTAL</v>
          </cell>
          <cell r="AZ8" t="str">
            <v>FTES</v>
          </cell>
          <cell r="BB8" t="str">
            <v>SALARIES</v>
          </cell>
          <cell r="BD8" t="str">
            <v>OTHER</v>
          </cell>
          <cell r="BF8" t="str">
            <v>TOTAL</v>
          </cell>
          <cell r="BH8" t="str">
            <v>FTES</v>
          </cell>
          <cell r="BJ8" t="str">
            <v>SALARIES</v>
          </cell>
          <cell r="BL8" t="str">
            <v>OTHER</v>
          </cell>
          <cell r="BN8" t="str">
            <v>TOTAL</v>
          </cell>
          <cell r="BP8" t="str">
            <v>FTES</v>
          </cell>
          <cell r="BR8" t="str">
            <v>SALARIES</v>
          </cell>
          <cell r="BT8" t="str">
            <v>OTHER</v>
          </cell>
          <cell r="BV8" t="str">
            <v>TOTAL</v>
          </cell>
          <cell r="BX8" t="str">
            <v>FTES</v>
          </cell>
          <cell r="BZ8" t="str">
            <v>OTHER</v>
          </cell>
          <cell r="CB8" t="str">
            <v>SALARIES</v>
          </cell>
          <cell r="CD8" t="str">
            <v>TOTAL</v>
          </cell>
          <cell r="CF8" t="str">
            <v>FTES</v>
          </cell>
          <cell r="CH8" t="str">
            <v>SALARIES</v>
          </cell>
          <cell r="CJ8" t="str">
            <v>OTHER</v>
          </cell>
          <cell r="CL8" t="str">
            <v>TOTAL</v>
          </cell>
          <cell r="CN8" t="str">
            <v>FTES</v>
          </cell>
          <cell r="CP8" t="str">
            <v>SALARIES</v>
          </cell>
          <cell r="CR8" t="str">
            <v>OTHER</v>
          </cell>
          <cell r="CT8" t="str">
            <v>TOTAL</v>
          </cell>
          <cell r="CV8" t="str">
            <v>FTES</v>
          </cell>
        </row>
        <row r="9">
          <cell r="B9" t="str">
            <v>DTY</v>
          </cell>
          <cell r="D9" t="str">
            <v>DIETARY</v>
          </cell>
          <cell r="F9" t="str">
            <v>C1</v>
          </cell>
          <cell r="H9">
            <v>0</v>
          </cell>
          <cell r="J9">
            <v>3300518.06</v>
          </cell>
          <cell r="L9">
            <v>3300518.06</v>
          </cell>
          <cell r="N9">
            <v>0</v>
          </cell>
          <cell r="O9" t="str">
            <v>DTY</v>
          </cell>
          <cell r="P9">
            <v>0</v>
          </cell>
          <cell r="R9">
            <v>3300.5</v>
          </cell>
          <cell r="T9">
            <v>3300.5</v>
          </cell>
          <cell r="X9">
            <v>0</v>
          </cell>
          <cell r="Z9">
            <v>0</v>
          </cell>
          <cell r="AD9">
            <v>0</v>
          </cell>
          <cell r="AF9">
            <v>3300.5</v>
          </cell>
          <cell r="AH9">
            <v>3300.5</v>
          </cell>
          <cell r="AJ9">
            <v>0</v>
          </cell>
          <cell r="AL9">
            <v>0</v>
          </cell>
          <cell r="AN9">
            <v>0</v>
          </cell>
          <cell r="AP9">
            <v>0</v>
          </cell>
          <cell r="AR9">
            <v>0</v>
          </cell>
          <cell r="AT9">
            <v>0.6880899867666519</v>
          </cell>
          <cell r="AV9">
            <v>107.99744155271283</v>
          </cell>
          <cell r="AX9">
            <v>108.68553153947948</v>
          </cell>
          <cell r="AZ9">
            <v>2.0257732177394725E-3</v>
          </cell>
          <cell r="BB9">
            <v>0.6880899867666519</v>
          </cell>
          <cell r="BD9">
            <v>3408.4974415527126</v>
          </cell>
          <cell r="BF9">
            <v>3409.1855315394791</v>
          </cell>
          <cell r="BH9">
            <v>2.0257732177394725E-3</v>
          </cell>
          <cell r="BN9">
            <v>0</v>
          </cell>
          <cell r="BR9">
            <v>0.6880899867666519</v>
          </cell>
          <cell r="BT9">
            <v>3408.4974415527126</v>
          </cell>
          <cell r="BV9">
            <v>3409.1855315394791</v>
          </cell>
          <cell r="BX9">
            <v>2.0257732177394725E-3</v>
          </cell>
          <cell r="CB9">
            <v>6.8000000000000005E-4</v>
          </cell>
          <cell r="CD9">
            <v>6.8000000000000005E-4</v>
          </cell>
          <cell r="CG9" t="str">
            <v>DTY</v>
          </cell>
          <cell r="CH9">
            <v>0</v>
          </cell>
          <cell r="CJ9">
            <v>0</v>
          </cell>
          <cell r="CL9">
            <v>0</v>
          </cell>
          <cell r="CN9">
            <v>0</v>
          </cell>
          <cell r="CO9" t="str">
            <v>DTY</v>
          </cell>
          <cell r="CP9">
            <v>0.68876998676665191</v>
          </cell>
          <cell r="CR9">
            <v>3408.4974415527126</v>
          </cell>
          <cell r="CT9">
            <v>3409.1862115394792</v>
          </cell>
          <cell r="CV9">
            <v>2.0257732177394725E-3</v>
          </cell>
        </row>
        <row r="10">
          <cell r="B10" t="str">
            <v>LL</v>
          </cell>
          <cell r="D10" t="str">
            <v>LAUNDRY &amp; LINEN</v>
          </cell>
          <cell r="F10" t="str">
            <v>C2</v>
          </cell>
          <cell r="H10">
            <v>99751.093438422497</v>
          </cell>
          <cell r="J10">
            <v>1000541.8800000001</v>
          </cell>
          <cell r="L10">
            <v>1100292.9734384227</v>
          </cell>
          <cell r="N10">
            <v>2.5787259615384617</v>
          </cell>
          <cell r="O10" t="str">
            <v>LL</v>
          </cell>
          <cell r="P10">
            <v>99.8</v>
          </cell>
          <cell r="R10">
            <v>1000.5</v>
          </cell>
          <cell r="T10">
            <v>1100.3</v>
          </cell>
          <cell r="X10">
            <v>0</v>
          </cell>
          <cell r="Z10">
            <v>0</v>
          </cell>
          <cell r="AD10">
            <v>99.8</v>
          </cell>
          <cell r="AF10">
            <v>1000.5</v>
          </cell>
          <cell r="AH10">
            <v>1100.3</v>
          </cell>
          <cell r="AJ10">
            <v>2.5787259615384617</v>
          </cell>
          <cell r="AL10">
            <v>0</v>
          </cell>
          <cell r="AN10">
            <v>0</v>
          </cell>
          <cell r="AP10">
            <v>0</v>
          </cell>
          <cell r="AR10">
            <v>0</v>
          </cell>
          <cell r="AT10">
            <v>3.6215262461402734E-2</v>
          </cell>
          <cell r="AV10">
            <v>5.6840758711954118</v>
          </cell>
          <cell r="AX10">
            <v>5.720291133656815</v>
          </cell>
          <cell r="AZ10">
            <v>1.0661964303891961E-4</v>
          </cell>
          <cell r="BB10">
            <v>99.836215262461394</v>
          </cell>
          <cell r="BD10">
            <v>1006.1840758711954</v>
          </cell>
          <cell r="BF10">
            <v>1106.0202911336569</v>
          </cell>
          <cell r="BH10">
            <v>2.5788325811815005</v>
          </cell>
          <cell r="BN10">
            <v>0</v>
          </cell>
          <cell r="BR10">
            <v>99.836215262461394</v>
          </cell>
          <cell r="BT10">
            <v>1006.1840758711954</v>
          </cell>
          <cell r="BV10">
            <v>1106.0202911336569</v>
          </cell>
          <cell r="BX10">
            <v>2.5788325811815005</v>
          </cell>
          <cell r="CB10">
            <v>0.86241000000000001</v>
          </cell>
          <cell r="CD10">
            <v>0.86241000000000001</v>
          </cell>
          <cell r="CG10" t="str">
            <v>LL</v>
          </cell>
          <cell r="CH10">
            <v>-0.7465321409117267</v>
          </cell>
          <cell r="CJ10">
            <v>-7.4880048528925318</v>
          </cell>
          <cell r="CL10">
            <v>-8.2345369938042587</v>
          </cell>
          <cell r="CN10">
            <v>-1.9299054742496095E-2</v>
          </cell>
          <cell r="CO10" t="str">
            <v>LL</v>
          </cell>
          <cell r="CP10">
            <v>99.952093121549666</v>
          </cell>
          <cell r="CR10">
            <v>998.69607101830286</v>
          </cell>
          <cell r="CT10">
            <v>1098.6481641398525</v>
          </cell>
          <cell r="CV10">
            <v>2.5595335264390044</v>
          </cell>
        </row>
        <row r="11">
          <cell r="B11" t="str">
            <v>SSS</v>
          </cell>
          <cell r="D11" t="str">
            <v>SOCIAL SERVICES</v>
          </cell>
          <cell r="F11" t="str">
            <v>C3</v>
          </cell>
          <cell r="H11">
            <v>505192.30529228889</v>
          </cell>
          <cell r="J11">
            <v>1599.28</v>
          </cell>
          <cell r="L11">
            <v>506791.58529228892</v>
          </cell>
          <cell r="N11">
            <v>5.1590144230769228</v>
          </cell>
          <cell r="O11" t="str">
            <v>SSS</v>
          </cell>
          <cell r="P11">
            <v>505.2</v>
          </cell>
          <cell r="R11">
            <v>1.6</v>
          </cell>
          <cell r="T11">
            <v>506.8</v>
          </cell>
          <cell r="X11">
            <v>0</v>
          </cell>
          <cell r="Z11">
            <v>0</v>
          </cell>
          <cell r="AD11">
            <v>505.2</v>
          </cell>
          <cell r="AF11">
            <v>1.6</v>
          </cell>
          <cell r="AH11">
            <v>506.8</v>
          </cell>
          <cell r="AJ11">
            <v>5.1590144230769228</v>
          </cell>
          <cell r="AL11">
            <v>0</v>
          </cell>
          <cell r="AN11">
            <v>0</v>
          </cell>
          <cell r="AP11">
            <v>0</v>
          </cell>
          <cell r="AR11">
            <v>0</v>
          </cell>
          <cell r="AT11">
            <v>0.25350683722981909</v>
          </cell>
          <cell r="AV11">
            <v>39.788531098367883</v>
          </cell>
          <cell r="AX11">
            <v>40.042037935597705</v>
          </cell>
          <cell r="AZ11">
            <v>7.4633750127243732E-4</v>
          </cell>
          <cell r="BB11">
            <v>505.45350683722978</v>
          </cell>
          <cell r="BD11">
            <v>41.388531098367885</v>
          </cell>
          <cell r="BF11">
            <v>546.84203793559766</v>
          </cell>
          <cell r="BH11">
            <v>5.1597607605781954</v>
          </cell>
          <cell r="BN11">
            <v>0</v>
          </cell>
          <cell r="BR11">
            <v>505.45350683722978</v>
          </cell>
          <cell r="BT11">
            <v>41.388531098367885</v>
          </cell>
          <cell r="BV11">
            <v>546.84203793559766</v>
          </cell>
          <cell r="BX11">
            <v>5.1597607605781954</v>
          </cell>
          <cell r="CB11">
            <v>1.73854</v>
          </cell>
          <cell r="CD11">
            <v>1.73854</v>
          </cell>
          <cell r="CG11" t="str">
            <v>SSS</v>
          </cell>
          <cell r="CH11">
            <v>0</v>
          </cell>
          <cell r="CJ11">
            <v>0</v>
          </cell>
          <cell r="CL11">
            <v>0</v>
          </cell>
          <cell r="CN11">
            <v>0</v>
          </cell>
          <cell r="CO11" t="str">
            <v>SSS</v>
          </cell>
          <cell r="CP11">
            <v>507.19204683722978</v>
          </cell>
          <cell r="CR11">
            <v>41.388531098367885</v>
          </cell>
          <cell r="CT11">
            <v>548.58057793559772</v>
          </cell>
          <cell r="CV11">
            <v>5.1597607605781954</v>
          </cell>
        </row>
        <row r="12">
          <cell r="B12" t="str">
            <v>PUR</v>
          </cell>
          <cell r="D12" t="str">
            <v>PURCHASING &amp; STORES</v>
          </cell>
          <cell r="F12" t="str">
            <v>C4</v>
          </cell>
          <cell r="H12">
            <v>1196840.4079845827</v>
          </cell>
          <cell r="J12">
            <v>1283411.8700000001</v>
          </cell>
          <cell r="L12">
            <v>2480252.2779845828</v>
          </cell>
          <cell r="N12">
            <v>20.308173076923076</v>
          </cell>
          <cell r="O12" t="str">
            <v>PUR</v>
          </cell>
          <cell r="P12">
            <v>1196.8</v>
          </cell>
          <cell r="R12">
            <v>1283.4000000000001</v>
          </cell>
          <cell r="T12">
            <v>2480.1999999999998</v>
          </cell>
          <cell r="X12">
            <v>0</v>
          </cell>
          <cell r="Z12">
            <v>0</v>
          </cell>
          <cell r="AD12">
            <v>1196.8</v>
          </cell>
          <cell r="AF12">
            <v>1283.4000000000001</v>
          </cell>
          <cell r="AH12">
            <v>2480.1999999999998</v>
          </cell>
          <cell r="AJ12">
            <v>20.308173076923076</v>
          </cell>
          <cell r="AL12">
            <v>0</v>
          </cell>
          <cell r="AN12">
            <v>0</v>
          </cell>
          <cell r="AP12">
            <v>0</v>
          </cell>
          <cell r="AR12">
            <v>0</v>
          </cell>
          <cell r="AT12">
            <v>0.76052051168945745</v>
          </cell>
          <cell r="AV12">
            <v>119.36559329510366</v>
          </cell>
          <cell r="AX12">
            <v>120.12611380679313</v>
          </cell>
          <cell r="AZ12">
            <v>2.2390125038173119E-3</v>
          </cell>
          <cell r="BB12">
            <v>1197.5605205116894</v>
          </cell>
          <cell r="BD12">
            <v>1402.7655932951038</v>
          </cell>
          <cell r="BF12">
            <v>2600.3261138067933</v>
          </cell>
          <cell r="BH12">
            <v>20.310412089426894</v>
          </cell>
          <cell r="BN12">
            <v>0</v>
          </cell>
          <cell r="BR12">
            <v>1197.5605205116894</v>
          </cell>
          <cell r="BT12">
            <v>1402.7655932951038</v>
          </cell>
          <cell r="BV12">
            <v>2600.3261138067933</v>
          </cell>
          <cell r="BX12">
            <v>20.310412089426894</v>
          </cell>
          <cell r="CB12">
            <v>6.7582500000000003</v>
          </cell>
          <cell r="CD12">
            <v>6.7582500000000003</v>
          </cell>
          <cell r="CG12" t="str">
            <v>PUR</v>
          </cell>
          <cell r="CH12">
            <v>-14.896809208674396</v>
          </cell>
          <cell r="CJ12">
            <v>-15.974345147431144</v>
          </cell>
          <cell r="CL12">
            <v>-30.871154356105542</v>
          </cell>
          <cell r="CN12">
            <v>-0.25277136173326648</v>
          </cell>
          <cell r="CO12" t="str">
            <v>PUR</v>
          </cell>
          <cell r="CP12">
            <v>1189.4219613030152</v>
          </cell>
          <cell r="CR12">
            <v>1386.7912481476726</v>
          </cell>
          <cell r="CT12">
            <v>2576.2132094506878</v>
          </cell>
          <cell r="CV12">
            <v>20.057640727693627</v>
          </cell>
        </row>
        <row r="13">
          <cell r="B13" t="str">
            <v>POP</v>
          </cell>
          <cell r="D13" t="str">
            <v>PLANT OPERATIONS</v>
          </cell>
          <cell r="F13" t="str">
            <v>C5</v>
          </cell>
          <cell r="H13">
            <v>3230654.4345939183</v>
          </cell>
          <cell r="J13">
            <v>8976277.0500000026</v>
          </cell>
          <cell r="L13">
            <v>12206931.48459392</v>
          </cell>
          <cell r="N13">
            <v>46.156129807692309</v>
          </cell>
          <cell r="O13" t="str">
            <v>POP</v>
          </cell>
          <cell r="P13">
            <v>3230.7</v>
          </cell>
          <cell r="R13">
            <v>8976.2999999999993</v>
          </cell>
          <cell r="T13">
            <v>12207</v>
          </cell>
          <cell r="X13">
            <v>0</v>
          </cell>
          <cell r="Z13">
            <v>0</v>
          </cell>
          <cell r="AD13">
            <v>3230.7</v>
          </cell>
          <cell r="AF13">
            <v>8976.2999999999993</v>
          </cell>
          <cell r="AH13">
            <v>12207</v>
          </cell>
          <cell r="AJ13">
            <v>46.156129807692309</v>
          </cell>
          <cell r="AL13">
            <v>0</v>
          </cell>
          <cell r="AN13">
            <v>0</v>
          </cell>
          <cell r="AP13">
            <v>0</v>
          </cell>
          <cell r="AR13">
            <v>0</v>
          </cell>
          <cell r="AT13">
            <v>1.8469783855315394</v>
          </cell>
          <cell r="AV13">
            <v>289.88786943096602</v>
          </cell>
          <cell r="AX13">
            <v>291.73484781649756</v>
          </cell>
          <cell r="AZ13">
            <v>5.4376017949849011E-3</v>
          </cell>
          <cell r="BB13">
            <v>3232.5469783855315</v>
          </cell>
          <cell r="BD13">
            <v>9266.1878694309653</v>
          </cell>
          <cell r="BF13">
            <v>12498.734847816497</v>
          </cell>
          <cell r="BH13">
            <v>46.161567409487297</v>
          </cell>
          <cell r="BN13">
            <v>0</v>
          </cell>
          <cell r="BR13">
            <v>3232.5469783855315</v>
          </cell>
          <cell r="BT13">
            <v>9266.1878694309653</v>
          </cell>
          <cell r="BV13">
            <v>12498.734847816497</v>
          </cell>
          <cell r="BX13">
            <v>46.161567409487297</v>
          </cell>
          <cell r="CB13">
            <v>15.19537</v>
          </cell>
          <cell r="CD13">
            <v>15.19537</v>
          </cell>
          <cell r="CG13" t="str">
            <v>POP</v>
          </cell>
          <cell r="CH13">
            <v>-74.445502264154484</v>
          </cell>
          <cell r="CJ13">
            <v>-206.84460903459296</v>
          </cell>
          <cell r="CL13">
            <v>-281.29011129874743</v>
          </cell>
          <cell r="CN13">
            <v>-1.0635975885595059</v>
          </cell>
          <cell r="CO13" t="str">
            <v>POP</v>
          </cell>
          <cell r="CP13">
            <v>3173.2968461213768</v>
          </cell>
          <cell r="CR13">
            <v>9059.343260396372</v>
          </cell>
          <cell r="CT13">
            <v>12232.640106517749</v>
          </cell>
          <cell r="CV13">
            <v>45.097969820927794</v>
          </cell>
        </row>
        <row r="14">
          <cell r="B14" t="str">
            <v>HKP</v>
          </cell>
          <cell r="D14" t="str">
            <v>HOUSEKEEPING</v>
          </cell>
          <cell r="F14" t="str">
            <v>C6</v>
          </cell>
          <cell r="H14">
            <v>0</v>
          </cell>
          <cell r="J14">
            <v>4307363.5899999989</v>
          </cell>
          <cell r="L14">
            <v>4307363.5899999989</v>
          </cell>
          <cell r="N14">
            <v>0</v>
          </cell>
          <cell r="O14" t="str">
            <v>HKP</v>
          </cell>
          <cell r="P14">
            <v>0</v>
          </cell>
          <cell r="R14">
            <v>4307.3999999999996</v>
          </cell>
          <cell r="T14">
            <v>4307.3999999999996</v>
          </cell>
          <cell r="X14">
            <v>0</v>
          </cell>
          <cell r="Z14">
            <v>0</v>
          </cell>
          <cell r="AD14">
            <v>0</v>
          </cell>
          <cell r="AF14">
            <v>4307.3999999999996</v>
          </cell>
          <cell r="AH14">
            <v>4307.3999999999996</v>
          </cell>
          <cell r="AJ14">
            <v>0</v>
          </cell>
          <cell r="AL14">
            <v>0</v>
          </cell>
          <cell r="AN14">
            <v>0</v>
          </cell>
          <cell r="AP14">
            <v>0</v>
          </cell>
          <cell r="AR14">
            <v>0</v>
          </cell>
          <cell r="AT14">
            <v>0.28972209969122187</v>
          </cell>
          <cell r="AV14">
            <v>45.472606969563294</v>
          </cell>
          <cell r="AX14">
            <v>45.76232906925452</v>
          </cell>
          <cell r="AZ14">
            <v>8.5295714431135692E-4</v>
          </cell>
          <cell r="BB14">
            <v>0.28972209969122187</v>
          </cell>
          <cell r="BD14">
            <v>4352.8726069695631</v>
          </cell>
          <cell r="BF14">
            <v>4353.1623290692542</v>
          </cell>
          <cell r="BH14">
            <v>8.5295714431135692E-4</v>
          </cell>
          <cell r="BN14">
            <v>0</v>
          </cell>
          <cell r="BR14">
            <v>0.28972209969122187</v>
          </cell>
          <cell r="BT14">
            <v>4352.8726069695631</v>
          </cell>
          <cell r="BV14">
            <v>4353.1623290692542</v>
          </cell>
          <cell r="BX14">
            <v>8.5295714431135692E-4</v>
          </cell>
          <cell r="CB14">
            <v>2.9E-4</v>
          </cell>
          <cell r="CD14">
            <v>2.9E-4</v>
          </cell>
          <cell r="CG14" t="str">
            <v>HKP</v>
          </cell>
          <cell r="CH14">
            <v>0</v>
          </cell>
          <cell r="CJ14">
            <v>-99.256621958141366</v>
          </cell>
          <cell r="CL14">
            <v>-99.256621958141366</v>
          </cell>
          <cell r="CN14">
            <v>0</v>
          </cell>
          <cell r="CO14" t="str">
            <v>HKP</v>
          </cell>
          <cell r="CP14">
            <v>0.29001209969122188</v>
          </cell>
          <cell r="CR14">
            <v>4253.6159850114218</v>
          </cell>
          <cell r="CT14">
            <v>4253.9059971111128</v>
          </cell>
          <cell r="CV14">
            <v>8.5295714431135692E-4</v>
          </cell>
        </row>
        <row r="15">
          <cell r="B15" t="str">
            <v>CSS</v>
          </cell>
          <cell r="D15" t="str">
            <v>CENTRAL SVCS &amp; SUPPLY</v>
          </cell>
          <cell r="F15" t="str">
            <v>C7</v>
          </cell>
          <cell r="H15">
            <v>937464.79110080563</v>
          </cell>
          <cell r="J15">
            <v>1632441.2820899966</v>
          </cell>
          <cell r="L15">
            <v>2569906.0731908022</v>
          </cell>
          <cell r="N15">
            <v>18.771569437643187</v>
          </cell>
          <cell r="O15" t="str">
            <v>CSS</v>
          </cell>
          <cell r="P15">
            <v>937.5</v>
          </cell>
          <cell r="R15">
            <v>1632.4</v>
          </cell>
          <cell r="T15">
            <v>2569.9</v>
          </cell>
          <cell r="X15">
            <v>0</v>
          </cell>
          <cell r="Z15">
            <v>0</v>
          </cell>
          <cell r="AD15">
            <v>937.5</v>
          </cell>
          <cell r="AF15">
            <v>1632.4</v>
          </cell>
          <cell r="AH15">
            <v>2569.9</v>
          </cell>
          <cell r="AJ15">
            <v>18.771569437643187</v>
          </cell>
          <cell r="AL15">
            <v>0</v>
          </cell>
          <cell r="AN15">
            <v>0</v>
          </cell>
          <cell r="AP15">
            <v>0</v>
          </cell>
          <cell r="AR15">
            <v>0</v>
          </cell>
          <cell r="AT15">
            <v>0.76052051168945745</v>
          </cell>
          <cell r="AV15">
            <v>119.36559329510366</v>
          </cell>
          <cell r="AX15">
            <v>120.12611380679313</v>
          </cell>
          <cell r="AZ15">
            <v>2.2390125038173119E-3</v>
          </cell>
          <cell r="BB15">
            <v>938.26052051168949</v>
          </cell>
          <cell r="BD15">
            <v>1751.7655932951038</v>
          </cell>
          <cell r="BF15">
            <v>2690.0261138067935</v>
          </cell>
          <cell r="BH15">
            <v>18.773808450147005</v>
          </cell>
          <cell r="BN15">
            <v>0</v>
          </cell>
          <cell r="BR15">
            <v>938.26052051168949</v>
          </cell>
          <cell r="BT15">
            <v>1751.7655932951038</v>
          </cell>
          <cell r="BV15">
            <v>2690.0261138067935</v>
          </cell>
          <cell r="BX15">
            <v>18.773808450147005</v>
          </cell>
          <cell r="CB15">
            <v>6.24695</v>
          </cell>
          <cell r="CD15">
            <v>6.24695</v>
          </cell>
          <cell r="CG15" t="str">
            <v>CSS</v>
          </cell>
          <cell r="CH15">
            <v>-11.668417977627637</v>
          </cell>
          <cell r="CJ15">
            <v>-20.318637440232344</v>
          </cell>
          <cell r="CL15">
            <v>-31.987055417859981</v>
          </cell>
          <cell r="CN15">
            <v>-0.2336455943452371</v>
          </cell>
          <cell r="CO15" t="str">
            <v>CSS</v>
          </cell>
          <cell r="CP15">
            <v>932.83905253406181</v>
          </cell>
          <cell r="CR15">
            <v>1731.4469558548715</v>
          </cell>
          <cell r="CT15">
            <v>2664.2860083889332</v>
          </cell>
          <cell r="CV15">
            <v>18.540162855801768</v>
          </cell>
        </row>
        <row r="16">
          <cell r="B16" t="str">
            <v>PHM</v>
          </cell>
          <cell r="D16" t="str">
            <v>PHARMACY</v>
          </cell>
          <cell r="F16" t="str">
            <v>C8</v>
          </cell>
          <cell r="H16">
            <v>4175589.7868170217</v>
          </cell>
          <cell r="J16">
            <v>696734.90000000154</v>
          </cell>
          <cell r="L16">
            <v>4872324.686817023</v>
          </cell>
          <cell r="N16">
            <v>36.261538461538464</v>
          </cell>
          <cell r="O16" t="str">
            <v>PHM</v>
          </cell>
          <cell r="P16">
            <v>4175.6000000000004</v>
          </cell>
          <cell r="R16">
            <v>696.7</v>
          </cell>
          <cell r="T16">
            <v>4872.3</v>
          </cell>
          <cell r="X16">
            <v>0</v>
          </cell>
          <cell r="Z16">
            <v>0</v>
          </cell>
          <cell r="AD16">
            <v>4175.6000000000004</v>
          </cell>
          <cell r="AF16">
            <v>696.7</v>
          </cell>
          <cell r="AH16">
            <v>4872.3</v>
          </cell>
          <cell r="AJ16">
            <v>36.261538461538464</v>
          </cell>
          <cell r="AL16">
            <v>0</v>
          </cell>
          <cell r="AN16">
            <v>0</v>
          </cell>
          <cell r="AP16">
            <v>0</v>
          </cell>
          <cell r="AR16">
            <v>0</v>
          </cell>
          <cell r="AT16">
            <v>0.79673577415086005</v>
          </cell>
          <cell r="AV16">
            <v>125.04966916629907</v>
          </cell>
          <cell r="AX16">
            <v>125.84640494044993</v>
          </cell>
          <cell r="AZ16">
            <v>2.3456321468562314E-3</v>
          </cell>
          <cell r="BB16">
            <v>4176.3967357741512</v>
          </cell>
          <cell r="BD16">
            <v>821.7496691662991</v>
          </cell>
          <cell r="BF16">
            <v>4998.1464049404503</v>
          </cell>
          <cell r="BH16">
            <v>36.26388409368532</v>
          </cell>
          <cell r="BN16">
            <v>0</v>
          </cell>
          <cell r="BR16">
            <v>4176.3967357741512</v>
          </cell>
          <cell r="BT16">
            <v>821.7496691662991</v>
          </cell>
          <cell r="BV16">
            <v>4998.1464049404503</v>
          </cell>
          <cell r="BX16">
            <v>36.26388409368532</v>
          </cell>
          <cell r="CB16">
            <v>12.2188</v>
          </cell>
          <cell r="CD16">
            <v>12.2188</v>
          </cell>
          <cell r="CG16" t="str">
            <v>PHM</v>
          </cell>
          <cell r="CH16">
            <v>0</v>
          </cell>
          <cell r="CJ16">
            <v>0</v>
          </cell>
          <cell r="CL16">
            <v>0</v>
          </cell>
          <cell r="CN16">
            <v>0</v>
          </cell>
          <cell r="CO16" t="str">
            <v>PHM</v>
          </cell>
          <cell r="CP16">
            <v>4188.6155357741509</v>
          </cell>
          <cell r="CR16">
            <v>821.7496691662991</v>
          </cell>
          <cell r="CT16">
            <v>5010.36520494045</v>
          </cell>
          <cell r="CV16">
            <v>36.26388409368532</v>
          </cell>
        </row>
        <row r="17">
          <cell r="B17" t="str">
            <v>FIS</v>
          </cell>
          <cell r="D17" t="str">
            <v>GENERAL ACCOUNTING</v>
          </cell>
          <cell r="F17" t="str">
            <v>C9</v>
          </cell>
          <cell r="H17">
            <v>626548.3932811406</v>
          </cell>
          <cell r="J17">
            <v>1360973.3</v>
          </cell>
          <cell r="L17">
            <v>1987521.6932811406</v>
          </cell>
          <cell r="N17">
            <v>7.2557692307692312</v>
          </cell>
          <cell r="O17" t="str">
            <v>FIS</v>
          </cell>
          <cell r="P17">
            <v>626.5</v>
          </cell>
          <cell r="R17">
            <v>1361</v>
          </cell>
          <cell r="T17">
            <v>1987.5</v>
          </cell>
          <cell r="X17">
            <v>0</v>
          </cell>
          <cell r="Z17">
            <v>0</v>
          </cell>
          <cell r="AD17">
            <v>626.5</v>
          </cell>
          <cell r="AF17">
            <v>1361</v>
          </cell>
          <cell r="AH17">
            <v>1987.5</v>
          </cell>
          <cell r="AJ17">
            <v>7.2557692307692312</v>
          </cell>
          <cell r="AL17">
            <v>0</v>
          </cell>
          <cell r="AN17">
            <v>0</v>
          </cell>
          <cell r="AP17">
            <v>0</v>
          </cell>
          <cell r="AR17">
            <v>0</v>
          </cell>
          <cell r="AT17">
            <v>1.2675341861490956</v>
          </cell>
          <cell r="AV17">
            <v>198.94265549183942</v>
          </cell>
          <cell r="AX17">
            <v>200.21018967798852</v>
          </cell>
          <cell r="AZ17">
            <v>3.7316875063621866E-3</v>
          </cell>
          <cell r="BB17">
            <v>627.76753418614908</v>
          </cell>
          <cell r="BD17">
            <v>1559.9426554918393</v>
          </cell>
          <cell r="BF17">
            <v>2187.7101896779886</v>
          </cell>
          <cell r="BH17">
            <v>7.2595009182755934</v>
          </cell>
          <cell r="BN17">
            <v>0</v>
          </cell>
          <cell r="BR17">
            <v>627.76753418614908</v>
          </cell>
          <cell r="BT17">
            <v>1559.9426554918393</v>
          </cell>
          <cell r="BV17">
            <v>2187.7101896779886</v>
          </cell>
          <cell r="BX17">
            <v>7.2595009182755934</v>
          </cell>
          <cell r="CB17">
            <v>2.0626500000000001</v>
          </cell>
          <cell r="CD17">
            <v>2.0626500000000001</v>
          </cell>
          <cell r="CG17" t="str">
            <v>FIS</v>
          </cell>
          <cell r="CH17">
            <v>-46.630683412520824</v>
          </cell>
          <cell r="CJ17">
            <v>-101.29004521557681</v>
          </cell>
          <cell r="CL17">
            <v>-147.92072862809763</v>
          </cell>
          <cell r="CN17">
            <v>-1.1378022146232296</v>
          </cell>
          <cell r="CO17" t="str">
            <v>FIS</v>
          </cell>
          <cell r="CP17">
            <v>583.19950077362819</v>
          </cell>
          <cell r="CR17">
            <v>1458.6526102762625</v>
          </cell>
          <cell r="CT17">
            <v>2041.8521110498907</v>
          </cell>
          <cell r="CV17">
            <v>6.1216987036523633</v>
          </cell>
        </row>
        <row r="18">
          <cell r="B18" t="str">
            <v>PAC</v>
          </cell>
          <cell r="D18" t="str">
            <v>PATIENT ACCOUNTS</v>
          </cell>
          <cell r="F18" t="str">
            <v>C10</v>
          </cell>
          <cell r="H18">
            <v>2063997.8161338044</v>
          </cell>
          <cell r="J18">
            <v>1839675.7916799195</v>
          </cell>
          <cell r="L18">
            <v>3903673.6078137239</v>
          </cell>
          <cell r="N18">
            <v>41.834535940821986</v>
          </cell>
          <cell r="O18" t="str">
            <v>PAC</v>
          </cell>
          <cell r="P18">
            <v>2064</v>
          </cell>
          <cell r="R18">
            <v>1839.7</v>
          </cell>
          <cell r="T18">
            <v>3903.7</v>
          </cell>
          <cell r="X18">
            <v>0</v>
          </cell>
          <cell r="Z18">
            <v>0</v>
          </cell>
          <cell r="AD18">
            <v>2064</v>
          </cell>
          <cell r="AF18">
            <v>1839.7</v>
          </cell>
          <cell r="AH18">
            <v>3903.7</v>
          </cell>
          <cell r="AJ18">
            <v>41.834535940821986</v>
          </cell>
          <cell r="AL18">
            <v>0</v>
          </cell>
          <cell r="AN18">
            <v>0</v>
          </cell>
          <cell r="AP18">
            <v>0</v>
          </cell>
          <cell r="AR18">
            <v>0</v>
          </cell>
          <cell r="AT18">
            <v>1.6296868107631231</v>
          </cell>
          <cell r="AV18">
            <v>255.78341420379357</v>
          </cell>
          <cell r="AX18">
            <v>257.41310101455667</v>
          </cell>
          <cell r="AZ18">
            <v>4.7978839367513832E-3</v>
          </cell>
          <cell r="BB18">
            <v>2065.6296868107629</v>
          </cell>
          <cell r="BD18">
            <v>2095.4834142037935</v>
          </cell>
          <cell r="BF18">
            <v>4161.1131010145564</v>
          </cell>
          <cell r="BH18">
            <v>41.839333824758739</v>
          </cell>
          <cell r="BN18">
            <v>0</v>
          </cell>
          <cell r="BR18">
            <v>2065.6296868107629</v>
          </cell>
          <cell r="BT18">
            <v>2095.4834142037935</v>
          </cell>
          <cell r="BV18">
            <v>4161.1131010145564</v>
          </cell>
          <cell r="BX18">
            <v>41.839333824758739</v>
          </cell>
          <cell r="CB18">
            <v>13.86509</v>
          </cell>
          <cell r="CD18">
            <v>13.86509</v>
          </cell>
          <cell r="CG18" t="str">
            <v>PAC</v>
          </cell>
          <cell r="CH18">
            <v>-34.016264477645606</v>
          </cell>
          <cell r="CJ18">
            <v>-30.319265744246966</v>
          </cell>
          <cell r="CL18">
            <v>-64.335530221892569</v>
          </cell>
          <cell r="CN18">
            <v>-0.68946518631893661</v>
          </cell>
          <cell r="CO18" t="str">
            <v>PAC</v>
          </cell>
          <cell r="CP18">
            <v>2045.4785123331171</v>
          </cell>
          <cell r="CR18">
            <v>2065.1641484595466</v>
          </cell>
          <cell r="CT18">
            <v>4110.6426607926642</v>
          </cell>
          <cell r="CV18">
            <v>41.149868638439806</v>
          </cell>
        </row>
        <row r="19">
          <cell r="B19" t="str">
            <v>MGT</v>
          </cell>
          <cell r="D19" t="str">
            <v>HOSPITAL ADMIN</v>
          </cell>
          <cell r="F19" t="str">
            <v>C11</v>
          </cell>
          <cell r="H19">
            <v>7567683.2097787801</v>
          </cell>
          <cell r="J19">
            <v>16064168.598713309</v>
          </cell>
          <cell r="L19">
            <v>23631851.808492087</v>
          </cell>
          <cell r="N19">
            <v>52.141689834654663</v>
          </cell>
          <cell r="O19" t="str">
            <v>MGT</v>
          </cell>
          <cell r="P19">
            <v>7567.7</v>
          </cell>
          <cell r="R19">
            <v>16064.2</v>
          </cell>
          <cell r="T19">
            <v>23631.9</v>
          </cell>
          <cell r="X19">
            <v>0</v>
          </cell>
          <cell r="Z19">
            <v>0</v>
          </cell>
          <cell r="AD19">
            <v>7567.7</v>
          </cell>
          <cell r="AF19">
            <v>16064.2</v>
          </cell>
          <cell r="AH19">
            <v>23631.9</v>
          </cell>
          <cell r="AJ19">
            <v>52.141689834654663</v>
          </cell>
          <cell r="AL19">
            <v>0</v>
          </cell>
          <cell r="AN19">
            <v>0</v>
          </cell>
          <cell r="AP19">
            <v>0</v>
          </cell>
          <cell r="AR19">
            <v>0</v>
          </cell>
          <cell r="AT19">
            <v>13.182355535950595</v>
          </cell>
          <cell r="AV19">
            <v>2069.0036171151301</v>
          </cell>
          <cell r="AX19">
            <v>2082.1859726510806</v>
          </cell>
          <cell r="AZ19">
            <v>3.8809550066166744E-2</v>
          </cell>
          <cell r="BB19">
            <v>7580.8823555359504</v>
          </cell>
          <cell r="BD19">
            <v>18133.20361711513</v>
          </cell>
          <cell r="BF19">
            <v>25714.085972651083</v>
          </cell>
          <cell r="BH19">
            <v>52.180499384720832</v>
          </cell>
          <cell r="BN19">
            <v>0</v>
          </cell>
          <cell r="BR19">
            <v>7580.8823555359504</v>
          </cell>
          <cell r="BT19">
            <v>18133.20361711513</v>
          </cell>
          <cell r="BV19">
            <v>25714.085972651083</v>
          </cell>
          <cell r="BX19">
            <v>52.180499384720832</v>
          </cell>
          <cell r="CB19">
            <v>16.27422</v>
          </cell>
          <cell r="CD19">
            <v>16.27422</v>
          </cell>
          <cell r="CG19" t="str">
            <v>MGT</v>
          </cell>
          <cell r="CH19">
            <v>-563.22263963272007</v>
          </cell>
          <cell r="CJ19">
            <v>-1195.571113492322</v>
          </cell>
          <cell r="CL19">
            <v>-1758.793753125042</v>
          </cell>
          <cell r="CN19">
            <v>-3.8806302232150709</v>
          </cell>
          <cell r="CO19" t="str">
            <v>MGT</v>
          </cell>
          <cell r="CP19">
            <v>7033.933935903231</v>
          </cell>
          <cell r="CR19">
            <v>16937.632503622808</v>
          </cell>
          <cell r="CT19">
            <v>23971.566439526039</v>
          </cell>
          <cell r="CV19">
            <v>48.299869161505761</v>
          </cell>
        </row>
        <row r="20">
          <cell r="B20" t="str">
            <v>MRD</v>
          </cell>
          <cell r="D20" t="str">
            <v>MEDICAL RECORDS</v>
          </cell>
          <cell r="F20" t="str">
            <v>C12</v>
          </cell>
          <cell r="H20">
            <v>2165684.0751297451</v>
          </cell>
          <cell r="J20">
            <v>1138448.8</v>
          </cell>
          <cell r="L20">
            <v>3304132.8751297453</v>
          </cell>
          <cell r="N20">
            <v>33.092067307692311</v>
          </cell>
          <cell r="O20" t="str">
            <v>MRD</v>
          </cell>
          <cell r="P20">
            <v>2165.6999999999998</v>
          </cell>
          <cell r="R20">
            <v>1138.4000000000001</v>
          </cell>
          <cell r="T20">
            <v>3304.1</v>
          </cell>
          <cell r="X20">
            <v>0</v>
          </cell>
          <cell r="Z20">
            <v>0</v>
          </cell>
          <cell r="AD20">
            <v>2165.6999999999998</v>
          </cell>
          <cell r="AF20">
            <v>1138.4000000000001</v>
          </cell>
          <cell r="AH20">
            <v>3304.1</v>
          </cell>
          <cell r="AJ20">
            <v>33.092067307692311</v>
          </cell>
          <cell r="AL20">
            <v>0</v>
          </cell>
          <cell r="AN20">
            <v>0</v>
          </cell>
          <cell r="AP20">
            <v>0</v>
          </cell>
          <cell r="AR20">
            <v>0</v>
          </cell>
          <cell r="AT20">
            <v>1.9194089104543448</v>
          </cell>
          <cell r="AV20">
            <v>301.25602117335683</v>
          </cell>
          <cell r="AX20">
            <v>303.17543008381119</v>
          </cell>
          <cell r="AZ20">
            <v>5.6508410810627392E-3</v>
          </cell>
          <cell r="BB20">
            <v>2167.6194089104542</v>
          </cell>
          <cell r="BD20">
            <v>1439.656021173357</v>
          </cell>
          <cell r="BF20">
            <v>3607.2754300838114</v>
          </cell>
          <cell r="BH20">
            <v>33.097718148773374</v>
          </cell>
          <cell r="BN20">
            <v>0</v>
          </cell>
          <cell r="BR20">
            <v>2167.6194089104542</v>
          </cell>
          <cell r="BT20">
            <v>1439.656021173357</v>
          </cell>
          <cell r="BV20">
            <v>3607.2754300838114</v>
          </cell>
          <cell r="BX20">
            <v>33.097718148773374</v>
          </cell>
          <cell r="CB20">
            <v>11.15199</v>
          </cell>
          <cell r="CD20">
            <v>11.15199</v>
          </cell>
          <cell r="CG20" t="str">
            <v>MRD</v>
          </cell>
          <cell r="CH20">
            <v>0</v>
          </cell>
          <cell r="CJ20">
            <v>0</v>
          </cell>
          <cell r="CL20">
            <v>0</v>
          </cell>
          <cell r="CN20">
            <v>0</v>
          </cell>
          <cell r="CO20" t="str">
            <v>MRD</v>
          </cell>
          <cell r="CP20">
            <v>2178.7713989104541</v>
          </cell>
          <cell r="CR20">
            <v>1439.656021173357</v>
          </cell>
          <cell r="CT20">
            <v>3618.4274200838108</v>
          </cell>
          <cell r="CV20">
            <v>33.097718148773374</v>
          </cell>
        </row>
        <row r="21">
          <cell r="B21" t="str">
            <v>MSA</v>
          </cell>
          <cell r="D21" t="str">
            <v>MEDICAL STAFF ADMIN</v>
          </cell>
          <cell r="F21" t="str">
            <v>C13</v>
          </cell>
          <cell r="H21">
            <v>1010539.0321373952</v>
          </cell>
          <cell r="J21">
            <v>132766.52999999997</v>
          </cell>
          <cell r="L21">
            <v>1143305.5621373951</v>
          </cell>
          <cell r="N21">
            <v>10.087259615384616</v>
          </cell>
          <cell r="O21" t="str">
            <v>MSA</v>
          </cell>
          <cell r="P21">
            <v>1010.5</v>
          </cell>
          <cell r="R21">
            <v>132.80000000000001</v>
          </cell>
          <cell r="T21">
            <v>1143.3</v>
          </cell>
          <cell r="X21">
            <v>0</v>
          </cell>
          <cell r="Z21">
            <v>0</v>
          </cell>
          <cell r="AD21">
            <v>1010.5</v>
          </cell>
          <cell r="AF21">
            <v>132.80000000000001</v>
          </cell>
          <cell r="AH21">
            <v>1143.3</v>
          </cell>
          <cell r="AJ21">
            <v>10.087259615384616</v>
          </cell>
          <cell r="AL21">
            <v>0</v>
          </cell>
          <cell r="AN21">
            <v>0</v>
          </cell>
          <cell r="AP21">
            <v>0</v>
          </cell>
          <cell r="AR21">
            <v>0</v>
          </cell>
          <cell r="AT21">
            <v>0.2172915747684164</v>
          </cell>
          <cell r="AV21">
            <v>34.104455227172473</v>
          </cell>
          <cell r="AX21">
            <v>34.32174680194089</v>
          </cell>
          <cell r="AZ21">
            <v>6.3971785823351772E-4</v>
          </cell>
          <cell r="BB21">
            <v>1010.7172915747684</v>
          </cell>
          <cell r="BD21">
            <v>166.90445522717249</v>
          </cell>
          <cell r="BF21">
            <v>1177.6217468019408</v>
          </cell>
          <cell r="BH21">
            <v>10.087899333242849</v>
          </cell>
          <cell r="BJ21">
            <v>0</v>
          </cell>
          <cell r="BN21">
            <v>0</v>
          </cell>
          <cell r="BP21">
            <v>3.5524999422426848</v>
          </cell>
          <cell r="BR21">
            <v>1010.7172915747684</v>
          </cell>
          <cell r="BT21">
            <v>166.90445522717249</v>
          </cell>
          <cell r="BV21">
            <v>1177.6217468019408</v>
          </cell>
          <cell r="BX21">
            <v>13.640399275485533</v>
          </cell>
          <cell r="CB21">
            <v>4.3523300000000003</v>
          </cell>
          <cell r="CD21">
            <v>4.3523300000000003</v>
          </cell>
          <cell r="CG21" t="str">
            <v>MSA</v>
          </cell>
          <cell r="CH21">
            <v>-72.451077377226383</v>
          </cell>
          <cell r="CJ21">
            <v>-9.5187596245446304</v>
          </cell>
          <cell r="CL21">
            <v>-81.969837001771012</v>
          </cell>
          <cell r="CN21">
            <v>-0.72321088416804047</v>
          </cell>
          <cell r="CO21" t="str">
            <v>MSA</v>
          </cell>
          <cell r="CP21">
            <v>942.61854419754206</v>
          </cell>
          <cell r="CR21">
            <v>157.38569560262786</v>
          </cell>
          <cell r="CT21">
            <v>1100.0042398001699</v>
          </cell>
          <cell r="CV21">
            <v>12.917188391317493</v>
          </cell>
        </row>
        <row r="22">
          <cell r="B22" t="str">
            <v>NAD</v>
          </cell>
          <cell r="D22" t="str">
            <v>NURSING ADMIN</v>
          </cell>
          <cell r="F22" t="str">
            <v>C14</v>
          </cell>
          <cell r="H22">
            <v>3493932.9802738382</v>
          </cell>
          <cell r="J22">
            <v>114606.89</v>
          </cell>
          <cell r="L22">
            <v>3608539.8702738383</v>
          </cell>
          <cell r="N22">
            <v>28.542329545454546</v>
          </cell>
          <cell r="O22" t="str">
            <v>NAD</v>
          </cell>
          <cell r="P22">
            <v>3493.9</v>
          </cell>
          <cell r="R22">
            <v>114.6</v>
          </cell>
          <cell r="T22">
            <v>3608.5</v>
          </cell>
          <cell r="X22">
            <v>0</v>
          </cell>
          <cell r="Z22">
            <v>0</v>
          </cell>
          <cell r="AD22">
            <v>3493.9</v>
          </cell>
          <cell r="AF22">
            <v>114.6</v>
          </cell>
          <cell r="AH22">
            <v>3608.5</v>
          </cell>
          <cell r="AJ22">
            <v>28.542329545454546</v>
          </cell>
          <cell r="AL22">
            <v>0</v>
          </cell>
          <cell r="AN22">
            <v>0</v>
          </cell>
          <cell r="AP22">
            <v>0</v>
          </cell>
          <cell r="AR22">
            <v>0</v>
          </cell>
          <cell r="AT22">
            <v>1.3761799735333038</v>
          </cell>
          <cell r="AV22">
            <v>215.99488310542566</v>
          </cell>
          <cell r="AX22">
            <v>217.37106307895897</v>
          </cell>
          <cell r="AZ22">
            <v>4.0515464354789451E-3</v>
          </cell>
          <cell r="BB22">
            <v>3495.2761799735335</v>
          </cell>
          <cell r="BD22">
            <v>330.59488310542565</v>
          </cell>
          <cell r="BF22">
            <v>3825.8710630789592</v>
          </cell>
          <cell r="BH22">
            <v>28.546381091890026</v>
          </cell>
          <cell r="BN22">
            <v>0</v>
          </cell>
          <cell r="BR22">
            <v>3495.2761799735335</v>
          </cell>
          <cell r="BT22">
            <v>330.59488310542565</v>
          </cell>
          <cell r="BV22">
            <v>3825.8710630789592</v>
          </cell>
          <cell r="BX22">
            <v>28.546381091890026</v>
          </cell>
          <cell r="CB22">
            <v>9.6184499999999993</v>
          </cell>
          <cell r="CD22">
            <v>9.6184499999999993</v>
          </cell>
          <cell r="CG22" t="str">
            <v>NAD</v>
          </cell>
          <cell r="CH22">
            <v>0</v>
          </cell>
          <cell r="CJ22">
            <v>0</v>
          </cell>
          <cell r="CL22">
            <v>0</v>
          </cell>
          <cell r="CN22">
            <v>0</v>
          </cell>
          <cell r="CO22" t="str">
            <v>NAD</v>
          </cell>
          <cell r="CP22">
            <v>3504.8946299735335</v>
          </cell>
          <cell r="CR22">
            <v>330.59488310542565</v>
          </cell>
          <cell r="CT22">
            <v>3835.4895130789591</v>
          </cell>
          <cell r="CV22">
            <v>28.546381091890026</v>
          </cell>
        </row>
        <row r="23">
          <cell r="B23" t="str">
            <v>OAO</v>
          </cell>
          <cell r="D23" t="str">
            <v>ORGAN ACQUISITION OVERHEAD</v>
          </cell>
          <cell r="F23" t="str">
            <v>C15</v>
          </cell>
          <cell r="H23">
            <v>0</v>
          </cell>
          <cell r="J23">
            <v>0</v>
          </cell>
          <cell r="L23">
            <v>0</v>
          </cell>
          <cell r="N23">
            <v>0</v>
          </cell>
          <cell r="O23" t="str">
            <v>OAO</v>
          </cell>
          <cell r="P23">
            <v>0</v>
          </cell>
          <cell r="R23">
            <v>0</v>
          </cell>
          <cell r="T23">
            <v>0</v>
          </cell>
          <cell r="AD23">
            <v>0</v>
          </cell>
          <cell r="AF23">
            <v>0</v>
          </cell>
          <cell r="AH23">
            <v>0</v>
          </cell>
          <cell r="AJ23">
            <v>0</v>
          </cell>
          <cell r="AL23">
            <v>0</v>
          </cell>
          <cell r="AN23">
            <v>0</v>
          </cell>
          <cell r="AP23">
            <v>0</v>
          </cell>
          <cell r="AR23">
            <v>0</v>
          </cell>
          <cell r="AT23">
            <v>0</v>
          </cell>
          <cell r="AV23">
            <v>0</v>
          </cell>
          <cell r="AX23">
            <v>0</v>
          </cell>
          <cell r="AZ23">
            <v>0</v>
          </cell>
          <cell r="BB23">
            <v>0</v>
          </cell>
          <cell r="BD23">
            <v>0</v>
          </cell>
          <cell r="BF23">
            <v>0</v>
          </cell>
          <cell r="BH23">
            <v>0</v>
          </cell>
          <cell r="BN23">
            <v>0</v>
          </cell>
          <cell r="BR23">
            <v>0</v>
          </cell>
          <cell r="BT23">
            <v>0</v>
          </cell>
          <cell r="BV23">
            <v>0</v>
          </cell>
          <cell r="BX23">
            <v>0</v>
          </cell>
          <cell r="CB23">
            <v>0</v>
          </cell>
          <cell r="CD23">
            <v>0</v>
          </cell>
          <cell r="CG23" t="str">
            <v>OAO</v>
          </cell>
          <cell r="CH23">
            <v>0</v>
          </cell>
          <cell r="CJ23">
            <v>0</v>
          </cell>
          <cell r="CL23">
            <v>0</v>
          </cell>
          <cell r="CN23">
            <v>0</v>
          </cell>
          <cell r="CO23" t="str">
            <v>NAD</v>
          </cell>
          <cell r="CP23">
            <v>0</v>
          </cell>
          <cell r="CR23">
            <v>0</v>
          </cell>
          <cell r="CT23">
            <v>0</v>
          </cell>
          <cell r="CV23">
            <v>0</v>
          </cell>
        </row>
        <row r="24">
          <cell r="B24" t="str">
            <v>MSG</v>
          </cell>
          <cell r="D24" t="str">
            <v>MED/SURG ACUTE</v>
          </cell>
          <cell r="F24" t="str">
            <v>D1</v>
          </cell>
          <cell r="H24">
            <v>22816149.738658499</v>
          </cell>
          <cell r="J24">
            <v>1479263.6125219455</v>
          </cell>
          <cell r="L24">
            <v>24295413.351180445</v>
          </cell>
          <cell r="N24">
            <v>272.15276218659403</v>
          </cell>
          <cell r="O24" t="str">
            <v>MSG</v>
          </cell>
          <cell r="P24">
            <v>22816.1</v>
          </cell>
          <cell r="R24">
            <v>1479.3</v>
          </cell>
          <cell r="T24">
            <v>24295.399999999998</v>
          </cell>
          <cell r="AD24">
            <v>22816.1</v>
          </cell>
          <cell r="AF24">
            <v>1479.3</v>
          </cell>
          <cell r="AH24">
            <v>24295.399999999998</v>
          </cell>
          <cell r="AJ24">
            <v>272.15276218659403</v>
          </cell>
          <cell r="AL24">
            <v>0</v>
          </cell>
          <cell r="AN24">
            <v>0</v>
          </cell>
          <cell r="AP24">
            <v>0</v>
          </cell>
          <cell r="AR24">
            <v>0</v>
          </cell>
          <cell r="AT24">
            <v>14.962987560652845</v>
          </cell>
          <cell r="AV24">
            <v>2348.4782595500665</v>
          </cell>
          <cell r="AX24">
            <v>2363.4412471107194</v>
          </cell>
          <cell r="AZ24">
            <v>4.4051824675104344E-2</v>
          </cell>
          <cell r="BB24">
            <v>22831.06298756065</v>
          </cell>
          <cell r="BD24">
            <v>3827.7782595500667</v>
          </cell>
          <cell r="BF24">
            <v>26658.841247110715</v>
          </cell>
          <cell r="BH24">
            <v>272.19681401126911</v>
          </cell>
          <cell r="BJ24">
            <v>795.82601276400476</v>
          </cell>
          <cell r="BN24">
            <v>795.82601276400476</v>
          </cell>
          <cell r="BP24">
            <v>3.921194456900996</v>
          </cell>
          <cell r="BR24">
            <v>23626.889000324656</v>
          </cell>
          <cell r="BT24">
            <v>3827.7782595500667</v>
          </cell>
          <cell r="BV24">
            <v>27454.667259874725</v>
          </cell>
          <cell r="BX24">
            <v>276.1180084681701</v>
          </cell>
          <cell r="CB24">
            <v>93.035560000000004</v>
          </cell>
          <cell r="CD24">
            <v>93.035560000000004</v>
          </cell>
          <cell r="CG24" t="str">
            <v>MSG</v>
          </cell>
          <cell r="CO24" t="str">
            <v>MSG</v>
          </cell>
          <cell r="CP24">
            <v>23719.924560324656</v>
          </cell>
          <cell r="CR24">
            <v>3827.7782595500667</v>
          </cell>
          <cell r="CT24">
            <v>27547.702819874721</v>
          </cell>
          <cell r="CV24">
            <v>276.1180084681701</v>
          </cell>
        </row>
        <row r="25">
          <cell r="B25" t="str">
            <v>PED</v>
          </cell>
          <cell r="D25" t="str">
            <v>PEDIATRIC ACUTE</v>
          </cell>
          <cell r="F25" t="str">
            <v>D2</v>
          </cell>
          <cell r="H25">
            <v>0</v>
          </cell>
          <cell r="J25">
            <v>0</v>
          </cell>
          <cell r="L25">
            <v>0</v>
          </cell>
          <cell r="N25">
            <v>0</v>
          </cell>
          <cell r="O25" t="str">
            <v>PED</v>
          </cell>
          <cell r="P25">
            <v>0</v>
          </cell>
          <cell r="R25">
            <v>0</v>
          </cell>
          <cell r="T25">
            <v>0</v>
          </cell>
          <cell r="AD25">
            <v>0</v>
          </cell>
          <cell r="AF25">
            <v>0</v>
          </cell>
          <cell r="AH25">
            <v>0</v>
          </cell>
          <cell r="AJ25">
            <v>0</v>
          </cell>
          <cell r="AL25">
            <v>0</v>
          </cell>
          <cell r="AN25">
            <v>0</v>
          </cell>
          <cell r="AP25">
            <v>0</v>
          </cell>
          <cell r="AR25">
            <v>0</v>
          </cell>
          <cell r="AT25">
            <v>0</v>
          </cell>
          <cell r="AV25">
            <v>0</v>
          </cell>
          <cell r="AX25">
            <v>0</v>
          </cell>
          <cell r="AZ25">
            <v>0</v>
          </cell>
          <cell r="BB25">
            <v>0</v>
          </cell>
          <cell r="BD25">
            <v>0</v>
          </cell>
          <cell r="BF25">
            <v>0</v>
          </cell>
          <cell r="BH25">
            <v>0</v>
          </cell>
          <cell r="BJ25">
            <v>0</v>
          </cell>
          <cell r="BN25">
            <v>0</v>
          </cell>
          <cell r="BP25">
            <v>0</v>
          </cell>
          <cell r="BR25">
            <v>0</v>
          </cell>
          <cell r="BT25">
            <v>0</v>
          </cell>
          <cell r="BV25">
            <v>0</v>
          </cell>
          <cell r="BX25">
            <v>0</v>
          </cell>
          <cell r="CB25">
            <v>0</v>
          </cell>
          <cell r="CD25">
            <v>0</v>
          </cell>
          <cell r="CG25" t="str">
            <v>PED</v>
          </cell>
          <cell r="CO25" t="str">
            <v>PED</v>
          </cell>
          <cell r="CP25">
            <v>0</v>
          </cell>
          <cell r="CR25">
            <v>0</v>
          </cell>
          <cell r="CT25">
            <v>0</v>
          </cell>
          <cell r="CV25">
            <v>0</v>
          </cell>
        </row>
        <row r="26">
          <cell r="B26" t="str">
            <v>PSY</v>
          </cell>
          <cell r="D26" t="str">
            <v>PSYCHIATRIC ACUTE</v>
          </cell>
          <cell r="F26" t="str">
            <v>D3</v>
          </cell>
          <cell r="H26">
            <v>2210449.2960213041</v>
          </cell>
          <cell r="J26">
            <v>617618.15877720644</v>
          </cell>
          <cell r="L26">
            <v>2828067.4547985103</v>
          </cell>
          <cell r="N26">
            <v>25.304027887309399</v>
          </cell>
          <cell r="O26" t="str">
            <v>PSY</v>
          </cell>
          <cell r="P26">
            <v>2210.4</v>
          </cell>
          <cell r="R26">
            <v>617.6</v>
          </cell>
          <cell r="T26">
            <v>2828</v>
          </cell>
          <cell r="AD26">
            <v>2210.4</v>
          </cell>
          <cell r="AF26">
            <v>617.6</v>
          </cell>
          <cell r="AH26">
            <v>2828</v>
          </cell>
          <cell r="AJ26">
            <v>25.304027887309399</v>
          </cell>
          <cell r="AL26">
            <v>0</v>
          </cell>
          <cell r="AN26">
            <v>0</v>
          </cell>
          <cell r="AP26">
            <v>0</v>
          </cell>
          <cell r="AR26">
            <v>0</v>
          </cell>
          <cell r="AT26">
            <v>1.5210410233789149</v>
          </cell>
          <cell r="AV26">
            <v>238.73118659020733</v>
          </cell>
          <cell r="AX26">
            <v>240.25222761358626</v>
          </cell>
          <cell r="AZ26">
            <v>4.4780250076346239E-3</v>
          </cell>
          <cell r="BB26">
            <v>2211.9210410233791</v>
          </cell>
          <cell r="BD26">
            <v>856.33118659020738</v>
          </cell>
          <cell r="BF26">
            <v>3068.2522276135865</v>
          </cell>
          <cell r="BH26">
            <v>25.308505912317035</v>
          </cell>
          <cell r="BJ26">
            <v>161.95601171341869</v>
          </cell>
          <cell r="BN26">
            <v>161.95601171341869</v>
          </cell>
          <cell r="BP26">
            <v>0.90986523434504885</v>
          </cell>
          <cell r="BR26">
            <v>2373.8770527367979</v>
          </cell>
          <cell r="BT26">
            <v>856.33118659020738</v>
          </cell>
          <cell r="BV26">
            <v>3230.2082393270052</v>
          </cell>
          <cell r="BX26">
            <v>26.218371146662083</v>
          </cell>
          <cell r="CB26">
            <v>8.8340499999999995</v>
          </cell>
          <cell r="CD26">
            <v>8.8340499999999995</v>
          </cell>
          <cell r="CG26" t="str">
            <v>PSY</v>
          </cell>
          <cell r="CO26" t="str">
            <v>PSY</v>
          </cell>
          <cell r="CP26">
            <v>2382.7111027367978</v>
          </cell>
          <cell r="CR26">
            <v>856.33118659020738</v>
          </cell>
          <cell r="CT26">
            <v>3239.0422893270052</v>
          </cell>
          <cell r="CV26">
            <v>26.218371146662083</v>
          </cell>
        </row>
        <row r="27">
          <cell r="B27" t="str">
            <v>OBS</v>
          </cell>
          <cell r="D27" t="str">
            <v>OBSTETRICS ACUTE</v>
          </cell>
          <cell r="F27" t="str">
            <v>D4</v>
          </cell>
          <cell r="H27">
            <v>1589205.6215546136</v>
          </cell>
          <cell r="J27">
            <v>47139.153005748529</v>
          </cell>
          <cell r="L27">
            <v>1636344.7745603621</v>
          </cell>
          <cell r="N27">
            <v>17.130312206197871</v>
          </cell>
          <cell r="O27" t="str">
            <v>OBS</v>
          </cell>
          <cell r="P27">
            <v>1589.2</v>
          </cell>
          <cell r="R27">
            <v>47.1</v>
          </cell>
          <cell r="T27">
            <v>1636.3</v>
          </cell>
          <cell r="AD27">
            <v>1589.2</v>
          </cell>
          <cell r="AF27">
            <v>47.1</v>
          </cell>
          <cell r="AH27">
            <v>1636.3</v>
          </cell>
          <cell r="AJ27">
            <v>17.130312206197871</v>
          </cell>
          <cell r="AL27">
            <v>0</v>
          </cell>
          <cell r="AN27">
            <v>0</v>
          </cell>
          <cell r="AP27">
            <v>0</v>
          </cell>
          <cell r="AR27">
            <v>0</v>
          </cell>
          <cell r="AT27">
            <v>1.1588883987648875</v>
          </cell>
          <cell r="AV27">
            <v>181.89042787825318</v>
          </cell>
          <cell r="AX27">
            <v>183.04931627701808</v>
          </cell>
          <cell r="AZ27">
            <v>3.4118285772454277E-3</v>
          </cell>
          <cell r="BB27">
            <v>1590.358888398765</v>
          </cell>
          <cell r="BD27">
            <v>228.99042787825317</v>
          </cell>
          <cell r="BF27">
            <v>1819.3493162770183</v>
          </cell>
          <cell r="BH27">
            <v>17.133724034775117</v>
          </cell>
          <cell r="BJ27">
            <v>112.60127434256647</v>
          </cell>
          <cell r="BN27">
            <v>112.60127434256647</v>
          </cell>
          <cell r="BP27">
            <v>0.47441025634112688</v>
          </cell>
          <cell r="BR27">
            <v>1702.9601627413315</v>
          </cell>
          <cell r="BT27">
            <v>228.99042787825317</v>
          </cell>
          <cell r="BV27">
            <v>1931.9505906195845</v>
          </cell>
          <cell r="BX27">
            <v>17.608134291116244</v>
          </cell>
          <cell r="CB27">
            <v>5.9329099999999997</v>
          </cell>
          <cell r="CD27">
            <v>5.9329099999999997</v>
          </cell>
          <cell r="CG27" t="str">
            <v>OBS</v>
          </cell>
          <cell r="CO27" t="str">
            <v>OBS</v>
          </cell>
          <cell r="CP27">
            <v>1708.8930727413315</v>
          </cell>
          <cell r="CR27">
            <v>228.99042787825317</v>
          </cell>
          <cell r="CT27">
            <v>1937.8835006195845</v>
          </cell>
          <cell r="CV27">
            <v>17.608134291116244</v>
          </cell>
        </row>
        <row r="28">
          <cell r="B28" t="str">
            <v>DEF</v>
          </cell>
          <cell r="D28" t="str">
            <v>DEFINITIVE OBSERVATION</v>
          </cell>
          <cell r="F28" t="str">
            <v>D5</v>
          </cell>
          <cell r="H28">
            <v>0</v>
          </cell>
          <cell r="J28">
            <v>0</v>
          </cell>
          <cell r="L28">
            <v>0</v>
          </cell>
          <cell r="N28">
            <v>0</v>
          </cell>
          <cell r="O28" t="str">
            <v>DEF</v>
          </cell>
          <cell r="P28">
            <v>0</v>
          </cell>
          <cell r="R28">
            <v>0</v>
          </cell>
          <cell r="T28">
            <v>0</v>
          </cell>
          <cell r="AD28">
            <v>0</v>
          </cell>
          <cell r="AF28">
            <v>0</v>
          </cell>
          <cell r="AH28">
            <v>0</v>
          </cell>
          <cell r="AJ28">
            <v>0</v>
          </cell>
          <cell r="AL28">
            <v>0</v>
          </cell>
          <cell r="AN28">
            <v>0</v>
          </cell>
          <cell r="AP28">
            <v>0</v>
          </cell>
          <cell r="AR28">
            <v>0</v>
          </cell>
          <cell r="AT28">
            <v>0</v>
          </cell>
          <cell r="AV28">
            <v>0</v>
          </cell>
          <cell r="AX28">
            <v>0</v>
          </cell>
          <cell r="AZ28">
            <v>0</v>
          </cell>
          <cell r="BB28">
            <v>0</v>
          </cell>
          <cell r="BD28">
            <v>0</v>
          </cell>
          <cell r="BF28">
            <v>0</v>
          </cell>
          <cell r="BH28">
            <v>0</v>
          </cell>
          <cell r="BJ28">
            <v>0</v>
          </cell>
          <cell r="BN28">
            <v>0</v>
          </cell>
          <cell r="BP28">
            <v>0</v>
          </cell>
          <cell r="BR28">
            <v>0</v>
          </cell>
          <cell r="BT28">
            <v>0</v>
          </cell>
          <cell r="BV28">
            <v>0</v>
          </cell>
          <cell r="BX28">
            <v>0</v>
          </cell>
          <cell r="CB28">
            <v>0</v>
          </cell>
          <cell r="CD28">
            <v>0</v>
          </cell>
          <cell r="CG28" t="str">
            <v>DEF</v>
          </cell>
          <cell r="CO28" t="str">
            <v>DEF</v>
          </cell>
          <cell r="CP28">
            <v>0</v>
          </cell>
          <cell r="CR28">
            <v>0</v>
          </cell>
          <cell r="CT28">
            <v>0</v>
          </cell>
          <cell r="CV28">
            <v>0</v>
          </cell>
        </row>
        <row r="29">
          <cell r="B29" t="str">
            <v>MIS</v>
          </cell>
          <cell r="D29" t="str">
            <v>MED/SURG INTENSIVE CARE</v>
          </cell>
          <cell r="F29" t="str">
            <v>D6</v>
          </cell>
          <cell r="H29">
            <v>6831969.2489291634</v>
          </cell>
          <cell r="J29">
            <v>352802.09749182116</v>
          </cell>
          <cell r="L29">
            <v>7184771.3464209847</v>
          </cell>
          <cell r="N29">
            <v>62.821008117436271</v>
          </cell>
          <cell r="O29" t="str">
            <v>MIS</v>
          </cell>
          <cell r="P29">
            <v>6832</v>
          </cell>
          <cell r="R29">
            <v>352.8</v>
          </cell>
          <cell r="T29">
            <v>7184.8</v>
          </cell>
          <cell r="AD29">
            <v>6832</v>
          </cell>
          <cell r="AF29">
            <v>352.8</v>
          </cell>
          <cell r="AH29">
            <v>7184.8</v>
          </cell>
          <cell r="AJ29">
            <v>62.821008117436271</v>
          </cell>
          <cell r="AL29">
            <v>0</v>
          </cell>
          <cell r="AN29">
            <v>0</v>
          </cell>
          <cell r="AP29">
            <v>0</v>
          </cell>
          <cell r="AR29">
            <v>0</v>
          </cell>
          <cell r="AT29">
            <v>3.6939567710630787</v>
          </cell>
          <cell r="AV29">
            <v>579.77573886193204</v>
          </cell>
          <cell r="AX29">
            <v>583.46969563299513</v>
          </cell>
          <cell r="AZ29">
            <v>1.0875203589969802E-2</v>
          </cell>
          <cell r="BB29">
            <v>6835.6939567710633</v>
          </cell>
          <cell r="BD29">
            <v>932.575738861932</v>
          </cell>
          <cell r="BF29">
            <v>7768.2696956329955</v>
          </cell>
          <cell r="BH29">
            <v>62.83188332102624</v>
          </cell>
          <cell r="BJ29">
            <v>0</v>
          </cell>
          <cell r="BN29">
            <v>0</v>
          </cell>
          <cell r="BP29">
            <v>0</v>
          </cell>
          <cell r="BR29">
            <v>6835.6939567710633</v>
          </cell>
          <cell r="BT29">
            <v>932.575738861932</v>
          </cell>
          <cell r="BV29">
            <v>7768.2696956329955</v>
          </cell>
          <cell r="BX29">
            <v>62.83188332102624</v>
          </cell>
          <cell r="CB29">
            <v>21.170660000000002</v>
          </cell>
          <cell r="CD29">
            <v>21.170660000000002</v>
          </cell>
          <cell r="CG29" t="str">
            <v>MIS</v>
          </cell>
          <cell r="CO29" t="str">
            <v>MIS</v>
          </cell>
          <cell r="CP29">
            <v>6856.8646167710631</v>
          </cell>
          <cell r="CR29">
            <v>932.575738861932</v>
          </cell>
          <cell r="CT29">
            <v>7789.4403556329953</v>
          </cell>
          <cell r="CV29">
            <v>62.83188332102624</v>
          </cell>
        </row>
        <row r="30">
          <cell r="B30" t="str">
            <v>CCU</v>
          </cell>
          <cell r="D30" t="str">
            <v>CORONARY CARE</v>
          </cell>
          <cell r="F30" t="str">
            <v>D7</v>
          </cell>
          <cell r="H30">
            <v>0</v>
          </cell>
          <cell r="J30">
            <v>0</v>
          </cell>
          <cell r="L30">
            <v>0</v>
          </cell>
          <cell r="N30">
            <v>0</v>
          </cell>
          <cell r="O30" t="str">
            <v>CCU</v>
          </cell>
          <cell r="P30">
            <v>0</v>
          </cell>
          <cell r="R30">
            <v>0</v>
          </cell>
          <cell r="T30">
            <v>0</v>
          </cell>
          <cell r="AD30">
            <v>0</v>
          </cell>
          <cell r="AF30">
            <v>0</v>
          </cell>
          <cell r="AH30">
            <v>0</v>
          </cell>
          <cell r="AJ30">
            <v>0</v>
          </cell>
          <cell r="AL30">
            <v>0</v>
          </cell>
          <cell r="AN30">
            <v>0</v>
          </cell>
          <cell r="AP30">
            <v>0</v>
          </cell>
          <cell r="AR30">
            <v>0</v>
          </cell>
          <cell r="AT30">
            <v>0</v>
          </cell>
          <cell r="AV30">
            <v>0</v>
          </cell>
          <cell r="AX30">
            <v>0</v>
          </cell>
          <cell r="AZ30">
            <v>0</v>
          </cell>
          <cell r="BB30">
            <v>0</v>
          </cell>
          <cell r="BD30">
            <v>0</v>
          </cell>
          <cell r="BF30">
            <v>0</v>
          </cell>
          <cell r="BH30">
            <v>0</v>
          </cell>
          <cell r="BJ30">
            <v>0</v>
          </cell>
          <cell r="BN30">
            <v>0</v>
          </cell>
          <cell r="BP30">
            <v>0</v>
          </cell>
          <cell r="BR30">
            <v>0</v>
          </cell>
          <cell r="BT30">
            <v>0</v>
          </cell>
          <cell r="BV30">
            <v>0</v>
          </cell>
          <cell r="BX30">
            <v>0</v>
          </cell>
          <cell r="CB30">
            <v>0</v>
          </cell>
          <cell r="CD30">
            <v>0</v>
          </cell>
          <cell r="CG30" t="str">
            <v>CCU</v>
          </cell>
          <cell r="CO30" t="str">
            <v>CCU</v>
          </cell>
          <cell r="CP30">
            <v>0</v>
          </cell>
          <cell r="CR30">
            <v>0</v>
          </cell>
          <cell r="CT30">
            <v>0</v>
          </cell>
          <cell r="CV30">
            <v>0</v>
          </cell>
        </row>
        <row r="31">
          <cell r="B31" t="str">
            <v>PIC</v>
          </cell>
          <cell r="D31" t="str">
            <v>PEDIATRIC INTENSIVE CARE</v>
          </cell>
          <cell r="F31" t="str">
            <v>D8</v>
          </cell>
          <cell r="H31">
            <v>0</v>
          </cell>
          <cell r="J31">
            <v>0</v>
          </cell>
          <cell r="L31">
            <v>0</v>
          </cell>
          <cell r="N31">
            <v>0</v>
          </cell>
          <cell r="O31" t="str">
            <v>PIC</v>
          </cell>
          <cell r="P31">
            <v>0</v>
          </cell>
          <cell r="R31">
            <v>0</v>
          </cell>
          <cell r="T31">
            <v>0</v>
          </cell>
          <cell r="AD31">
            <v>0</v>
          </cell>
          <cell r="AF31">
            <v>0</v>
          </cell>
          <cell r="AH31">
            <v>0</v>
          </cell>
          <cell r="AJ31">
            <v>0</v>
          </cell>
          <cell r="AL31">
            <v>0</v>
          </cell>
          <cell r="AN31">
            <v>0</v>
          </cell>
          <cell r="AP31">
            <v>0</v>
          </cell>
          <cell r="AR31">
            <v>0</v>
          </cell>
          <cell r="AT31">
            <v>0</v>
          </cell>
          <cell r="AV31">
            <v>0</v>
          </cell>
          <cell r="AX31">
            <v>0</v>
          </cell>
          <cell r="AZ31">
            <v>0</v>
          </cell>
          <cell r="BB31">
            <v>0</v>
          </cell>
          <cell r="BD31">
            <v>0</v>
          </cell>
          <cell r="BF31">
            <v>0</v>
          </cell>
          <cell r="BH31">
            <v>0</v>
          </cell>
          <cell r="BJ31">
            <v>0</v>
          </cell>
          <cell r="BN31">
            <v>0</v>
          </cell>
          <cell r="BP31">
            <v>0</v>
          </cell>
          <cell r="BR31">
            <v>0</v>
          </cell>
          <cell r="BT31">
            <v>0</v>
          </cell>
          <cell r="BV31">
            <v>0</v>
          </cell>
          <cell r="BX31">
            <v>0</v>
          </cell>
          <cell r="CB31">
            <v>0</v>
          </cell>
          <cell r="CD31">
            <v>0</v>
          </cell>
          <cell r="CG31" t="str">
            <v>PIC</v>
          </cell>
          <cell r="CO31" t="str">
            <v>PIC</v>
          </cell>
          <cell r="CP31">
            <v>0</v>
          </cell>
          <cell r="CR31">
            <v>0</v>
          </cell>
          <cell r="CT31">
            <v>0</v>
          </cell>
          <cell r="CV31">
            <v>0</v>
          </cell>
        </row>
        <row r="32">
          <cell r="B32" t="str">
            <v>NEO</v>
          </cell>
          <cell r="D32" t="str">
            <v>NEONATAL INTENSIVE CARE</v>
          </cell>
          <cell r="F32" t="str">
            <v>D9</v>
          </cell>
          <cell r="H32">
            <v>3589011.3784555392</v>
          </cell>
          <cell r="J32">
            <v>67347.72457021891</v>
          </cell>
          <cell r="L32">
            <v>3656359.1030257582</v>
          </cell>
          <cell r="N32">
            <v>32.716144492315678</v>
          </cell>
          <cell r="O32" t="str">
            <v>NEO</v>
          </cell>
          <cell r="P32">
            <v>3589</v>
          </cell>
          <cell r="R32">
            <v>67.3</v>
          </cell>
          <cell r="T32">
            <v>3656.3</v>
          </cell>
          <cell r="AD32">
            <v>3589</v>
          </cell>
          <cell r="AF32">
            <v>67.3</v>
          </cell>
          <cell r="AH32">
            <v>3656.3</v>
          </cell>
          <cell r="AJ32">
            <v>32.716144492315678</v>
          </cell>
          <cell r="AL32">
            <v>0</v>
          </cell>
          <cell r="AN32">
            <v>0</v>
          </cell>
          <cell r="AP32">
            <v>0</v>
          </cell>
          <cell r="AR32">
            <v>0</v>
          </cell>
          <cell r="AT32">
            <v>1.5572562858403176</v>
          </cell>
          <cell r="AV32">
            <v>244.41526246140273</v>
          </cell>
          <cell r="AX32">
            <v>245.97251874724304</v>
          </cell>
          <cell r="AZ32">
            <v>4.5846446506735434E-3</v>
          </cell>
          <cell r="BB32">
            <v>3590.5572562858401</v>
          </cell>
          <cell r="BD32">
            <v>311.71526246140274</v>
          </cell>
          <cell r="BF32">
            <v>3902.2725187472429</v>
          </cell>
          <cell r="BH32">
            <v>32.720729136966348</v>
          </cell>
          <cell r="BJ32">
            <v>36.222840995699734</v>
          </cell>
          <cell r="BN32">
            <v>36.222840995699734</v>
          </cell>
          <cell r="BP32">
            <v>0.15261361278997149</v>
          </cell>
          <cell r="BR32">
            <v>3626.7800972815398</v>
          </cell>
          <cell r="BT32">
            <v>311.71526246140274</v>
          </cell>
          <cell r="BV32">
            <v>3938.4953597429426</v>
          </cell>
          <cell r="BX32">
            <v>32.873342749756318</v>
          </cell>
          <cell r="CB32">
            <v>11.07639</v>
          </cell>
          <cell r="CD32">
            <v>11.07639</v>
          </cell>
          <cell r="CG32" t="str">
            <v>NEO</v>
          </cell>
          <cell r="CO32" t="str">
            <v>NEO</v>
          </cell>
          <cell r="CP32">
            <v>3637.85648728154</v>
          </cell>
          <cell r="CR32">
            <v>311.71526246140274</v>
          </cell>
          <cell r="CT32">
            <v>3949.5717497429428</v>
          </cell>
          <cell r="CV32">
            <v>32.873342749756318</v>
          </cell>
        </row>
        <row r="33">
          <cell r="B33" t="str">
            <v>BUR</v>
          </cell>
          <cell r="D33" t="str">
            <v>BURN CARE</v>
          </cell>
          <cell r="F33" t="str">
            <v>D10</v>
          </cell>
          <cell r="H33">
            <v>0</v>
          </cell>
          <cell r="J33">
            <v>0</v>
          </cell>
          <cell r="L33">
            <v>0</v>
          </cell>
          <cell r="N33">
            <v>0</v>
          </cell>
          <cell r="O33" t="str">
            <v>BUR</v>
          </cell>
          <cell r="P33">
            <v>0</v>
          </cell>
          <cell r="R33">
            <v>0</v>
          </cell>
          <cell r="T33">
            <v>0</v>
          </cell>
          <cell r="AD33">
            <v>0</v>
          </cell>
          <cell r="AF33">
            <v>0</v>
          </cell>
          <cell r="AH33">
            <v>0</v>
          </cell>
          <cell r="AJ33">
            <v>0</v>
          </cell>
          <cell r="AL33">
            <v>0</v>
          </cell>
          <cell r="AN33">
            <v>0</v>
          </cell>
          <cell r="AP33">
            <v>0</v>
          </cell>
          <cell r="AR33">
            <v>0</v>
          </cell>
          <cell r="AT33">
            <v>0</v>
          </cell>
          <cell r="AV33">
            <v>0</v>
          </cell>
          <cell r="AX33">
            <v>0</v>
          </cell>
          <cell r="AZ33">
            <v>0</v>
          </cell>
          <cell r="BB33">
            <v>0</v>
          </cell>
          <cell r="BD33">
            <v>0</v>
          </cell>
          <cell r="BF33">
            <v>0</v>
          </cell>
          <cell r="BH33">
            <v>0</v>
          </cell>
          <cell r="BJ33">
            <v>0</v>
          </cell>
          <cell r="BN33">
            <v>0</v>
          </cell>
          <cell r="BP33">
            <v>0</v>
          </cell>
          <cell r="BR33">
            <v>0</v>
          </cell>
          <cell r="BT33">
            <v>0</v>
          </cell>
          <cell r="BV33">
            <v>0</v>
          </cell>
          <cell r="BX33">
            <v>0</v>
          </cell>
          <cell r="CB33">
            <v>0</v>
          </cell>
          <cell r="CD33">
            <v>0</v>
          </cell>
          <cell r="CG33" t="str">
            <v>BUR</v>
          </cell>
          <cell r="CO33" t="str">
            <v>BUR</v>
          </cell>
          <cell r="CP33">
            <v>0</v>
          </cell>
          <cell r="CR33">
            <v>0</v>
          </cell>
          <cell r="CT33">
            <v>0</v>
          </cell>
          <cell r="CV33">
            <v>0</v>
          </cell>
        </row>
        <row r="34">
          <cell r="B34" t="str">
            <v>PSI</v>
          </cell>
          <cell r="D34" t="str">
            <v>PSYCHIATRIC - ICU</v>
          </cell>
          <cell r="F34" t="str">
            <v>D11</v>
          </cell>
          <cell r="H34">
            <v>0</v>
          </cell>
          <cell r="J34">
            <v>0</v>
          </cell>
          <cell r="L34">
            <v>0</v>
          </cell>
          <cell r="N34">
            <v>0</v>
          </cell>
          <cell r="O34" t="str">
            <v>PSI</v>
          </cell>
          <cell r="P34">
            <v>0</v>
          </cell>
          <cell r="R34">
            <v>0</v>
          </cell>
          <cell r="T34">
            <v>0</v>
          </cell>
          <cell r="AD34">
            <v>0</v>
          </cell>
          <cell r="AF34">
            <v>0</v>
          </cell>
          <cell r="AH34">
            <v>0</v>
          </cell>
          <cell r="AJ34">
            <v>0</v>
          </cell>
          <cell r="AL34">
            <v>0</v>
          </cell>
          <cell r="AN34">
            <v>0</v>
          </cell>
          <cell r="AP34">
            <v>0</v>
          </cell>
          <cell r="AR34">
            <v>0</v>
          </cell>
          <cell r="AT34">
            <v>0</v>
          </cell>
          <cell r="AV34">
            <v>0</v>
          </cell>
          <cell r="AX34">
            <v>0</v>
          </cell>
          <cell r="AZ34">
            <v>0</v>
          </cell>
          <cell r="BB34">
            <v>0</v>
          </cell>
          <cell r="BD34">
            <v>0</v>
          </cell>
          <cell r="BF34">
            <v>0</v>
          </cell>
          <cell r="BH34">
            <v>0</v>
          </cell>
          <cell r="BJ34">
            <v>0</v>
          </cell>
          <cell r="BN34">
            <v>0</v>
          </cell>
          <cell r="BP34">
            <v>0</v>
          </cell>
          <cell r="BR34">
            <v>0</v>
          </cell>
          <cell r="BT34">
            <v>0</v>
          </cell>
          <cell r="BV34">
            <v>0</v>
          </cell>
          <cell r="BX34">
            <v>0</v>
          </cell>
          <cell r="CB34">
            <v>0</v>
          </cell>
          <cell r="CD34">
            <v>0</v>
          </cell>
          <cell r="CG34" t="str">
            <v>PSI</v>
          </cell>
          <cell r="CO34" t="str">
            <v>PSI</v>
          </cell>
          <cell r="CP34">
            <v>0</v>
          </cell>
          <cell r="CR34">
            <v>0</v>
          </cell>
          <cell r="CT34">
            <v>0</v>
          </cell>
          <cell r="CV34">
            <v>0</v>
          </cell>
        </row>
        <row r="35">
          <cell r="B35" t="str">
            <v>TRM</v>
          </cell>
          <cell r="D35" t="str">
            <v>SHOCK TRAUMA</v>
          </cell>
          <cell r="F35" t="str">
            <v>D12</v>
          </cell>
          <cell r="H35">
            <v>0</v>
          </cell>
          <cell r="J35">
            <v>0</v>
          </cell>
          <cell r="L35">
            <v>0</v>
          </cell>
          <cell r="N35">
            <v>0</v>
          </cell>
          <cell r="O35" t="str">
            <v>TRM</v>
          </cell>
          <cell r="P35">
            <v>0</v>
          </cell>
          <cell r="R35">
            <v>0</v>
          </cell>
          <cell r="T35">
            <v>0</v>
          </cell>
          <cell r="AD35">
            <v>0</v>
          </cell>
          <cell r="AF35">
            <v>0</v>
          </cell>
          <cell r="AH35">
            <v>0</v>
          </cell>
          <cell r="AJ35">
            <v>0</v>
          </cell>
          <cell r="AL35">
            <v>0</v>
          </cell>
          <cell r="AN35">
            <v>0</v>
          </cell>
          <cell r="AP35">
            <v>0</v>
          </cell>
          <cell r="AR35">
            <v>0</v>
          </cell>
          <cell r="AT35">
            <v>0</v>
          </cell>
          <cell r="AV35">
            <v>0</v>
          </cell>
          <cell r="AX35">
            <v>0</v>
          </cell>
          <cell r="AZ35">
            <v>0</v>
          </cell>
          <cell r="BB35">
            <v>0</v>
          </cell>
          <cell r="BD35">
            <v>0</v>
          </cell>
          <cell r="BF35">
            <v>0</v>
          </cell>
          <cell r="BH35">
            <v>0</v>
          </cell>
          <cell r="BJ35">
            <v>0</v>
          </cell>
          <cell r="BN35">
            <v>0</v>
          </cell>
          <cell r="BP35">
            <v>0</v>
          </cell>
          <cell r="BR35">
            <v>0</v>
          </cell>
          <cell r="BT35">
            <v>0</v>
          </cell>
          <cell r="BV35">
            <v>0</v>
          </cell>
          <cell r="BX35">
            <v>0</v>
          </cell>
          <cell r="CB35">
            <v>0</v>
          </cell>
          <cell r="CD35">
            <v>0</v>
          </cell>
          <cell r="CG35" t="str">
            <v>TRM</v>
          </cell>
          <cell r="CO35" t="str">
            <v>TRM</v>
          </cell>
          <cell r="CP35">
            <v>0</v>
          </cell>
          <cell r="CR35">
            <v>0</v>
          </cell>
          <cell r="CT35">
            <v>0</v>
          </cell>
          <cell r="CV35">
            <v>0</v>
          </cell>
        </row>
        <row r="36">
          <cell r="B36" t="str">
            <v>ONC</v>
          </cell>
          <cell r="D36" t="str">
            <v>ONCOLOGY</v>
          </cell>
          <cell r="F36" t="str">
            <v>D13</v>
          </cell>
          <cell r="H36">
            <v>0</v>
          </cell>
          <cell r="J36">
            <v>0</v>
          </cell>
          <cell r="L36">
            <v>0</v>
          </cell>
          <cell r="N36">
            <v>0</v>
          </cell>
          <cell r="O36" t="str">
            <v>ONC</v>
          </cell>
          <cell r="P36">
            <v>0</v>
          </cell>
          <cell r="R36">
            <v>0</v>
          </cell>
          <cell r="T36">
            <v>0</v>
          </cell>
          <cell r="AD36">
            <v>0</v>
          </cell>
          <cell r="AF36">
            <v>0</v>
          </cell>
          <cell r="AH36">
            <v>0</v>
          </cell>
          <cell r="AJ36">
            <v>0</v>
          </cell>
          <cell r="AL36">
            <v>0</v>
          </cell>
          <cell r="AN36">
            <v>0</v>
          </cell>
          <cell r="AP36">
            <v>0</v>
          </cell>
          <cell r="AR36">
            <v>0</v>
          </cell>
          <cell r="AT36">
            <v>0</v>
          </cell>
          <cell r="AV36">
            <v>0</v>
          </cell>
          <cell r="AX36">
            <v>0</v>
          </cell>
          <cell r="AZ36">
            <v>0</v>
          </cell>
          <cell r="BB36">
            <v>0</v>
          </cell>
          <cell r="BD36">
            <v>0</v>
          </cell>
          <cell r="BF36">
            <v>0</v>
          </cell>
          <cell r="BH36">
            <v>0</v>
          </cell>
          <cell r="BJ36">
            <v>0</v>
          </cell>
          <cell r="BN36">
            <v>0</v>
          </cell>
          <cell r="BP36">
            <v>0</v>
          </cell>
          <cell r="BR36">
            <v>0</v>
          </cell>
          <cell r="BT36">
            <v>0</v>
          </cell>
          <cell r="BV36">
            <v>0</v>
          </cell>
          <cell r="BX36">
            <v>0</v>
          </cell>
          <cell r="CB36">
            <v>0</v>
          </cell>
          <cell r="CD36">
            <v>0</v>
          </cell>
          <cell r="CG36" t="str">
            <v>ONC</v>
          </cell>
          <cell r="CO36" t="str">
            <v>ONC</v>
          </cell>
          <cell r="CP36">
            <v>0</v>
          </cell>
          <cell r="CR36">
            <v>0</v>
          </cell>
          <cell r="CT36">
            <v>0</v>
          </cell>
          <cell r="CV36">
            <v>0</v>
          </cell>
        </row>
        <row r="37">
          <cell r="B37" t="str">
            <v>NUR</v>
          </cell>
          <cell r="D37" t="str">
            <v>NEWBORN NURSERY</v>
          </cell>
          <cell r="F37" t="str">
            <v>D14</v>
          </cell>
          <cell r="H37">
            <v>1194606.7824904532</v>
          </cell>
          <cell r="J37">
            <v>17214.704837734549</v>
          </cell>
          <cell r="L37">
            <v>1211821.4873281878</v>
          </cell>
          <cell r="N37">
            <v>12.735775507653214</v>
          </cell>
          <cell r="O37" t="str">
            <v>NUR</v>
          </cell>
          <cell r="P37">
            <v>1194.5999999999999</v>
          </cell>
          <cell r="R37">
            <v>17.2</v>
          </cell>
          <cell r="T37">
            <v>1211.8</v>
          </cell>
          <cell r="AD37">
            <v>1194.5999999999999</v>
          </cell>
          <cell r="AF37">
            <v>17.2</v>
          </cell>
          <cell r="AH37">
            <v>1211.8</v>
          </cell>
          <cell r="AJ37">
            <v>12.735775507653214</v>
          </cell>
          <cell r="AL37">
            <v>0</v>
          </cell>
          <cell r="AN37">
            <v>0</v>
          </cell>
          <cell r="AP37">
            <v>0</v>
          </cell>
          <cell r="AR37">
            <v>0</v>
          </cell>
          <cell r="AT37">
            <v>0</v>
          </cell>
          <cell r="AV37">
            <v>0</v>
          </cell>
          <cell r="AX37">
            <v>0</v>
          </cell>
          <cell r="AZ37">
            <v>0</v>
          </cell>
          <cell r="BB37">
            <v>1194.5999999999999</v>
          </cell>
          <cell r="BD37">
            <v>17.2</v>
          </cell>
          <cell r="BF37">
            <v>1211.8</v>
          </cell>
          <cell r="BH37">
            <v>12.735775507653214</v>
          </cell>
          <cell r="BJ37">
            <v>0</v>
          </cell>
          <cell r="BN37">
            <v>0</v>
          </cell>
          <cell r="BP37">
            <v>0</v>
          </cell>
          <cell r="BR37">
            <v>1194.5999999999999</v>
          </cell>
          <cell r="BT37">
            <v>17.2</v>
          </cell>
          <cell r="BV37">
            <v>1211.8</v>
          </cell>
          <cell r="BX37">
            <v>12.735775507653214</v>
          </cell>
          <cell r="CB37">
            <v>4.2912100000000004</v>
          </cell>
          <cell r="CD37">
            <v>4.2912100000000004</v>
          </cell>
          <cell r="CG37" t="str">
            <v>NUR</v>
          </cell>
          <cell r="CO37" t="str">
            <v>NUR</v>
          </cell>
          <cell r="CP37">
            <v>1198.89121</v>
          </cell>
          <cell r="CR37">
            <v>17.2</v>
          </cell>
          <cell r="CT37">
            <v>1216.09121</v>
          </cell>
          <cell r="CV37">
            <v>12.735775507653214</v>
          </cell>
        </row>
        <row r="38">
          <cell r="B38" t="str">
            <v>PRE</v>
          </cell>
          <cell r="D38" t="str">
            <v>PREMATURE NURSERY</v>
          </cell>
          <cell r="F38" t="str">
            <v>D15</v>
          </cell>
          <cell r="H38">
            <v>0</v>
          </cell>
          <cell r="J38">
            <v>0</v>
          </cell>
          <cell r="L38">
            <v>0</v>
          </cell>
          <cell r="N38">
            <v>0</v>
          </cell>
          <cell r="O38" t="str">
            <v>PRE</v>
          </cell>
          <cell r="P38">
            <v>0</v>
          </cell>
          <cell r="R38">
            <v>0</v>
          </cell>
          <cell r="T38">
            <v>0</v>
          </cell>
          <cell r="AD38">
            <v>0</v>
          </cell>
          <cell r="AF38">
            <v>0</v>
          </cell>
          <cell r="AH38">
            <v>0</v>
          </cell>
          <cell r="AJ38">
            <v>0</v>
          </cell>
          <cell r="AL38">
            <v>0</v>
          </cell>
          <cell r="AN38">
            <v>0</v>
          </cell>
          <cell r="AP38">
            <v>0</v>
          </cell>
          <cell r="AR38">
            <v>0</v>
          </cell>
          <cell r="AT38">
            <v>0</v>
          </cell>
          <cell r="AV38">
            <v>0</v>
          </cell>
          <cell r="AX38">
            <v>0</v>
          </cell>
          <cell r="AZ38">
            <v>0</v>
          </cell>
          <cell r="BB38">
            <v>0</v>
          </cell>
          <cell r="BD38">
            <v>0</v>
          </cell>
          <cell r="BF38">
            <v>0</v>
          </cell>
          <cell r="BH38">
            <v>0</v>
          </cell>
          <cell r="BJ38">
            <v>0</v>
          </cell>
          <cell r="BN38">
            <v>0</v>
          </cell>
          <cell r="BP38">
            <v>0</v>
          </cell>
          <cell r="BR38">
            <v>0</v>
          </cell>
          <cell r="BT38">
            <v>0</v>
          </cell>
          <cell r="BV38">
            <v>0</v>
          </cell>
          <cell r="BX38">
            <v>0</v>
          </cell>
          <cell r="CB38">
            <v>0</v>
          </cell>
          <cell r="CD38">
            <v>0</v>
          </cell>
          <cell r="CG38" t="str">
            <v>PRE</v>
          </cell>
          <cell r="CO38" t="str">
            <v>PRE</v>
          </cell>
          <cell r="CP38">
            <v>0</v>
          </cell>
          <cell r="CR38">
            <v>0</v>
          </cell>
          <cell r="CT38">
            <v>0</v>
          </cell>
          <cell r="CV38">
            <v>0</v>
          </cell>
        </row>
        <row r="39">
          <cell r="B39" t="str">
            <v>ECF</v>
          </cell>
          <cell r="D39" t="str">
            <v>SKILLED NURSING CARE</v>
          </cell>
          <cell r="F39" t="str">
            <v>D16</v>
          </cell>
          <cell r="H39">
            <v>0</v>
          </cell>
          <cell r="J39">
            <v>0</v>
          </cell>
          <cell r="L39">
            <v>0</v>
          </cell>
          <cell r="N39">
            <v>0</v>
          </cell>
          <cell r="O39" t="str">
            <v>ECF</v>
          </cell>
          <cell r="P39">
            <v>0</v>
          </cell>
          <cell r="R39">
            <v>0</v>
          </cell>
          <cell r="T39">
            <v>0</v>
          </cell>
          <cell r="AD39">
            <v>0</v>
          </cell>
          <cell r="AF39">
            <v>0</v>
          </cell>
          <cell r="AH39">
            <v>0</v>
          </cell>
          <cell r="AJ39">
            <v>0</v>
          </cell>
          <cell r="AL39">
            <v>0</v>
          </cell>
          <cell r="AN39">
            <v>0</v>
          </cell>
          <cell r="AP39">
            <v>0</v>
          </cell>
          <cell r="AR39">
            <v>0</v>
          </cell>
          <cell r="AT39">
            <v>0</v>
          </cell>
          <cell r="AV39">
            <v>0</v>
          </cell>
          <cell r="AX39">
            <v>0</v>
          </cell>
          <cell r="AZ39">
            <v>0</v>
          </cell>
          <cell r="BB39">
            <v>0</v>
          </cell>
          <cell r="BD39">
            <v>0</v>
          </cell>
          <cell r="BF39">
            <v>0</v>
          </cell>
          <cell r="BH39">
            <v>0</v>
          </cell>
          <cell r="BJ39">
            <v>0</v>
          </cell>
          <cell r="BN39">
            <v>0</v>
          </cell>
          <cell r="BR39">
            <v>0</v>
          </cell>
          <cell r="BT39">
            <v>0</v>
          </cell>
          <cell r="BV39">
            <v>0</v>
          </cell>
          <cell r="BX39">
            <v>0</v>
          </cell>
          <cell r="CG39" t="str">
            <v>ECF</v>
          </cell>
          <cell r="CO39" t="str">
            <v>ECF</v>
          </cell>
          <cell r="CP39">
            <v>0</v>
          </cell>
          <cell r="CR39">
            <v>0</v>
          </cell>
          <cell r="CT39">
            <v>0</v>
          </cell>
          <cell r="CV39">
            <v>0</v>
          </cell>
        </row>
        <row r="40">
          <cell r="B40" t="str">
            <v>CHR</v>
          </cell>
          <cell r="D40" t="str">
            <v>CHRONIC CARE</v>
          </cell>
          <cell r="F40" t="str">
            <v>D17</v>
          </cell>
          <cell r="H40">
            <v>0</v>
          </cell>
          <cell r="J40">
            <v>0</v>
          </cell>
          <cell r="L40">
            <v>0</v>
          </cell>
          <cell r="N40">
            <v>0</v>
          </cell>
          <cell r="O40" t="str">
            <v>ICC</v>
          </cell>
          <cell r="P40">
            <v>0</v>
          </cell>
          <cell r="R40">
            <v>0</v>
          </cell>
          <cell r="T40">
            <v>0</v>
          </cell>
          <cell r="AD40">
            <v>0</v>
          </cell>
          <cell r="AF40">
            <v>0</v>
          </cell>
          <cell r="AH40">
            <v>0</v>
          </cell>
          <cell r="AJ40">
            <v>0</v>
          </cell>
          <cell r="AL40">
            <v>0</v>
          </cell>
          <cell r="AN40">
            <v>0</v>
          </cell>
          <cell r="AP40">
            <v>0</v>
          </cell>
          <cell r="AR40">
            <v>0</v>
          </cell>
          <cell r="AT40">
            <v>0</v>
          </cell>
          <cell r="AV40">
            <v>0</v>
          </cell>
          <cell r="AX40">
            <v>0</v>
          </cell>
          <cell r="AZ40">
            <v>0</v>
          </cell>
          <cell r="BB40">
            <v>0</v>
          </cell>
          <cell r="BD40">
            <v>0</v>
          </cell>
          <cell r="BF40">
            <v>0</v>
          </cell>
          <cell r="BH40">
            <v>0</v>
          </cell>
          <cell r="BJ40">
            <v>0</v>
          </cell>
          <cell r="BN40">
            <v>0</v>
          </cell>
          <cell r="BP40">
            <v>0</v>
          </cell>
          <cell r="BR40">
            <v>0</v>
          </cell>
          <cell r="BT40">
            <v>0</v>
          </cell>
          <cell r="BV40">
            <v>0</v>
          </cell>
          <cell r="BX40">
            <v>0</v>
          </cell>
          <cell r="CB40">
            <v>0</v>
          </cell>
          <cell r="CD40">
            <v>0</v>
          </cell>
          <cell r="CG40" t="str">
            <v>ICC</v>
          </cell>
          <cell r="CO40" t="str">
            <v>ICC</v>
          </cell>
          <cell r="CP40">
            <v>0</v>
          </cell>
          <cell r="CR40">
            <v>0</v>
          </cell>
          <cell r="CT40">
            <v>0</v>
          </cell>
          <cell r="CV40">
            <v>0</v>
          </cell>
        </row>
        <row r="41">
          <cell r="B41" t="str">
            <v>EMG</v>
          </cell>
          <cell r="D41" t="str">
            <v>EMERGENCY SERVICES</v>
          </cell>
          <cell r="F41" t="str">
            <v>D18</v>
          </cell>
          <cell r="H41">
            <v>7079413.5498396112</v>
          </cell>
          <cell r="J41">
            <v>289021.27100307803</v>
          </cell>
          <cell r="L41">
            <v>7368434.8208426889</v>
          </cell>
          <cell r="N41">
            <v>77.866268045204308</v>
          </cell>
          <cell r="O41" t="str">
            <v>EMG</v>
          </cell>
          <cell r="P41">
            <v>7079.4</v>
          </cell>
          <cell r="R41">
            <v>289</v>
          </cell>
          <cell r="T41">
            <v>7368.4</v>
          </cell>
          <cell r="AD41">
            <v>7079.4</v>
          </cell>
          <cell r="AF41">
            <v>289</v>
          </cell>
          <cell r="AH41">
            <v>7368.4</v>
          </cell>
          <cell r="AJ41">
            <v>77.866268045204308</v>
          </cell>
          <cell r="AL41">
            <v>0</v>
          </cell>
          <cell r="AN41">
            <v>0</v>
          </cell>
          <cell r="AP41">
            <v>0</v>
          </cell>
          <cell r="AR41">
            <v>0</v>
          </cell>
          <cell r="AT41">
            <v>3.1869430966034402</v>
          </cell>
          <cell r="AV41">
            <v>500.19867666519627</v>
          </cell>
          <cell r="AX41">
            <v>503.38561976179972</v>
          </cell>
          <cell r="AZ41">
            <v>9.3825285874249258E-3</v>
          </cell>
          <cell r="BB41">
            <v>7082.5869430966031</v>
          </cell>
          <cell r="BD41">
            <v>789.19867666519622</v>
          </cell>
          <cell r="BF41">
            <v>7871.7856197617994</v>
          </cell>
          <cell r="BH41">
            <v>77.875650573791731</v>
          </cell>
          <cell r="BJ41">
            <v>1571.9131435023805</v>
          </cell>
          <cell r="BN41">
            <v>1571.9131435023805</v>
          </cell>
          <cell r="BP41">
            <v>6.3981809881066534</v>
          </cell>
          <cell r="BR41">
            <v>8654.5000865989841</v>
          </cell>
          <cell r="BT41">
            <v>789.19867666519622</v>
          </cell>
          <cell r="BV41">
            <v>9443.6987632641794</v>
          </cell>
          <cell r="BX41">
            <v>84.27383156189839</v>
          </cell>
          <cell r="CB41">
            <v>28.395330000000001</v>
          </cell>
          <cell r="CD41">
            <v>28.395330000000001</v>
          </cell>
          <cell r="CG41" t="str">
            <v>EMG</v>
          </cell>
          <cell r="CO41" t="str">
            <v>EMG</v>
          </cell>
          <cell r="CP41">
            <v>8682.8954165989835</v>
          </cell>
          <cell r="CR41">
            <v>789.19867666519622</v>
          </cell>
          <cell r="CT41">
            <v>9472.0940932641788</v>
          </cell>
          <cell r="CV41">
            <v>84.27383156189839</v>
          </cell>
        </row>
        <row r="42">
          <cell r="B42" t="str">
            <v>CL</v>
          </cell>
          <cell r="D42" t="str">
            <v>CLINIC SERVICES</v>
          </cell>
          <cell r="F42" t="str">
            <v>D19</v>
          </cell>
          <cell r="H42">
            <v>4516137.5106393443</v>
          </cell>
          <cell r="J42">
            <v>368443.22588849516</v>
          </cell>
          <cell r="L42">
            <v>4884580.7365278397</v>
          </cell>
          <cell r="N42">
            <v>43.559388020658474</v>
          </cell>
          <cell r="O42" t="str">
            <v>CL</v>
          </cell>
          <cell r="P42">
            <v>4516.1000000000004</v>
          </cell>
          <cell r="R42">
            <v>368.4</v>
          </cell>
          <cell r="T42">
            <v>4884.5</v>
          </cell>
          <cell r="AD42">
            <v>4516.1000000000004</v>
          </cell>
          <cell r="AF42">
            <v>368.4</v>
          </cell>
          <cell r="AH42">
            <v>4884.5</v>
          </cell>
          <cell r="AJ42">
            <v>43.559388020658474</v>
          </cell>
          <cell r="AL42">
            <v>0</v>
          </cell>
          <cell r="AN42">
            <v>0</v>
          </cell>
          <cell r="AP42">
            <v>0</v>
          </cell>
          <cell r="AR42">
            <v>0</v>
          </cell>
          <cell r="AT42">
            <v>6.0841640935156596</v>
          </cell>
          <cell r="AV42">
            <v>954.92474636082932</v>
          </cell>
          <cell r="AX42">
            <v>961.00891045434503</v>
          </cell>
          <cell r="AZ42">
            <v>1.7912100030538496E-2</v>
          </cell>
          <cell r="BB42">
            <v>4522.1841640935163</v>
          </cell>
          <cell r="BD42">
            <v>1323.3247463608293</v>
          </cell>
          <cell r="BF42">
            <v>5845.5089104543458</v>
          </cell>
          <cell r="BH42">
            <v>43.57730012068901</v>
          </cell>
          <cell r="BJ42">
            <v>415.68891127611147</v>
          </cell>
          <cell r="BN42">
            <v>415.68891127611147</v>
          </cell>
          <cell r="BP42">
            <v>1.9195978354934726</v>
          </cell>
          <cell r="BR42">
            <v>4937.8730753696282</v>
          </cell>
          <cell r="BT42">
            <v>1323.3247463608293</v>
          </cell>
          <cell r="BV42">
            <v>6261.1978217304577</v>
          </cell>
          <cell r="BX42">
            <v>45.49689795618248</v>
          </cell>
          <cell r="CB42">
            <v>15.32978</v>
          </cell>
          <cell r="CD42">
            <v>15.32978</v>
          </cell>
          <cell r="CG42" t="str">
            <v>CL</v>
          </cell>
          <cell r="CO42" t="str">
            <v>CL</v>
          </cell>
          <cell r="CP42">
            <v>4953.2028553696282</v>
          </cell>
          <cell r="CR42">
            <v>1323.3247463608293</v>
          </cell>
          <cell r="CT42">
            <v>6276.5276017304577</v>
          </cell>
          <cell r="CV42">
            <v>45.49689795618248</v>
          </cell>
        </row>
        <row r="43">
          <cell r="B43" t="str">
            <v>PDC</v>
          </cell>
          <cell r="D43" t="str">
            <v>PSYCH DAY &amp; NIGHT</v>
          </cell>
          <cell r="F43" t="str">
            <v>D20</v>
          </cell>
          <cell r="H43">
            <v>206447.95325074942</v>
          </cell>
          <cell r="J43">
            <v>1357.1825971445019</v>
          </cell>
          <cell r="L43">
            <v>207805.13584789392</v>
          </cell>
          <cell r="N43">
            <v>2.5468235060726627</v>
          </cell>
          <cell r="O43" t="str">
            <v>PDC</v>
          </cell>
          <cell r="P43">
            <v>206.4</v>
          </cell>
          <cell r="R43">
            <v>1.4</v>
          </cell>
          <cell r="T43">
            <v>207.8</v>
          </cell>
          <cell r="AD43">
            <v>206.4</v>
          </cell>
          <cell r="AF43">
            <v>1.4</v>
          </cell>
          <cell r="AH43">
            <v>207.8</v>
          </cell>
          <cell r="AJ43">
            <v>2.5468235060726627</v>
          </cell>
          <cell r="AL43">
            <v>0</v>
          </cell>
          <cell r="AN43">
            <v>0</v>
          </cell>
          <cell r="AP43">
            <v>0</v>
          </cell>
          <cell r="AR43">
            <v>0</v>
          </cell>
          <cell r="AT43">
            <v>0</v>
          </cell>
          <cell r="AV43">
            <v>0</v>
          </cell>
          <cell r="AX43">
            <v>0</v>
          </cell>
          <cell r="AZ43">
            <v>0</v>
          </cell>
          <cell r="BB43">
            <v>206.4</v>
          </cell>
          <cell r="BD43">
            <v>1.4</v>
          </cell>
          <cell r="BF43">
            <v>207.8</v>
          </cell>
          <cell r="BH43">
            <v>2.5468235060726627</v>
          </cell>
          <cell r="BJ43">
            <v>25.908562499999999</v>
          </cell>
          <cell r="BN43">
            <v>25.908562499999999</v>
          </cell>
          <cell r="BP43">
            <v>0.15514109281437125</v>
          </cell>
          <cell r="BR43">
            <v>232.30856249999999</v>
          </cell>
          <cell r="BT43">
            <v>1.4</v>
          </cell>
          <cell r="BV43">
            <v>233.7085625</v>
          </cell>
          <cell r="BX43">
            <v>2.701964598887034</v>
          </cell>
          <cell r="CB43">
            <v>0.91039999999999999</v>
          </cell>
          <cell r="CD43">
            <v>0.91039999999999999</v>
          </cell>
          <cell r="CG43" t="str">
            <v>PDC</v>
          </cell>
          <cell r="CO43" t="str">
            <v>PDC</v>
          </cell>
          <cell r="CP43">
            <v>233.2189625</v>
          </cell>
          <cell r="CR43">
            <v>1.4</v>
          </cell>
          <cell r="CT43">
            <v>234.61896250000001</v>
          </cell>
          <cell r="CV43">
            <v>2.701964598887034</v>
          </cell>
        </row>
        <row r="44">
          <cell r="B44" t="str">
            <v>AMS</v>
          </cell>
          <cell r="D44" t="str">
            <v>AMBULATORY SURGERY (PBP)</v>
          </cell>
          <cell r="F44" t="str">
            <v>D21</v>
          </cell>
          <cell r="H44">
            <v>0</v>
          </cell>
          <cell r="L44">
            <v>0</v>
          </cell>
          <cell r="N44">
            <v>0</v>
          </cell>
          <cell r="O44" t="str">
            <v>AMS</v>
          </cell>
          <cell r="P44">
            <v>0</v>
          </cell>
          <cell r="R44">
            <v>0</v>
          </cell>
          <cell r="T44">
            <v>0</v>
          </cell>
          <cell r="AD44">
            <v>0</v>
          </cell>
          <cell r="AF44">
            <v>0</v>
          </cell>
          <cell r="AH44">
            <v>0</v>
          </cell>
          <cell r="AJ44">
            <v>0</v>
          </cell>
          <cell r="AL44">
            <v>0</v>
          </cell>
          <cell r="AN44">
            <v>0</v>
          </cell>
          <cell r="AP44">
            <v>0</v>
          </cell>
          <cell r="AR44">
            <v>0</v>
          </cell>
          <cell r="AT44">
            <v>0</v>
          </cell>
          <cell r="AV44">
            <v>0</v>
          </cell>
          <cell r="AX44">
            <v>0</v>
          </cell>
          <cell r="AZ44">
            <v>0</v>
          </cell>
          <cell r="BB44">
            <v>0</v>
          </cell>
          <cell r="BD44">
            <v>0</v>
          </cell>
          <cell r="BF44">
            <v>0</v>
          </cell>
          <cell r="BH44">
            <v>0</v>
          </cell>
          <cell r="BJ44">
            <v>0</v>
          </cell>
          <cell r="BN44">
            <v>0</v>
          </cell>
          <cell r="BP44">
            <v>0</v>
          </cell>
          <cell r="BR44">
            <v>0</v>
          </cell>
          <cell r="BT44">
            <v>0</v>
          </cell>
          <cell r="BV44">
            <v>0</v>
          </cell>
          <cell r="BX44">
            <v>0</v>
          </cell>
          <cell r="CB44">
            <v>0</v>
          </cell>
          <cell r="CD44">
            <v>0</v>
          </cell>
          <cell r="CG44" t="str">
            <v>AMS</v>
          </cell>
          <cell r="CO44" t="str">
            <v>FSC</v>
          </cell>
          <cell r="CP44">
            <v>0</v>
          </cell>
          <cell r="CR44">
            <v>0</v>
          </cell>
          <cell r="CT44">
            <v>0</v>
          </cell>
          <cell r="CV44">
            <v>0</v>
          </cell>
        </row>
        <row r="45">
          <cell r="B45" t="str">
            <v>SDS</v>
          </cell>
          <cell r="D45" t="str">
            <v>SAME DAY SURGERY</v>
          </cell>
          <cell r="F45" t="str">
            <v>D22</v>
          </cell>
          <cell r="H45">
            <v>1036822.5153078837</v>
          </cell>
          <cell r="J45">
            <v>827837.15973266331</v>
          </cell>
          <cell r="L45">
            <v>1864659.675040547</v>
          </cell>
          <cell r="N45">
            <v>11.053790619202736</v>
          </cell>
          <cell r="O45" t="str">
            <v>SDS</v>
          </cell>
          <cell r="P45">
            <v>1036.8</v>
          </cell>
          <cell r="R45">
            <v>827.8</v>
          </cell>
          <cell r="T45">
            <v>1864.6</v>
          </cell>
          <cell r="AD45">
            <v>1036.8</v>
          </cell>
          <cell r="AF45">
            <v>827.8</v>
          </cell>
          <cell r="AH45">
            <v>1864.6</v>
          </cell>
          <cell r="AJ45">
            <v>11.053790619202736</v>
          </cell>
          <cell r="AL45">
            <v>0</v>
          </cell>
          <cell r="AN45">
            <v>0</v>
          </cell>
          <cell r="AP45">
            <v>0</v>
          </cell>
          <cell r="AR45">
            <v>0</v>
          </cell>
          <cell r="AT45">
            <v>0</v>
          </cell>
          <cell r="AV45">
            <v>0</v>
          </cell>
          <cell r="AX45">
            <v>0</v>
          </cell>
          <cell r="AZ45">
            <v>0</v>
          </cell>
          <cell r="BB45">
            <v>1036.8</v>
          </cell>
          <cell r="BD45">
            <v>827.8</v>
          </cell>
          <cell r="BF45">
            <v>1864.6</v>
          </cell>
          <cell r="BH45">
            <v>11.053790619202736</v>
          </cell>
          <cell r="BJ45">
            <v>0</v>
          </cell>
          <cell r="BN45">
            <v>0</v>
          </cell>
          <cell r="BP45">
            <v>0</v>
          </cell>
          <cell r="BR45">
            <v>1036.8</v>
          </cell>
          <cell r="BT45">
            <v>827.8</v>
          </cell>
          <cell r="BV45">
            <v>1864.6</v>
          </cell>
          <cell r="BX45">
            <v>11.053790619202736</v>
          </cell>
          <cell r="CB45">
            <v>3.7244799999999998</v>
          </cell>
          <cell r="CD45">
            <v>3.7244799999999998</v>
          </cell>
          <cell r="CG45" t="str">
            <v>SDS</v>
          </cell>
          <cell r="CO45" t="str">
            <v>SDS</v>
          </cell>
          <cell r="CP45">
            <v>1040.52448</v>
          </cell>
          <cell r="CR45">
            <v>827.8</v>
          </cell>
          <cell r="CT45">
            <v>1868.32448</v>
          </cell>
          <cell r="CV45">
            <v>11.053790619202736</v>
          </cell>
        </row>
        <row r="46">
          <cell r="B46" t="str">
            <v>DEL</v>
          </cell>
          <cell r="D46" t="str">
            <v>LABOR &amp; DELIVERY</v>
          </cell>
          <cell r="F46" t="str">
            <v>D23</v>
          </cell>
          <cell r="H46">
            <v>3781374.9130327888</v>
          </cell>
          <cell r="J46">
            <v>223393.90267328231</v>
          </cell>
          <cell r="L46">
            <v>4004768.815706071</v>
          </cell>
          <cell r="N46">
            <v>35.605166638871999</v>
          </cell>
          <cell r="O46" t="str">
            <v>DEL</v>
          </cell>
          <cell r="P46">
            <v>3781.4</v>
          </cell>
          <cell r="R46">
            <v>223.4</v>
          </cell>
          <cell r="T46">
            <v>4004.8</v>
          </cell>
          <cell r="AD46">
            <v>3781.4</v>
          </cell>
          <cell r="AF46">
            <v>223.4</v>
          </cell>
          <cell r="AH46">
            <v>4004.8</v>
          </cell>
          <cell r="AJ46">
            <v>35.605166638871999</v>
          </cell>
          <cell r="AL46">
            <v>0</v>
          </cell>
          <cell r="AN46">
            <v>0</v>
          </cell>
          <cell r="AP46">
            <v>0</v>
          </cell>
          <cell r="AR46">
            <v>0</v>
          </cell>
          <cell r="AT46">
            <v>1.2313189236876929</v>
          </cell>
          <cell r="AV46">
            <v>193.25857962064401</v>
          </cell>
          <cell r="AX46">
            <v>194.48989854433171</v>
          </cell>
          <cell r="AZ46">
            <v>3.6250678633232671E-3</v>
          </cell>
          <cell r="BB46">
            <v>3782.6313189236876</v>
          </cell>
          <cell r="BD46">
            <v>416.65857962064399</v>
          </cell>
          <cell r="BF46">
            <v>4199.2898985443317</v>
          </cell>
          <cell r="BH46">
            <v>35.608791706735325</v>
          </cell>
          <cell r="BJ46">
            <v>0</v>
          </cell>
          <cell r="BN46">
            <v>0</v>
          </cell>
          <cell r="BP46">
            <v>0</v>
          </cell>
          <cell r="BR46">
            <v>3782.6313189236876</v>
          </cell>
          <cell r="BT46">
            <v>416.65857962064399</v>
          </cell>
          <cell r="BV46">
            <v>4199.2898985443317</v>
          </cell>
          <cell r="BX46">
            <v>35.608791706735325</v>
          </cell>
          <cell r="CB46">
            <v>11.99807</v>
          </cell>
          <cell r="CD46">
            <v>11.99807</v>
          </cell>
          <cell r="CG46" t="str">
            <v>DEL</v>
          </cell>
          <cell r="CO46" t="str">
            <v>DEL</v>
          </cell>
          <cell r="CP46">
            <v>3794.6293889236877</v>
          </cell>
          <cell r="CR46">
            <v>416.65857962064399</v>
          </cell>
          <cell r="CT46">
            <v>4211.2879685443313</v>
          </cell>
          <cell r="CV46">
            <v>35.608791706735325</v>
          </cell>
        </row>
        <row r="47">
          <cell r="B47" t="str">
            <v>OR</v>
          </cell>
          <cell r="D47" t="str">
            <v>OPERATING ROOM</v>
          </cell>
          <cell r="F47" t="str">
            <v>D24</v>
          </cell>
          <cell r="H47">
            <v>12598969.184747577</v>
          </cell>
          <cell r="J47">
            <v>1114737.2902705127</v>
          </cell>
          <cell r="L47">
            <v>13713706.47501809</v>
          </cell>
          <cell r="N47">
            <v>118.17592667822278</v>
          </cell>
          <cell r="O47" t="str">
            <v>OR</v>
          </cell>
          <cell r="P47">
            <v>12599</v>
          </cell>
          <cell r="R47">
            <v>1114.7</v>
          </cell>
          <cell r="T47">
            <v>13713.7</v>
          </cell>
          <cell r="AD47">
            <v>12599</v>
          </cell>
          <cell r="AF47">
            <v>1114.7</v>
          </cell>
          <cell r="AH47">
            <v>13713.7</v>
          </cell>
          <cell r="AJ47">
            <v>118.17592667822278</v>
          </cell>
          <cell r="AL47">
            <v>0</v>
          </cell>
          <cell r="AN47">
            <v>0</v>
          </cell>
          <cell r="AP47">
            <v>0</v>
          </cell>
          <cell r="AR47">
            <v>0</v>
          </cell>
          <cell r="AT47">
            <v>8.3295103661226282</v>
          </cell>
          <cell r="AV47">
            <v>1307.3374503749449</v>
          </cell>
          <cell r="AX47">
            <v>1315.6669607410674</v>
          </cell>
          <cell r="AZ47">
            <v>2.4522517898951511E-2</v>
          </cell>
          <cell r="BB47">
            <v>12607.329510366122</v>
          </cell>
          <cell r="BD47">
            <v>2422.0374503749449</v>
          </cell>
          <cell r="BF47">
            <v>15029.366960741067</v>
          </cell>
          <cell r="BH47">
            <v>118.20044919612174</v>
          </cell>
          <cell r="BJ47">
            <v>821.15759726840076</v>
          </cell>
          <cell r="BN47">
            <v>821.15759726840076</v>
          </cell>
          <cell r="BP47">
            <v>2.6576057467838683</v>
          </cell>
          <cell r="BR47">
            <v>13428.487107634523</v>
          </cell>
          <cell r="BT47">
            <v>2422.0374503749449</v>
          </cell>
          <cell r="BV47">
            <v>15850.524558009467</v>
          </cell>
          <cell r="BX47">
            <v>120.85805494290561</v>
          </cell>
          <cell r="CB47">
            <v>40.722070000000002</v>
          </cell>
          <cell r="CD47">
            <v>40.722070000000002</v>
          </cell>
          <cell r="CG47" t="str">
            <v>OR</v>
          </cell>
          <cell r="CO47" t="str">
            <v>OR</v>
          </cell>
          <cell r="CP47">
            <v>13469.209177634522</v>
          </cell>
          <cell r="CR47">
            <v>2422.0374503749449</v>
          </cell>
          <cell r="CT47">
            <v>15891.246628009467</v>
          </cell>
          <cell r="CV47">
            <v>120.85805494290561</v>
          </cell>
        </row>
        <row r="48">
          <cell r="B48" t="str">
            <v>ORC</v>
          </cell>
          <cell r="D48" t="str">
            <v>OPERATING ROOM CLINIC</v>
          </cell>
          <cell r="F48" t="str">
            <v>D24a</v>
          </cell>
          <cell r="H48">
            <v>9437.877399643472</v>
          </cell>
          <cell r="J48">
            <v>2015.3453021177916</v>
          </cell>
          <cell r="L48">
            <v>11453.222701761264</v>
          </cell>
          <cell r="N48">
            <v>0.11352586450944882</v>
          </cell>
          <cell r="O48" t="str">
            <v>ORC</v>
          </cell>
          <cell r="P48">
            <v>9.4</v>
          </cell>
          <cell r="R48">
            <v>2</v>
          </cell>
          <cell r="T48">
            <v>11.4</v>
          </cell>
          <cell r="AD48">
            <v>9.4</v>
          </cell>
          <cell r="AF48">
            <v>2</v>
          </cell>
          <cell r="AH48">
            <v>11.4</v>
          </cell>
          <cell r="AJ48">
            <v>0.11352586450944882</v>
          </cell>
          <cell r="AL48">
            <v>0</v>
          </cell>
          <cell r="AN48">
            <v>0</v>
          </cell>
          <cell r="AP48">
            <v>0</v>
          </cell>
          <cell r="AR48">
            <v>0</v>
          </cell>
          <cell r="AT48">
            <v>0</v>
          </cell>
          <cell r="AV48">
            <v>0</v>
          </cell>
          <cell r="AX48">
            <v>0</v>
          </cell>
          <cell r="AZ48">
            <v>0</v>
          </cell>
          <cell r="BB48">
            <v>9.4</v>
          </cell>
          <cell r="BD48">
            <v>2</v>
          </cell>
          <cell r="BF48">
            <v>11.4</v>
          </cell>
          <cell r="BH48">
            <v>0.11352586450944882</v>
          </cell>
          <cell r="BJ48">
            <v>0</v>
          </cell>
          <cell r="BN48">
            <v>0</v>
          </cell>
          <cell r="BP48">
            <v>0</v>
          </cell>
          <cell r="BR48">
            <v>9.4</v>
          </cell>
          <cell r="BT48">
            <v>2</v>
          </cell>
          <cell r="BV48">
            <v>11.4</v>
          </cell>
          <cell r="BX48">
            <v>0.11352586450944882</v>
          </cell>
          <cell r="CB48">
            <v>3.8249999999999999E-2</v>
          </cell>
          <cell r="CD48">
            <v>3.8249999999999999E-2</v>
          </cell>
          <cell r="CG48" t="str">
            <v>ORC</v>
          </cell>
          <cell r="CO48" t="str">
            <v>OR</v>
          </cell>
          <cell r="CP48">
            <v>9.43825</v>
          </cell>
          <cell r="CR48">
            <v>2</v>
          </cell>
          <cell r="CT48">
            <v>11.43825</v>
          </cell>
          <cell r="CV48">
            <v>0.11352586450944882</v>
          </cell>
        </row>
        <row r="49">
          <cell r="B49" t="str">
            <v>ANS</v>
          </cell>
          <cell r="D49" t="str">
            <v>ANESTHESIOLOGY</v>
          </cell>
          <cell r="F49" t="str">
            <v>D25</v>
          </cell>
          <cell r="H49">
            <v>794831.14063894982</v>
          </cell>
          <cell r="J49">
            <v>335003.34920000029</v>
          </cell>
          <cell r="L49">
            <v>1129834.4898389501</v>
          </cell>
          <cell r="N49">
            <v>11.277304347826085</v>
          </cell>
          <cell r="O49" t="str">
            <v>ANS</v>
          </cell>
          <cell r="P49">
            <v>794.8</v>
          </cell>
          <cell r="R49">
            <v>335</v>
          </cell>
          <cell r="T49">
            <v>1129.8</v>
          </cell>
          <cell r="AD49">
            <v>794.8</v>
          </cell>
          <cell r="AF49">
            <v>335</v>
          </cell>
          <cell r="AH49">
            <v>1129.8</v>
          </cell>
          <cell r="AJ49">
            <v>11.277304347826085</v>
          </cell>
          <cell r="AL49">
            <v>0</v>
          </cell>
          <cell r="AN49">
            <v>0</v>
          </cell>
          <cell r="AP49">
            <v>0</v>
          </cell>
          <cell r="AR49">
            <v>0</v>
          </cell>
          <cell r="AT49">
            <v>0.47079841199823552</v>
          </cell>
          <cell r="AV49">
            <v>73.892986325540363</v>
          </cell>
          <cell r="AX49">
            <v>74.363784737538595</v>
          </cell>
          <cell r="AZ49">
            <v>1.3860553595059549E-3</v>
          </cell>
          <cell r="BB49">
            <v>795.27079841199816</v>
          </cell>
          <cell r="BD49">
            <v>408.89298632554039</v>
          </cell>
          <cell r="BF49">
            <v>1204.1637847375387</v>
          </cell>
          <cell r="BH49">
            <v>11.278690403185591</v>
          </cell>
          <cell r="BJ49">
            <v>75.581916229677049</v>
          </cell>
          <cell r="BN49">
            <v>75.581916229677049</v>
          </cell>
          <cell r="BP49">
            <v>0.2438519639608874</v>
          </cell>
          <cell r="BR49">
            <v>870.85271464167522</v>
          </cell>
          <cell r="BT49">
            <v>408.89298632554039</v>
          </cell>
          <cell r="BV49">
            <v>1279.7457009672157</v>
          </cell>
          <cell r="BX49">
            <v>11.522542367146478</v>
          </cell>
          <cell r="CB49">
            <v>3.8824200000000002</v>
          </cell>
          <cell r="CD49">
            <v>3.8824200000000002</v>
          </cell>
          <cell r="CG49" t="str">
            <v>ANS</v>
          </cell>
          <cell r="CO49" t="str">
            <v>ANS</v>
          </cell>
          <cell r="CP49">
            <v>874.73513464167524</v>
          </cell>
          <cell r="CR49">
            <v>408.89298632554039</v>
          </cell>
          <cell r="CT49">
            <v>1283.6281209672156</v>
          </cell>
          <cell r="CV49">
            <v>11.522542367146478</v>
          </cell>
        </row>
        <row r="50">
          <cell r="B50" t="str">
            <v>MSS</v>
          </cell>
          <cell r="D50" t="str">
            <v>MEDICAL SUPPLIES SOLD</v>
          </cell>
          <cell r="F50" t="str">
            <v>D26</v>
          </cell>
          <cell r="H50">
            <v>0</v>
          </cell>
          <cell r="J50">
            <v>39859726.466053896</v>
          </cell>
          <cell r="L50">
            <v>39859726.466053896</v>
          </cell>
          <cell r="N50">
            <v>0</v>
          </cell>
          <cell r="O50" t="str">
            <v>MSS</v>
          </cell>
          <cell r="P50">
            <v>0</v>
          </cell>
          <cell r="R50">
            <v>39859.699999999997</v>
          </cell>
          <cell r="T50">
            <v>39859.699999999997</v>
          </cell>
          <cell r="AD50">
            <v>0</v>
          </cell>
          <cell r="AF50">
            <v>39859.699999999997</v>
          </cell>
          <cell r="AH50">
            <v>39859.699999999997</v>
          </cell>
          <cell r="AJ50">
            <v>0</v>
          </cell>
          <cell r="AL50">
            <v>0</v>
          </cell>
          <cell r="AN50">
            <v>0</v>
          </cell>
          <cell r="AP50">
            <v>0</v>
          </cell>
          <cell r="AR50">
            <v>0</v>
          </cell>
          <cell r="AT50">
            <v>0</v>
          </cell>
          <cell r="AV50">
            <v>0</v>
          </cell>
          <cell r="AX50">
            <v>0</v>
          </cell>
          <cell r="AZ50">
            <v>0</v>
          </cell>
          <cell r="BB50">
            <v>0</v>
          </cell>
          <cell r="BD50">
            <v>39859.699999999997</v>
          </cell>
          <cell r="BF50">
            <v>39859.699999999997</v>
          </cell>
          <cell r="BH50">
            <v>0</v>
          </cell>
          <cell r="BJ50">
            <v>0</v>
          </cell>
          <cell r="BN50">
            <v>0</v>
          </cell>
          <cell r="BR50">
            <v>0</v>
          </cell>
          <cell r="BT50">
            <v>39859.699999999997</v>
          </cell>
          <cell r="BV50">
            <v>39859.699999999997</v>
          </cell>
          <cell r="BX50">
            <v>0</v>
          </cell>
          <cell r="CD50">
            <v>0</v>
          </cell>
          <cell r="CG50" t="str">
            <v>MSS</v>
          </cell>
          <cell r="CO50" t="str">
            <v>MSS</v>
          </cell>
          <cell r="CP50">
            <v>0</v>
          </cell>
          <cell r="CR50">
            <v>39859.699999999997</v>
          </cell>
          <cell r="CT50">
            <v>39859.699999999997</v>
          </cell>
          <cell r="CV50">
            <v>0</v>
          </cell>
        </row>
        <row r="51">
          <cell r="B51" t="str">
            <v>CDS</v>
          </cell>
          <cell r="D51" t="str">
            <v>DRUGS SOLD</v>
          </cell>
          <cell r="F51" t="str">
            <v>D27</v>
          </cell>
          <cell r="H51">
            <v>0</v>
          </cell>
          <cell r="J51">
            <v>19398338.430000003</v>
          </cell>
          <cell r="L51">
            <v>19398338.430000003</v>
          </cell>
          <cell r="N51">
            <v>0</v>
          </cell>
          <cell r="O51" t="str">
            <v>CDS</v>
          </cell>
          <cell r="P51">
            <v>0</v>
          </cell>
          <cell r="R51">
            <v>19398.3</v>
          </cell>
          <cell r="T51">
            <v>19398.3</v>
          </cell>
          <cell r="AD51">
            <v>0</v>
          </cell>
          <cell r="AF51">
            <v>19398.3</v>
          </cell>
          <cell r="AH51">
            <v>19398.3</v>
          </cell>
          <cell r="AJ51">
            <v>0</v>
          </cell>
          <cell r="AL51">
            <v>0</v>
          </cell>
          <cell r="AN51">
            <v>0</v>
          </cell>
          <cell r="AP51">
            <v>0</v>
          </cell>
          <cell r="AR51">
            <v>0</v>
          </cell>
          <cell r="AT51">
            <v>0</v>
          </cell>
          <cell r="AV51">
            <v>0</v>
          </cell>
          <cell r="AX51">
            <v>0</v>
          </cell>
          <cell r="AZ51">
            <v>0</v>
          </cell>
          <cell r="BB51">
            <v>0</v>
          </cell>
          <cell r="BD51">
            <v>19398.3</v>
          </cell>
          <cell r="BF51">
            <v>19398.3</v>
          </cell>
          <cell r="BH51">
            <v>0</v>
          </cell>
          <cell r="BJ51">
            <v>0</v>
          </cell>
          <cell r="BN51">
            <v>0</v>
          </cell>
          <cell r="BR51">
            <v>0</v>
          </cell>
          <cell r="BT51">
            <v>19398.3</v>
          </cell>
          <cell r="BV51">
            <v>19398.3</v>
          </cell>
          <cell r="BX51">
            <v>0</v>
          </cell>
          <cell r="CD51">
            <v>0</v>
          </cell>
          <cell r="CG51" t="str">
            <v>CDS</v>
          </cell>
          <cell r="CO51" t="str">
            <v>CDS</v>
          </cell>
          <cell r="CP51">
            <v>0</v>
          </cell>
          <cell r="CR51">
            <v>19398.3</v>
          </cell>
          <cell r="CT51">
            <v>19398.3</v>
          </cell>
          <cell r="CV51">
            <v>0</v>
          </cell>
        </row>
        <row r="52">
          <cell r="B52" t="str">
            <v>LAB</v>
          </cell>
          <cell r="D52" t="str">
            <v>LABORATORY SERVICES</v>
          </cell>
          <cell r="F52" t="str">
            <v>D28</v>
          </cell>
          <cell r="H52">
            <v>4817373.8178668022</v>
          </cell>
          <cell r="J52">
            <v>4515041.5696472218</v>
          </cell>
          <cell r="L52">
            <v>9332415.387514025</v>
          </cell>
          <cell r="N52">
            <v>61.512599158111954</v>
          </cell>
          <cell r="O52" t="str">
            <v>LAB</v>
          </cell>
          <cell r="P52">
            <v>4817.3999999999996</v>
          </cell>
          <cell r="R52">
            <v>4515</v>
          </cell>
          <cell r="T52">
            <v>9332.4</v>
          </cell>
          <cell r="AD52">
            <v>4817.3999999999996</v>
          </cell>
          <cell r="AF52">
            <v>4515</v>
          </cell>
          <cell r="AH52">
            <v>9332.4</v>
          </cell>
          <cell r="AJ52">
            <v>61.512599158111954</v>
          </cell>
          <cell r="AL52">
            <v>0</v>
          </cell>
          <cell r="AN52">
            <v>0</v>
          </cell>
          <cell r="AP52">
            <v>0</v>
          </cell>
          <cell r="AR52">
            <v>0</v>
          </cell>
          <cell r="AT52">
            <v>6.8808998676665185</v>
          </cell>
          <cell r="AV52">
            <v>1079.9744155271283</v>
          </cell>
          <cell r="AX52">
            <v>1086.8553153947948</v>
          </cell>
          <cell r="AZ52">
            <v>2.0257732177394724E-2</v>
          </cell>
          <cell r="BB52">
            <v>4824.2808998676664</v>
          </cell>
          <cell r="BD52">
            <v>5594.9744155271283</v>
          </cell>
          <cell r="BF52">
            <v>10419.255315394796</v>
          </cell>
          <cell r="BH52">
            <v>61.532856890289345</v>
          </cell>
          <cell r="BJ52">
            <v>103.48</v>
          </cell>
          <cell r="BN52">
            <v>103.48</v>
          </cell>
          <cell r="BP52">
            <v>0.61964071856287428</v>
          </cell>
          <cell r="BR52">
            <v>4927.760899867666</v>
          </cell>
          <cell r="BT52">
            <v>5594.9744155271283</v>
          </cell>
          <cell r="BV52">
            <v>10522.735315394795</v>
          </cell>
          <cell r="BX52">
            <v>62.152497608852222</v>
          </cell>
          <cell r="CB52">
            <v>20.941739999999999</v>
          </cell>
          <cell r="CD52">
            <v>20.941739999999999</v>
          </cell>
          <cell r="CG52" t="str">
            <v>LAB</v>
          </cell>
          <cell r="CO52" t="str">
            <v>LAB</v>
          </cell>
          <cell r="CP52">
            <v>4948.7026398676662</v>
          </cell>
          <cell r="CR52">
            <v>5594.9744155271283</v>
          </cell>
          <cell r="CT52">
            <v>10543.677055394794</v>
          </cell>
          <cell r="CV52">
            <v>62.152497608852222</v>
          </cell>
        </row>
        <row r="53">
          <cell r="H53" t="str">
            <v>XXXXXXXXX</v>
          </cell>
          <cell r="J53" t="str">
            <v>XXXXXXXXX</v>
          </cell>
          <cell r="L53">
            <v>0</v>
          </cell>
          <cell r="O53">
            <v>0</v>
          </cell>
          <cell r="P53">
            <v>0</v>
          </cell>
          <cell r="R53">
            <v>0</v>
          </cell>
          <cell r="T53">
            <v>0</v>
          </cell>
          <cell r="AD53">
            <v>0</v>
          </cell>
          <cell r="AF53">
            <v>0</v>
          </cell>
          <cell r="AH53">
            <v>0</v>
          </cell>
          <cell r="AJ53">
            <v>0</v>
          </cell>
          <cell r="AL53">
            <v>0</v>
          </cell>
          <cell r="AN53">
            <v>0</v>
          </cell>
          <cell r="AP53">
            <v>0</v>
          </cell>
          <cell r="AR53">
            <v>0</v>
          </cell>
          <cell r="AT53">
            <v>0</v>
          </cell>
          <cell r="AV53">
            <v>0</v>
          </cell>
          <cell r="AX53">
            <v>0</v>
          </cell>
          <cell r="AZ53">
            <v>0</v>
          </cell>
          <cell r="BB53">
            <v>0</v>
          </cell>
          <cell r="BD53">
            <v>0</v>
          </cell>
          <cell r="BF53">
            <v>0</v>
          </cell>
          <cell r="BH53">
            <v>0</v>
          </cell>
          <cell r="BJ53">
            <v>0</v>
          </cell>
          <cell r="BN53">
            <v>0</v>
          </cell>
          <cell r="BP53">
            <v>0</v>
          </cell>
          <cell r="BR53">
            <v>0</v>
          </cell>
          <cell r="BT53">
            <v>0</v>
          </cell>
          <cell r="BV53">
            <v>0</v>
          </cell>
          <cell r="BX53">
            <v>0</v>
          </cell>
          <cell r="CD53">
            <v>0</v>
          </cell>
          <cell r="CG53">
            <v>0</v>
          </cell>
          <cell r="CO53" t="str">
            <v>BB</v>
          </cell>
          <cell r="CP53">
            <v>0</v>
          </cell>
          <cell r="CR53">
            <v>0</v>
          </cell>
          <cell r="CT53">
            <v>0</v>
          </cell>
          <cell r="CV53">
            <v>0</v>
          </cell>
        </row>
        <row r="54">
          <cell r="B54" t="str">
            <v>EKG</v>
          </cell>
          <cell r="D54" t="str">
            <v>ELECTROCARDIOLOGY</v>
          </cell>
          <cell r="F54" t="str">
            <v>D30</v>
          </cell>
          <cell r="H54">
            <v>842528.74475403584</v>
          </cell>
          <cell r="J54">
            <v>11993.029856697831</v>
          </cell>
          <cell r="L54">
            <v>854521.77461073361</v>
          </cell>
          <cell r="N54">
            <v>11.166502081835612</v>
          </cell>
          <cell r="O54" t="str">
            <v>EKG</v>
          </cell>
          <cell r="P54">
            <v>842.5</v>
          </cell>
          <cell r="R54">
            <v>12</v>
          </cell>
          <cell r="T54">
            <v>854.5</v>
          </cell>
          <cell r="AD54">
            <v>842.5</v>
          </cell>
          <cell r="AF54">
            <v>12</v>
          </cell>
          <cell r="AH54">
            <v>854.5</v>
          </cell>
          <cell r="AJ54">
            <v>11.166502081835612</v>
          </cell>
          <cell r="AL54">
            <v>0</v>
          </cell>
          <cell r="AN54">
            <v>0</v>
          </cell>
          <cell r="AP54">
            <v>0</v>
          </cell>
          <cell r="AR54">
            <v>0</v>
          </cell>
          <cell r="AT54">
            <v>0.83295103661226289</v>
          </cell>
          <cell r="AV54">
            <v>130.73374503749449</v>
          </cell>
          <cell r="AX54">
            <v>131.56669607410674</v>
          </cell>
          <cell r="AZ54">
            <v>2.4522517898951514E-3</v>
          </cell>
          <cell r="BB54">
            <v>843.33295103661226</v>
          </cell>
          <cell r="BD54">
            <v>142.73374503749449</v>
          </cell>
          <cell r="BF54">
            <v>986.06669607410674</v>
          </cell>
          <cell r="BH54">
            <v>11.168954333625507</v>
          </cell>
          <cell r="BJ54">
            <v>0</v>
          </cell>
          <cell r="BN54">
            <v>0</v>
          </cell>
          <cell r="BP54">
            <v>0</v>
          </cell>
          <cell r="BR54">
            <v>843.33295103661226</v>
          </cell>
          <cell r="BT54">
            <v>142.73374503749449</v>
          </cell>
          <cell r="BV54">
            <v>986.06669607410674</v>
          </cell>
          <cell r="BX54">
            <v>11.168954333625507</v>
          </cell>
          <cell r="CB54">
            <v>3.76328</v>
          </cell>
          <cell r="CD54">
            <v>3.76328</v>
          </cell>
          <cell r="CG54" t="str">
            <v>EKG</v>
          </cell>
          <cell r="CO54" t="str">
            <v>EKG</v>
          </cell>
          <cell r="CP54">
            <v>847.09623103661227</v>
          </cell>
          <cell r="CR54">
            <v>142.73374503749449</v>
          </cell>
          <cell r="CT54">
            <v>989.82997607410675</v>
          </cell>
          <cell r="CV54">
            <v>11.168954333625507</v>
          </cell>
        </row>
        <row r="55">
          <cell r="B55" t="str">
            <v>IRC</v>
          </cell>
          <cell r="D55" t="str">
            <v>INVASIVE RADIOLOGY/CARDIOVASCULAR</v>
          </cell>
          <cell r="F55" t="str">
            <v>D31</v>
          </cell>
          <cell r="H55">
            <v>4467359.4025463676</v>
          </cell>
          <cell r="J55">
            <v>496308.38822417153</v>
          </cell>
          <cell r="L55">
            <v>4963667.7907705391</v>
          </cell>
          <cell r="N55">
            <v>39.840175951768899</v>
          </cell>
          <cell r="O55" t="str">
            <v>IRC</v>
          </cell>
          <cell r="P55">
            <v>4467.3999999999996</v>
          </cell>
          <cell r="R55">
            <v>496.3</v>
          </cell>
          <cell r="T55">
            <v>4963.7</v>
          </cell>
          <cell r="AD55">
            <v>4467.3999999999996</v>
          </cell>
          <cell r="AF55">
            <v>496.3</v>
          </cell>
          <cell r="AH55">
            <v>4963.7</v>
          </cell>
          <cell r="AJ55">
            <v>39.840175951768899</v>
          </cell>
          <cell r="AL55">
            <v>0</v>
          </cell>
          <cell r="AN55">
            <v>0</v>
          </cell>
          <cell r="AP55">
            <v>0</v>
          </cell>
          <cell r="AR55">
            <v>0</v>
          </cell>
          <cell r="AT55">
            <v>1.9556241729157477</v>
          </cell>
          <cell r="AV55">
            <v>306.94009704455226</v>
          </cell>
          <cell r="AX55">
            <v>308.89572121746801</v>
          </cell>
          <cell r="AZ55">
            <v>5.7574607241016595E-3</v>
          </cell>
          <cell r="BB55">
            <v>4469.3556241729157</v>
          </cell>
          <cell r="BD55">
            <v>803.24009704455227</v>
          </cell>
          <cell r="BF55">
            <v>5272.5957212174681</v>
          </cell>
          <cell r="BH55">
            <v>39.845933412493004</v>
          </cell>
          <cell r="BJ55">
            <v>332.22820320737162</v>
          </cell>
          <cell r="BN55">
            <v>332.22820320737162</v>
          </cell>
          <cell r="BP55">
            <v>1.0064471469475058</v>
          </cell>
          <cell r="BR55">
            <v>4801.5838273802874</v>
          </cell>
          <cell r="BT55">
            <v>803.24009704455227</v>
          </cell>
          <cell r="BV55">
            <v>5604.8239244248398</v>
          </cell>
          <cell r="BX55">
            <v>40.852380559440512</v>
          </cell>
          <cell r="CB55">
            <v>13.764849999999999</v>
          </cell>
          <cell r="CD55">
            <v>13.764849999999999</v>
          </cell>
          <cell r="CG55" t="str">
            <v>IRC</v>
          </cell>
          <cell r="CO55" t="str">
            <v>IRC</v>
          </cell>
          <cell r="CP55">
            <v>4815.348677380287</v>
          </cell>
          <cell r="CR55">
            <v>803.24009704455227</v>
          </cell>
          <cell r="CT55">
            <v>5618.5887744248394</v>
          </cell>
          <cell r="CV55">
            <v>40.852380559440512</v>
          </cell>
        </row>
        <row r="56">
          <cell r="B56" t="str">
            <v>RAD</v>
          </cell>
          <cell r="D56" t="str">
            <v>RADIOLOGY DIAGNOSTIC</v>
          </cell>
          <cell r="F56" t="str">
            <v>D32</v>
          </cell>
          <cell r="H56">
            <v>3723684.5643729172</v>
          </cell>
          <cell r="J56">
            <v>399552.58229635027</v>
          </cell>
          <cell r="L56">
            <v>4123237.1466692677</v>
          </cell>
          <cell r="N56">
            <v>42.887770384138861</v>
          </cell>
          <cell r="O56" t="str">
            <v>RAD</v>
          </cell>
          <cell r="P56">
            <v>3723.7</v>
          </cell>
          <cell r="R56">
            <v>399.6</v>
          </cell>
          <cell r="T56">
            <v>4123.3</v>
          </cell>
          <cell r="AD56">
            <v>3723.7</v>
          </cell>
          <cell r="AF56">
            <v>399.6</v>
          </cell>
          <cell r="AH56">
            <v>4123.3</v>
          </cell>
          <cell r="AJ56">
            <v>42.887770384138861</v>
          </cell>
          <cell r="AL56">
            <v>0</v>
          </cell>
          <cell r="AN56">
            <v>0</v>
          </cell>
          <cell r="AP56">
            <v>0</v>
          </cell>
          <cell r="AR56">
            <v>0</v>
          </cell>
          <cell r="AT56">
            <v>1.7021173356859283</v>
          </cell>
          <cell r="AV56">
            <v>267.15156594618435</v>
          </cell>
          <cell r="AX56">
            <v>268.8536832818703</v>
          </cell>
          <cell r="AZ56">
            <v>5.0111232228292214E-3</v>
          </cell>
          <cell r="BB56">
            <v>3725.4021173356859</v>
          </cell>
          <cell r="BD56">
            <v>666.75156594618443</v>
          </cell>
          <cell r="BF56">
            <v>4392.1536832818701</v>
          </cell>
          <cell r="BH56">
            <v>42.89278150736169</v>
          </cell>
          <cell r="BJ56">
            <v>159.16933585170062</v>
          </cell>
          <cell r="BN56">
            <v>159.16933585170062</v>
          </cell>
          <cell r="BP56">
            <v>0.26031020403423394</v>
          </cell>
          <cell r="BR56">
            <v>3884.5714531873864</v>
          </cell>
          <cell r="BT56">
            <v>666.75156594618443</v>
          </cell>
          <cell r="BV56">
            <v>4551.3230191335706</v>
          </cell>
          <cell r="BX56">
            <v>43.153091711395923</v>
          </cell>
          <cell r="CB56">
            <v>14.54006</v>
          </cell>
          <cell r="CD56">
            <v>14.54006</v>
          </cell>
          <cell r="CG56" t="str">
            <v>RAD</v>
          </cell>
          <cell r="CO56" t="str">
            <v>RAD</v>
          </cell>
          <cell r="CP56">
            <v>3899.1115131873862</v>
          </cell>
          <cell r="CR56">
            <v>666.75156594618443</v>
          </cell>
          <cell r="CT56">
            <v>4565.8630791335709</v>
          </cell>
          <cell r="CV56">
            <v>43.153091711395923</v>
          </cell>
        </row>
        <row r="57">
          <cell r="B57" t="str">
            <v>CAT</v>
          </cell>
          <cell r="D57" t="str">
            <v>CT SCANNER</v>
          </cell>
          <cell r="F57" t="str">
            <v>D33</v>
          </cell>
          <cell r="H57">
            <v>919567.66602557711</v>
          </cell>
          <cell r="J57">
            <v>669195.31346512295</v>
          </cell>
          <cell r="L57">
            <v>1588762.9794907002</v>
          </cell>
          <cell r="N57">
            <v>9.2600372361466246</v>
          </cell>
          <cell r="O57" t="str">
            <v>CAT</v>
          </cell>
          <cell r="P57">
            <v>919.6</v>
          </cell>
          <cell r="R57">
            <v>669.2</v>
          </cell>
          <cell r="T57">
            <v>1588.8000000000002</v>
          </cell>
          <cell r="AD57">
            <v>919.6</v>
          </cell>
          <cell r="AF57">
            <v>669.2</v>
          </cell>
          <cell r="AH57">
            <v>1588.8000000000002</v>
          </cell>
          <cell r="AJ57">
            <v>9.2600372361466246</v>
          </cell>
          <cell r="AL57">
            <v>0</v>
          </cell>
          <cell r="AN57">
            <v>0</v>
          </cell>
          <cell r="AP57">
            <v>0</v>
          </cell>
          <cell r="AR57">
            <v>0</v>
          </cell>
          <cell r="AT57">
            <v>0.2172915747684164</v>
          </cell>
          <cell r="AV57">
            <v>34.104455227172473</v>
          </cell>
          <cell r="AX57">
            <v>34.32174680194089</v>
          </cell>
          <cell r="AZ57">
            <v>6.3971785823351772E-4</v>
          </cell>
          <cell r="BB57">
            <v>919.81729157476843</v>
          </cell>
          <cell r="BD57">
            <v>703.30445522717253</v>
          </cell>
          <cell r="BF57">
            <v>1623.1217468019408</v>
          </cell>
          <cell r="BH57">
            <v>9.2606769540048575</v>
          </cell>
          <cell r="BJ57">
            <v>0</v>
          </cell>
          <cell r="BN57">
            <v>0</v>
          </cell>
          <cell r="BP57">
            <v>0</v>
          </cell>
          <cell r="BR57">
            <v>919.81729157476843</v>
          </cell>
          <cell r="BT57">
            <v>703.30445522717253</v>
          </cell>
          <cell r="BV57">
            <v>1623.1217468019408</v>
          </cell>
          <cell r="BX57">
            <v>9.2606769540048575</v>
          </cell>
          <cell r="CB57">
            <v>3.1202999999999999</v>
          </cell>
          <cell r="CD57">
            <v>3.1202999999999999</v>
          </cell>
          <cell r="CG57" t="str">
            <v>CAT</v>
          </cell>
          <cell r="CO57" t="str">
            <v>CT</v>
          </cell>
          <cell r="CP57">
            <v>922.93759157476848</v>
          </cell>
          <cell r="CR57">
            <v>703.30445522717253</v>
          </cell>
          <cell r="CT57">
            <v>1626.2420468019409</v>
          </cell>
          <cell r="CV57">
            <v>9.2606769540048575</v>
          </cell>
        </row>
        <row r="58">
          <cell r="B58" t="str">
            <v>RAT</v>
          </cell>
          <cell r="D58" t="str">
            <v>RADIOLOGY THERAPEUTIC</v>
          </cell>
          <cell r="F58" t="str">
            <v>D34</v>
          </cell>
          <cell r="H58">
            <v>0</v>
          </cell>
          <cell r="J58">
            <v>3686299.9635374825</v>
          </cell>
          <cell r="L58">
            <v>3686299.9635374825</v>
          </cell>
          <cell r="N58">
            <v>0</v>
          </cell>
          <cell r="O58" t="str">
            <v>RAT</v>
          </cell>
          <cell r="P58">
            <v>0</v>
          </cell>
          <cell r="R58">
            <v>3686.3</v>
          </cell>
          <cell r="T58">
            <v>3686.3</v>
          </cell>
          <cell r="AD58">
            <v>0</v>
          </cell>
          <cell r="AF58">
            <v>3686.3</v>
          </cell>
          <cell r="AH58">
            <v>3686.3</v>
          </cell>
          <cell r="AJ58">
            <v>0</v>
          </cell>
          <cell r="AL58">
            <v>0</v>
          </cell>
          <cell r="AN58">
            <v>0</v>
          </cell>
          <cell r="AP58">
            <v>0</v>
          </cell>
          <cell r="AR58">
            <v>0</v>
          </cell>
          <cell r="AT58">
            <v>0</v>
          </cell>
          <cell r="AV58">
            <v>0</v>
          </cell>
          <cell r="AX58">
            <v>0</v>
          </cell>
          <cell r="AZ58">
            <v>0</v>
          </cell>
          <cell r="BB58">
            <v>0</v>
          </cell>
          <cell r="BD58">
            <v>3686.3</v>
          </cell>
          <cell r="BF58">
            <v>3686.3</v>
          </cell>
          <cell r="BH58">
            <v>0</v>
          </cell>
          <cell r="BJ58">
            <v>0</v>
          </cell>
          <cell r="BN58">
            <v>0</v>
          </cell>
          <cell r="BP58">
            <v>0</v>
          </cell>
          <cell r="BR58">
            <v>0</v>
          </cell>
          <cell r="BT58">
            <v>3686.3</v>
          </cell>
          <cell r="BV58">
            <v>3686.3</v>
          </cell>
          <cell r="BX58">
            <v>0</v>
          </cell>
          <cell r="CB58">
            <v>0</v>
          </cell>
          <cell r="CD58">
            <v>0</v>
          </cell>
          <cell r="CG58" t="str">
            <v>RAT</v>
          </cell>
          <cell r="CO58" t="str">
            <v>RAT</v>
          </cell>
          <cell r="CP58">
            <v>0</v>
          </cell>
          <cell r="CR58">
            <v>3686.3</v>
          </cell>
          <cell r="CT58">
            <v>3686.3</v>
          </cell>
          <cell r="CV58">
            <v>0</v>
          </cell>
        </row>
        <row r="59">
          <cell r="B59" t="str">
            <v>NUC</v>
          </cell>
          <cell r="D59" t="str">
            <v>NUCLEAR MEDICINE</v>
          </cell>
          <cell r="F59" t="str">
            <v>D35</v>
          </cell>
          <cell r="H59">
            <v>545095.80447363283</v>
          </cell>
          <cell r="J59">
            <v>1535752.0176161304</v>
          </cell>
          <cell r="L59">
            <v>2080847.8220897634</v>
          </cell>
          <cell r="N59">
            <v>6.188052376221477</v>
          </cell>
          <cell r="O59" t="str">
            <v>NUC</v>
          </cell>
          <cell r="P59">
            <v>545.1</v>
          </cell>
          <cell r="R59">
            <v>1535.8</v>
          </cell>
          <cell r="T59">
            <v>2080.9</v>
          </cell>
          <cell r="AD59">
            <v>545.1</v>
          </cell>
          <cell r="AF59">
            <v>1535.8</v>
          </cell>
          <cell r="AH59">
            <v>2080.9</v>
          </cell>
          <cell r="AJ59">
            <v>6.188052376221477</v>
          </cell>
          <cell r="AL59">
            <v>0</v>
          </cell>
          <cell r="AN59">
            <v>0</v>
          </cell>
          <cell r="AP59">
            <v>0</v>
          </cell>
          <cell r="AR59">
            <v>0</v>
          </cell>
          <cell r="AT59">
            <v>0.39836788707543003</v>
          </cell>
          <cell r="AV59">
            <v>62.524834583149534</v>
          </cell>
          <cell r="AX59">
            <v>62.923202470224965</v>
          </cell>
          <cell r="AZ59">
            <v>1.1728160734281157E-3</v>
          </cell>
          <cell r="BB59">
            <v>545.49836788707546</v>
          </cell>
          <cell r="BD59">
            <v>1598.3248345831496</v>
          </cell>
          <cell r="BF59">
            <v>2143.8232024702252</v>
          </cell>
          <cell r="BH59">
            <v>6.1892251922949049</v>
          </cell>
          <cell r="BJ59">
            <v>0</v>
          </cell>
          <cell r="BN59">
            <v>0</v>
          </cell>
          <cell r="BP59">
            <v>0</v>
          </cell>
          <cell r="BR59">
            <v>545.49836788707546</v>
          </cell>
          <cell r="BT59">
            <v>1598.3248345831496</v>
          </cell>
          <cell r="BV59">
            <v>2143.8232024702252</v>
          </cell>
          <cell r="BX59">
            <v>6.1892251922949049</v>
          </cell>
          <cell r="CB59">
            <v>2.08541</v>
          </cell>
          <cell r="CD59">
            <v>2.08541</v>
          </cell>
          <cell r="CG59" t="str">
            <v>NUC</v>
          </cell>
          <cell r="CO59" t="str">
            <v>NUC</v>
          </cell>
          <cell r="CP59">
            <v>547.58377788707548</v>
          </cell>
          <cell r="CR59">
            <v>1598.3248345831496</v>
          </cell>
          <cell r="CT59">
            <v>2145.9086124702253</v>
          </cell>
          <cell r="CV59">
            <v>6.1892251922949049</v>
          </cell>
        </row>
        <row r="60">
          <cell r="B60" t="str">
            <v>RES</v>
          </cell>
          <cell r="D60" t="str">
            <v>RESPIRATORY THERAPY</v>
          </cell>
          <cell r="F60" t="str">
            <v>D36</v>
          </cell>
          <cell r="H60">
            <v>2500813.8730860786</v>
          </cell>
          <cell r="J60">
            <v>389200.73999999993</v>
          </cell>
          <cell r="L60">
            <v>2890014.6130860783</v>
          </cell>
          <cell r="N60">
            <v>25.933089743589743</v>
          </cell>
          <cell r="O60" t="str">
            <v>RES</v>
          </cell>
          <cell r="P60">
            <v>2500.8000000000002</v>
          </cell>
          <cell r="R60">
            <v>389.2</v>
          </cell>
          <cell r="T60">
            <v>2890</v>
          </cell>
          <cell r="AD60">
            <v>2500.8000000000002</v>
          </cell>
          <cell r="AF60">
            <v>389.2</v>
          </cell>
          <cell r="AH60">
            <v>2890</v>
          </cell>
          <cell r="AJ60">
            <v>25.933089743589743</v>
          </cell>
          <cell r="AL60">
            <v>0</v>
          </cell>
          <cell r="AN60">
            <v>0</v>
          </cell>
          <cell r="AP60">
            <v>0</v>
          </cell>
          <cell r="AR60">
            <v>0</v>
          </cell>
          <cell r="AT60">
            <v>0.4345831495368328</v>
          </cell>
          <cell r="AV60">
            <v>68.208910454344945</v>
          </cell>
          <cell r="AX60">
            <v>68.64349360388178</v>
          </cell>
          <cell r="AZ60">
            <v>1.2794357164670354E-3</v>
          </cell>
          <cell r="BB60">
            <v>2501.2345831495372</v>
          </cell>
          <cell r="BD60">
            <v>457.40891045434495</v>
          </cell>
          <cell r="BF60">
            <v>2958.6434936038822</v>
          </cell>
          <cell r="BH60">
            <v>25.934369179306209</v>
          </cell>
          <cell r="BJ60">
            <v>0</v>
          </cell>
          <cell r="BN60">
            <v>0</v>
          </cell>
          <cell r="BP60">
            <v>0</v>
          </cell>
          <cell r="BR60">
            <v>2501.2345831495372</v>
          </cell>
          <cell r="BT60">
            <v>457.40891045434495</v>
          </cell>
          <cell r="BV60">
            <v>2958.6434936038822</v>
          </cell>
          <cell r="BX60">
            <v>25.934369179306209</v>
          </cell>
          <cell r="CB60">
            <v>8.7383600000000001</v>
          </cell>
          <cell r="CD60">
            <v>8.7383600000000001</v>
          </cell>
          <cell r="CG60" t="str">
            <v>RES</v>
          </cell>
          <cell r="CO60" t="str">
            <v>RES</v>
          </cell>
          <cell r="CP60">
            <v>2509.9729431495371</v>
          </cell>
          <cell r="CR60">
            <v>457.40891045434495</v>
          </cell>
          <cell r="CT60">
            <v>2967.3818536038821</v>
          </cell>
          <cell r="CV60">
            <v>25.934369179306209</v>
          </cell>
        </row>
        <row r="61">
          <cell r="B61" t="str">
            <v>PUL</v>
          </cell>
          <cell r="D61" t="str">
            <v>PULMONARY FUNCTION</v>
          </cell>
          <cell r="F61" t="str">
            <v>D37</v>
          </cell>
          <cell r="H61">
            <v>115309.26425329995</v>
          </cell>
          <cell r="J61">
            <v>11158.312835929386</v>
          </cell>
          <cell r="L61">
            <v>126467.57708922934</v>
          </cell>
          <cell r="N61">
            <v>1.3809642954551187</v>
          </cell>
          <cell r="O61" t="str">
            <v>PUL</v>
          </cell>
          <cell r="P61">
            <v>115.3</v>
          </cell>
          <cell r="R61">
            <v>11.2</v>
          </cell>
          <cell r="T61">
            <v>126.5</v>
          </cell>
          <cell r="AD61">
            <v>115.3</v>
          </cell>
          <cell r="AF61">
            <v>11.2</v>
          </cell>
          <cell r="AH61">
            <v>126.5</v>
          </cell>
          <cell r="AJ61">
            <v>1.3809642954551187</v>
          </cell>
          <cell r="AL61">
            <v>0</v>
          </cell>
          <cell r="AN61">
            <v>0</v>
          </cell>
          <cell r="AP61">
            <v>0</v>
          </cell>
          <cell r="AR61">
            <v>0</v>
          </cell>
          <cell r="AT61">
            <v>0.32593736215262453</v>
          </cell>
          <cell r="AV61">
            <v>51.156682840758705</v>
          </cell>
          <cell r="AX61">
            <v>51.482620202911328</v>
          </cell>
          <cell r="AZ61">
            <v>9.5957678735027641E-4</v>
          </cell>
          <cell r="BB61">
            <v>115.62593736215263</v>
          </cell>
          <cell r="BD61">
            <v>62.356682840758708</v>
          </cell>
          <cell r="BF61">
            <v>177.98262020291133</v>
          </cell>
          <cell r="BH61">
            <v>1.3819238722424689</v>
          </cell>
          <cell r="BJ61">
            <v>0</v>
          </cell>
          <cell r="BN61">
            <v>0</v>
          </cell>
          <cell r="BP61">
            <v>0</v>
          </cell>
          <cell r="BR61">
            <v>115.62593736215263</v>
          </cell>
          <cell r="BT61">
            <v>62.356682840758708</v>
          </cell>
          <cell r="BV61">
            <v>177.98262020291133</v>
          </cell>
          <cell r="BX61">
            <v>1.3819238722424689</v>
          </cell>
          <cell r="CB61">
            <v>0.46562999999999999</v>
          </cell>
          <cell r="CD61">
            <v>0.46562999999999999</v>
          </cell>
          <cell r="CG61" t="str">
            <v>PUL</v>
          </cell>
          <cell r="CO61" t="str">
            <v>PUL</v>
          </cell>
          <cell r="CP61">
            <v>116.09156736215263</v>
          </cell>
          <cell r="CR61">
            <v>62.356682840758708</v>
          </cell>
          <cell r="CT61">
            <v>178.44825020291134</v>
          </cell>
          <cell r="CV61">
            <v>1.3819238722424689</v>
          </cell>
        </row>
        <row r="62">
          <cell r="B62" t="str">
            <v>EEG</v>
          </cell>
          <cell r="D62" t="str">
            <v>ELECTROENCEPHALOGRAPHY</v>
          </cell>
          <cell r="F62" t="str">
            <v>D38</v>
          </cell>
          <cell r="H62">
            <v>347072.31103139039</v>
          </cell>
          <cell r="J62">
            <v>21547.01999999999</v>
          </cell>
          <cell r="L62">
            <v>368619.33103139035</v>
          </cell>
          <cell r="N62">
            <v>3.8228873425551058</v>
          </cell>
          <cell r="O62" t="str">
            <v>EEG</v>
          </cell>
          <cell r="P62">
            <v>347.1</v>
          </cell>
          <cell r="R62">
            <v>21.5</v>
          </cell>
          <cell r="T62">
            <v>368.6</v>
          </cell>
          <cell r="AD62">
            <v>347.1</v>
          </cell>
          <cell r="AF62">
            <v>21.5</v>
          </cell>
          <cell r="AH62">
            <v>368.6</v>
          </cell>
          <cell r="AJ62">
            <v>3.8228873425551058</v>
          </cell>
          <cell r="AL62">
            <v>0</v>
          </cell>
          <cell r="AN62">
            <v>0</v>
          </cell>
          <cell r="AP62">
            <v>0</v>
          </cell>
          <cell r="AR62">
            <v>0</v>
          </cell>
          <cell r="AT62">
            <v>0.47079841199823552</v>
          </cell>
          <cell r="AV62">
            <v>73.892986325540363</v>
          </cell>
          <cell r="AX62">
            <v>74.363784737538595</v>
          </cell>
          <cell r="AZ62">
            <v>1.3860553595059549E-3</v>
          </cell>
          <cell r="BB62">
            <v>347.57079841199828</v>
          </cell>
          <cell r="BD62">
            <v>95.392986325540363</v>
          </cell>
          <cell r="BF62">
            <v>442.96378473753862</v>
          </cell>
          <cell r="BH62">
            <v>3.8242733979146117</v>
          </cell>
          <cell r="BJ62">
            <v>0</v>
          </cell>
          <cell r="BN62">
            <v>0</v>
          </cell>
          <cell r="BP62">
            <v>0</v>
          </cell>
          <cell r="BR62">
            <v>347.57079841199828</v>
          </cell>
          <cell r="BT62">
            <v>95.392986325540363</v>
          </cell>
          <cell r="BV62">
            <v>442.96378473753862</v>
          </cell>
          <cell r="BX62">
            <v>3.8242733979146117</v>
          </cell>
          <cell r="CB62">
            <v>1.2885599999999999</v>
          </cell>
          <cell r="CD62">
            <v>1.2885599999999999</v>
          </cell>
          <cell r="CG62" t="str">
            <v>EEG</v>
          </cell>
          <cell r="CO62" t="str">
            <v>EEG</v>
          </cell>
          <cell r="CP62">
            <v>348.8593584119983</v>
          </cell>
          <cell r="CR62">
            <v>95.392986325540363</v>
          </cell>
          <cell r="CT62">
            <v>444.25234473753869</v>
          </cell>
          <cell r="CV62">
            <v>3.8242733979146117</v>
          </cell>
        </row>
        <row r="63">
          <cell r="B63" t="str">
            <v>PTH</v>
          </cell>
          <cell r="D63" t="str">
            <v>PHYSICAL THERAPY</v>
          </cell>
          <cell r="F63" t="str">
            <v>D39</v>
          </cell>
          <cell r="H63">
            <v>1220239.8522483653</v>
          </cell>
          <cell r="J63">
            <v>106419.72418023055</v>
          </cell>
          <cell r="L63">
            <v>1326659.5764285959</v>
          </cell>
          <cell r="N63">
            <v>12.238221153846155</v>
          </cell>
          <cell r="O63" t="str">
            <v>PTH</v>
          </cell>
          <cell r="P63">
            <v>1220.2</v>
          </cell>
          <cell r="R63">
            <v>106.4</v>
          </cell>
          <cell r="T63">
            <v>1326.6000000000001</v>
          </cell>
          <cell r="AD63">
            <v>1220.2</v>
          </cell>
          <cell r="AF63">
            <v>106.4</v>
          </cell>
          <cell r="AH63">
            <v>1326.6000000000001</v>
          </cell>
          <cell r="AJ63">
            <v>12.238221153846155</v>
          </cell>
          <cell r="AL63">
            <v>0</v>
          </cell>
          <cell r="AN63">
            <v>0</v>
          </cell>
          <cell r="AP63">
            <v>0</v>
          </cell>
          <cell r="AR63">
            <v>0</v>
          </cell>
          <cell r="AT63">
            <v>0.36215262461402736</v>
          </cell>
          <cell r="AV63">
            <v>56.840758711954123</v>
          </cell>
          <cell r="AX63">
            <v>57.20291133656815</v>
          </cell>
          <cell r="AZ63">
            <v>1.0661964303891962E-3</v>
          </cell>
          <cell r="BB63">
            <v>1220.5621526246141</v>
          </cell>
          <cell r="BD63">
            <v>163.24075871195413</v>
          </cell>
          <cell r="BF63">
            <v>1383.8029113365683</v>
          </cell>
          <cell r="BH63">
            <v>12.239287350276545</v>
          </cell>
          <cell r="BJ63">
            <v>0</v>
          </cell>
          <cell r="BN63">
            <v>0</v>
          </cell>
          <cell r="BP63">
            <v>0</v>
          </cell>
          <cell r="BR63">
            <v>1220.5621526246141</v>
          </cell>
          <cell r="BT63">
            <v>163.24075871195413</v>
          </cell>
          <cell r="BV63">
            <v>1383.8029113365683</v>
          </cell>
          <cell r="BX63">
            <v>12.239287350276545</v>
          </cell>
          <cell r="CB63">
            <v>4.12392</v>
          </cell>
          <cell r="CD63">
            <v>4.12392</v>
          </cell>
          <cell r="CG63" t="str">
            <v>PTH</v>
          </cell>
          <cell r="CO63" t="str">
            <v>PTH</v>
          </cell>
          <cell r="CP63">
            <v>1224.6860726246141</v>
          </cell>
          <cell r="CR63">
            <v>163.24075871195413</v>
          </cell>
          <cell r="CT63">
            <v>1387.9268313365683</v>
          </cell>
          <cell r="CV63">
            <v>12.239287350276545</v>
          </cell>
        </row>
        <row r="64">
          <cell r="B64" t="str">
            <v>OTH</v>
          </cell>
          <cell r="D64" t="str">
            <v>OCCUPATIONAL THERAPY</v>
          </cell>
          <cell r="F64" t="str">
            <v>D40</v>
          </cell>
          <cell r="H64">
            <v>1304208.2894824471</v>
          </cell>
          <cell r="J64">
            <v>5227.9699999999993</v>
          </cell>
          <cell r="L64">
            <v>1309436.2594824471</v>
          </cell>
          <cell r="N64">
            <v>13.937379807692308</v>
          </cell>
          <cell r="O64" t="str">
            <v>OTH</v>
          </cell>
          <cell r="P64">
            <v>1304.2</v>
          </cell>
          <cell r="R64">
            <v>5.2</v>
          </cell>
          <cell r="T64">
            <v>1309.4000000000001</v>
          </cell>
          <cell r="AD64">
            <v>1304.2</v>
          </cell>
          <cell r="AF64">
            <v>5.2</v>
          </cell>
          <cell r="AH64">
            <v>1309.4000000000001</v>
          </cell>
          <cell r="AJ64">
            <v>13.937379807692308</v>
          </cell>
          <cell r="AL64">
            <v>0</v>
          </cell>
          <cell r="AN64">
            <v>0</v>
          </cell>
          <cell r="AP64">
            <v>0</v>
          </cell>
          <cell r="AR64">
            <v>0</v>
          </cell>
          <cell r="AT64">
            <v>0.2172915747684164</v>
          </cell>
          <cell r="AV64">
            <v>34.104455227172473</v>
          </cell>
          <cell r="AX64">
            <v>34.32174680194089</v>
          </cell>
          <cell r="AZ64">
            <v>6.3971785823351772E-4</v>
          </cell>
          <cell r="BB64">
            <v>1304.4172915747686</v>
          </cell>
          <cell r="BD64">
            <v>39.304455227172475</v>
          </cell>
          <cell r="BF64">
            <v>1343.721746801941</v>
          </cell>
          <cell r="BH64">
            <v>13.938019525550541</v>
          </cell>
          <cell r="BJ64">
            <v>0</v>
          </cell>
          <cell r="BN64">
            <v>0</v>
          </cell>
          <cell r="BP64">
            <v>0</v>
          </cell>
          <cell r="BR64">
            <v>1304.4172915747686</v>
          </cell>
          <cell r="BT64">
            <v>39.304455227172475</v>
          </cell>
          <cell r="BV64">
            <v>1343.721746801941</v>
          </cell>
          <cell r="BX64">
            <v>13.938019525550541</v>
          </cell>
          <cell r="CB64">
            <v>4.6962900000000003</v>
          </cell>
          <cell r="CD64">
            <v>4.6962900000000003</v>
          </cell>
          <cell r="CG64" t="str">
            <v>OTH</v>
          </cell>
          <cell r="CO64" t="str">
            <v>OTH</v>
          </cell>
          <cell r="CP64">
            <v>1309.1135815747687</v>
          </cell>
          <cell r="CR64">
            <v>39.304455227172475</v>
          </cell>
          <cell r="CT64">
            <v>1348.4180368019411</v>
          </cell>
          <cell r="CV64">
            <v>13.938019525550541</v>
          </cell>
        </row>
        <row r="65">
          <cell r="B65" t="str">
            <v>STH</v>
          </cell>
          <cell r="D65" t="str">
            <v>SPEECH LANGUAGE PATHOLOGY</v>
          </cell>
          <cell r="F65" t="str">
            <v>D41</v>
          </cell>
          <cell r="H65">
            <v>162965.80667164596</v>
          </cell>
          <cell r="J65">
            <v>2741.9500000000003</v>
          </cell>
          <cell r="L65">
            <v>165707.75667164597</v>
          </cell>
          <cell r="N65">
            <v>1.3858173076923077</v>
          </cell>
          <cell r="O65" t="str">
            <v>STH</v>
          </cell>
          <cell r="P65">
            <v>163</v>
          </cell>
          <cell r="R65">
            <v>2.7</v>
          </cell>
          <cell r="T65">
            <v>165.7</v>
          </cell>
          <cell r="AD65">
            <v>163</v>
          </cell>
          <cell r="AF65">
            <v>2.7</v>
          </cell>
          <cell r="AH65">
            <v>165.7</v>
          </cell>
          <cell r="AJ65">
            <v>1.3858173076923077</v>
          </cell>
          <cell r="AL65">
            <v>0</v>
          </cell>
          <cell r="AN65">
            <v>0</v>
          </cell>
          <cell r="AP65">
            <v>0</v>
          </cell>
          <cell r="AR65">
            <v>0</v>
          </cell>
          <cell r="AT65">
            <v>0</v>
          </cell>
          <cell r="AV65">
            <v>0</v>
          </cell>
          <cell r="AX65">
            <v>0</v>
          </cell>
          <cell r="AZ65">
            <v>0</v>
          </cell>
          <cell r="BB65">
            <v>163</v>
          </cell>
          <cell r="BD65">
            <v>2.7</v>
          </cell>
          <cell r="BF65">
            <v>165.7</v>
          </cell>
          <cell r="BH65">
            <v>1.3858173076923077</v>
          </cell>
          <cell r="BJ65">
            <v>0</v>
          </cell>
          <cell r="BN65">
            <v>0</v>
          </cell>
          <cell r="BP65">
            <v>0</v>
          </cell>
          <cell r="BR65">
            <v>163</v>
          </cell>
          <cell r="BT65">
            <v>2.7</v>
          </cell>
          <cell r="BV65">
            <v>165.7</v>
          </cell>
          <cell r="BX65">
            <v>1.3858173076923077</v>
          </cell>
          <cell r="CB65">
            <v>0.46694000000000002</v>
          </cell>
          <cell r="CD65">
            <v>0.46694000000000002</v>
          </cell>
          <cell r="CG65" t="str">
            <v>STH</v>
          </cell>
          <cell r="CO65" t="str">
            <v>STH</v>
          </cell>
          <cell r="CP65">
            <v>163.46693999999999</v>
          </cell>
          <cell r="CR65">
            <v>2.7</v>
          </cell>
          <cell r="CT65">
            <v>166.16693999999998</v>
          </cell>
          <cell r="CV65">
            <v>1.3858173076923077</v>
          </cell>
        </row>
        <row r="66">
          <cell r="B66" t="str">
            <v>REC</v>
          </cell>
          <cell r="D66" t="str">
            <v>RECREATIONAL THERAPY</v>
          </cell>
          <cell r="F66" t="str">
            <v>D42</v>
          </cell>
          <cell r="H66">
            <v>0</v>
          </cell>
          <cell r="J66">
            <v>0</v>
          </cell>
          <cell r="L66">
            <v>0</v>
          </cell>
          <cell r="N66">
            <v>0</v>
          </cell>
          <cell r="O66" t="str">
            <v>REC</v>
          </cell>
          <cell r="P66">
            <v>0</v>
          </cell>
          <cell r="R66">
            <v>0</v>
          </cell>
          <cell r="T66">
            <v>0</v>
          </cell>
          <cell r="AD66">
            <v>0</v>
          </cell>
          <cell r="AF66">
            <v>0</v>
          </cell>
          <cell r="AH66">
            <v>0</v>
          </cell>
          <cell r="AJ66">
            <v>0</v>
          </cell>
          <cell r="AL66">
            <v>0</v>
          </cell>
          <cell r="AN66">
            <v>0</v>
          </cell>
          <cell r="AP66">
            <v>0</v>
          </cell>
          <cell r="AR66">
            <v>0</v>
          </cell>
          <cell r="AT66">
            <v>0</v>
          </cell>
          <cell r="AV66">
            <v>0</v>
          </cell>
          <cell r="AX66">
            <v>0</v>
          </cell>
          <cell r="AZ66">
            <v>0</v>
          </cell>
          <cell r="BB66">
            <v>0</v>
          </cell>
          <cell r="BD66">
            <v>0</v>
          </cell>
          <cell r="BF66">
            <v>0</v>
          </cell>
          <cell r="BH66">
            <v>0</v>
          </cell>
          <cell r="BJ66">
            <v>0</v>
          </cell>
          <cell r="BN66">
            <v>0</v>
          </cell>
          <cell r="BP66">
            <v>0</v>
          </cell>
          <cell r="BR66">
            <v>0</v>
          </cell>
          <cell r="BT66">
            <v>0</v>
          </cell>
          <cell r="BV66">
            <v>0</v>
          </cell>
          <cell r="BX66">
            <v>0</v>
          </cell>
          <cell r="CB66">
            <v>0</v>
          </cell>
          <cell r="CD66">
            <v>0</v>
          </cell>
          <cell r="CG66" t="str">
            <v>REC</v>
          </cell>
          <cell r="CO66" t="str">
            <v>REC</v>
          </cell>
          <cell r="CP66">
            <v>0</v>
          </cell>
          <cell r="CR66">
            <v>0</v>
          </cell>
          <cell r="CT66">
            <v>0</v>
          </cell>
          <cell r="CV66">
            <v>0</v>
          </cell>
        </row>
        <row r="67">
          <cell r="B67" t="str">
            <v>AUD</v>
          </cell>
          <cell r="D67" t="str">
            <v>AUDIOLOGY</v>
          </cell>
          <cell r="F67" t="str">
            <v>D43</v>
          </cell>
          <cell r="H67">
            <v>0</v>
          </cell>
          <cell r="J67">
            <v>100500</v>
          </cell>
          <cell r="L67">
            <v>100500</v>
          </cell>
          <cell r="N67">
            <v>0</v>
          </cell>
          <cell r="O67" t="str">
            <v>AUD</v>
          </cell>
          <cell r="P67">
            <v>0</v>
          </cell>
          <cell r="R67">
            <v>100.5</v>
          </cell>
          <cell r="T67">
            <v>100.5</v>
          </cell>
          <cell r="AD67">
            <v>0</v>
          </cell>
          <cell r="AF67">
            <v>100.5</v>
          </cell>
          <cell r="AH67">
            <v>100.5</v>
          </cell>
          <cell r="AJ67">
            <v>0</v>
          </cell>
          <cell r="AL67">
            <v>0</v>
          </cell>
          <cell r="AN67">
            <v>0</v>
          </cell>
          <cell r="AP67">
            <v>0</v>
          </cell>
          <cell r="AR67">
            <v>0</v>
          </cell>
          <cell r="AT67">
            <v>0</v>
          </cell>
          <cell r="AV67">
            <v>0</v>
          </cell>
          <cell r="AX67">
            <v>0</v>
          </cell>
          <cell r="AZ67">
            <v>0</v>
          </cell>
          <cell r="BB67">
            <v>0</v>
          </cell>
          <cell r="BD67">
            <v>100.5</v>
          </cell>
          <cell r="BF67">
            <v>100.5</v>
          </cell>
          <cell r="BH67">
            <v>0</v>
          </cell>
          <cell r="BJ67">
            <v>0</v>
          </cell>
          <cell r="BN67">
            <v>0</v>
          </cell>
          <cell r="BP67">
            <v>0</v>
          </cell>
          <cell r="BR67">
            <v>0</v>
          </cell>
          <cell r="BT67">
            <v>100.5</v>
          </cell>
          <cell r="BV67">
            <v>100.5</v>
          </cell>
          <cell r="BX67">
            <v>0</v>
          </cell>
          <cell r="CB67">
            <v>0</v>
          </cell>
          <cell r="CD67">
            <v>0</v>
          </cell>
          <cell r="CG67" t="str">
            <v>AUD</v>
          </cell>
          <cell r="CO67" t="str">
            <v>AUD</v>
          </cell>
          <cell r="CP67">
            <v>0</v>
          </cell>
          <cell r="CR67">
            <v>100.5</v>
          </cell>
          <cell r="CT67">
            <v>100.5</v>
          </cell>
          <cell r="CV67">
            <v>0</v>
          </cell>
        </row>
        <row r="68">
          <cell r="B68" t="str">
            <v>OPM</v>
          </cell>
          <cell r="D68" t="str">
            <v>OTHER PHYSICAL MEDICINE</v>
          </cell>
          <cell r="F68" t="str">
            <v>D44</v>
          </cell>
          <cell r="H68">
            <v>0</v>
          </cell>
          <cell r="J68">
            <v>0</v>
          </cell>
          <cell r="L68">
            <v>0</v>
          </cell>
          <cell r="N68">
            <v>0</v>
          </cell>
          <cell r="O68" t="str">
            <v>OPM</v>
          </cell>
          <cell r="P68">
            <v>0</v>
          </cell>
          <cell r="R68">
            <v>0</v>
          </cell>
          <cell r="T68">
            <v>0</v>
          </cell>
          <cell r="AD68">
            <v>0</v>
          </cell>
          <cell r="AF68">
            <v>0</v>
          </cell>
          <cell r="AH68">
            <v>0</v>
          </cell>
          <cell r="AJ68">
            <v>0</v>
          </cell>
          <cell r="AL68">
            <v>0</v>
          </cell>
          <cell r="AN68">
            <v>0</v>
          </cell>
          <cell r="AP68">
            <v>0</v>
          </cell>
          <cell r="AR68">
            <v>0</v>
          </cell>
          <cell r="AT68">
            <v>0</v>
          </cell>
          <cell r="AV68">
            <v>0</v>
          </cell>
          <cell r="AX68">
            <v>0</v>
          </cell>
          <cell r="AZ68">
            <v>0</v>
          </cell>
          <cell r="BB68">
            <v>0</v>
          </cell>
          <cell r="BD68">
            <v>0</v>
          </cell>
          <cell r="BF68">
            <v>0</v>
          </cell>
          <cell r="BH68">
            <v>0</v>
          </cell>
          <cell r="BJ68">
            <v>0</v>
          </cell>
          <cell r="BN68">
            <v>0</v>
          </cell>
          <cell r="BP68">
            <v>0</v>
          </cell>
          <cell r="BR68">
            <v>0</v>
          </cell>
          <cell r="BT68">
            <v>0</v>
          </cell>
          <cell r="BV68">
            <v>0</v>
          </cell>
          <cell r="BX68">
            <v>0</v>
          </cell>
          <cell r="CB68">
            <v>0</v>
          </cell>
          <cell r="CD68">
            <v>0</v>
          </cell>
          <cell r="CG68" t="str">
            <v>OPM</v>
          </cell>
          <cell r="CO68" t="str">
            <v>OPM</v>
          </cell>
          <cell r="CP68">
            <v>0</v>
          </cell>
          <cell r="CR68">
            <v>0</v>
          </cell>
          <cell r="CT68">
            <v>0</v>
          </cell>
          <cell r="CV68">
            <v>0</v>
          </cell>
        </row>
        <row r="69">
          <cell r="B69" t="str">
            <v>RDL</v>
          </cell>
          <cell r="D69" t="str">
            <v>RENAL DIALYSIS</v>
          </cell>
          <cell r="F69" t="str">
            <v>D45</v>
          </cell>
          <cell r="H69">
            <v>0</v>
          </cell>
          <cell r="J69">
            <v>0</v>
          </cell>
          <cell r="L69">
            <v>0</v>
          </cell>
          <cell r="N69">
            <v>0</v>
          </cell>
          <cell r="O69" t="str">
            <v>RDL</v>
          </cell>
          <cell r="P69">
            <v>0</v>
          </cell>
          <cell r="R69">
            <v>0</v>
          </cell>
          <cell r="T69">
            <v>0</v>
          </cell>
          <cell r="AD69">
            <v>0</v>
          </cell>
          <cell r="AF69">
            <v>0</v>
          </cell>
          <cell r="AH69">
            <v>0</v>
          </cell>
          <cell r="AJ69">
            <v>0</v>
          </cell>
          <cell r="AL69">
            <v>0</v>
          </cell>
          <cell r="AN69">
            <v>0</v>
          </cell>
          <cell r="AP69">
            <v>0</v>
          </cell>
          <cell r="AR69">
            <v>0</v>
          </cell>
          <cell r="AT69">
            <v>0</v>
          </cell>
          <cell r="AV69">
            <v>0</v>
          </cell>
          <cell r="AX69">
            <v>0</v>
          </cell>
          <cell r="AZ69">
            <v>0</v>
          </cell>
          <cell r="BB69">
            <v>0</v>
          </cell>
          <cell r="BD69">
            <v>0</v>
          </cell>
          <cell r="BF69">
            <v>0</v>
          </cell>
          <cell r="BH69">
            <v>0</v>
          </cell>
          <cell r="BJ69">
            <v>0</v>
          </cell>
          <cell r="BN69">
            <v>0</v>
          </cell>
          <cell r="BP69">
            <v>0</v>
          </cell>
          <cell r="BR69">
            <v>0</v>
          </cell>
          <cell r="BT69">
            <v>0</v>
          </cell>
          <cell r="BV69">
            <v>0</v>
          </cell>
          <cell r="BX69">
            <v>0</v>
          </cell>
          <cell r="CB69">
            <v>0</v>
          </cell>
          <cell r="CD69">
            <v>0</v>
          </cell>
          <cell r="CG69" t="str">
            <v>RDL</v>
          </cell>
          <cell r="CO69" t="str">
            <v>RDL</v>
          </cell>
          <cell r="CP69">
            <v>0</v>
          </cell>
          <cell r="CR69">
            <v>0</v>
          </cell>
          <cell r="CT69">
            <v>0</v>
          </cell>
          <cell r="CV69">
            <v>0</v>
          </cell>
        </row>
        <row r="70">
          <cell r="B70" t="str">
            <v>OA</v>
          </cell>
          <cell r="D70" t="str">
            <v>ORGAN ACQUISITION</v>
          </cell>
          <cell r="F70" t="str">
            <v>D46</v>
          </cell>
          <cell r="H70">
            <v>0</v>
          </cell>
          <cell r="J70">
            <v>0</v>
          </cell>
          <cell r="L70">
            <v>0</v>
          </cell>
          <cell r="N70">
            <v>0</v>
          </cell>
          <cell r="O70" t="str">
            <v>OA</v>
          </cell>
          <cell r="P70">
            <v>0</v>
          </cell>
          <cell r="R70">
            <v>0</v>
          </cell>
          <cell r="T70">
            <v>0</v>
          </cell>
          <cell r="AD70">
            <v>0</v>
          </cell>
          <cell r="AF70">
            <v>0</v>
          </cell>
          <cell r="AH70">
            <v>0</v>
          </cell>
          <cell r="AJ70">
            <v>0</v>
          </cell>
          <cell r="AL70">
            <v>0</v>
          </cell>
          <cell r="AN70">
            <v>0</v>
          </cell>
          <cell r="AP70">
            <v>0</v>
          </cell>
          <cell r="AR70">
            <v>0</v>
          </cell>
          <cell r="AT70">
            <v>0</v>
          </cell>
          <cell r="AV70">
            <v>0</v>
          </cell>
          <cell r="AX70">
            <v>0</v>
          </cell>
          <cell r="AZ70">
            <v>0</v>
          </cell>
          <cell r="BB70">
            <v>0</v>
          </cell>
          <cell r="BD70">
            <v>0</v>
          </cell>
          <cell r="BF70">
            <v>0</v>
          </cell>
          <cell r="BH70">
            <v>0</v>
          </cell>
          <cell r="BJ70">
            <v>0</v>
          </cell>
          <cell r="BN70">
            <v>0</v>
          </cell>
          <cell r="BP70">
            <v>0</v>
          </cell>
          <cell r="BR70">
            <v>0</v>
          </cell>
          <cell r="BT70">
            <v>0</v>
          </cell>
          <cell r="BV70">
            <v>0</v>
          </cell>
          <cell r="BX70">
            <v>0</v>
          </cell>
          <cell r="CB70">
            <v>0</v>
          </cell>
          <cell r="CD70">
            <v>0</v>
          </cell>
          <cell r="CG70" t="str">
            <v>OA</v>
          </cell>
          <cell r="CO70" t="str">
            <v>OA</v>
          </cell>
          <cell r="CP70">
            <v>0</v>
          </cell>
          <cell r="CR70">
            <v>0</v>
          </cell>
          <cell r="CT70">
            <v>0</v>
          </cell>
          <cell r="CV70">
            <v>0</v>
          </cell>
        </row>
        <row r="71">
          <cell r="B71" t="str">
            <v>AOR</v>
          </cell>
          <cell r="D71" t="str">
            <v>AMBULATORY SURGERY SVCS</v>
          </cell>
          <cell r="F71" t="str">
            <v>D47</v>
          </cell>
          <cell r="H71">
            <v>0</v>
          </cell>
          <cell r="J71">
            <v>0</v>
          </cell>
          <cell r="L71">
            <v>0</v>
          </cell>
          <cell r="N71">
            <v>0</v>
          </cell>
          <cell r="O71" t="str">
            <v>AOR</v>
          </cell>
          <cell r="P71">
            <v>0</v>
          </cell>
          <cell r="R71">
            <v>0</v>
          </cell>
          <cell r="T71">
            <v>0</v>
          </cell>
          <cell r="AD71">
            <v>0</v>
          </cell>
          <cell r="AF71">
            <v>0</v>
          </cell>
          <cell r="AH71">
            <v>0</v>
          </cell>
          <cell r="AJ71">
            <v>0</v>
          </cell>
          <cell r="AL71">
            <v>0</v>
          </cell>
          <cell r="AN71">
            <v>0</v>
          </cell>
          <cell r="AP71">
            <v>0</v>
          </cell>
          <cell r="AR71">
            <v>0</v>
          </cell>
          <cell r="AT71">
            <v>0</v>
          </cell>
          <cell r="AV71">
            <v>0</v>
          </cell>
          <cell r="AX71">
            <v>0</v>
          </cell>
          <cell r="AZ71">
            <v>0</v>
          </cell>
          <cell r="BB71">
            <v>0</v>
          </cell>
          <cell r="BD71">
            <v>0</v>
          </cell>
          <cell r="BF71">
            <v>0</v>
          </cell>
          <cell r="BH71">
            <v>0</v>
          </cell>
          <cell r="BJ71">
            <v>0</v>
          </cell>
          <cell r="BN71">
            <v>0</v>
          </cell>
          <cell r="BP71">
            <v>0</v>
          </cell>
          <cell r="BR71">
            <v>0</v>
          </cell>
          <cell r="BT71">
            <v>0</v>
          </cell>
          <cell r="BV71">
            <v>0</v>
          </cell>
          <cell r="BX71">
            <v>0</v>
          </cell>
          <cell r="CB71">
            <v>0</v>
          </cell>
          <cell r="CD71">
            <v>0</v>
          </cell>
          <cell r="CG71" t="str">
            <v>AOR</v>
          </cell>
          <cell r="CO71" t="str">
            <v>AOR</v>
          </cell>
          <cell r="CP71">
            <v>0</v>
          </cell>
          <cell r="CR71">
            <v>0</v>
          </cell>
          <cell r="CT71">
            <v>0</v>
          </cell>
          <cell r="CV71">
            <v>0</v>
          </cell>
        </row>
        <row r="72">
          <cell r="B72" t="str">
            <v>LEU</v>
          </cell>
          <cell r="D72" t="str">
            <v>LEUKOPHERESIS</v>
          </cell>
          <cell r="F72" t="str">
            <v>D48</v>
          </cell>
          <cell r="H72">
            <v>0</v>
          </cell>
          <cell r="J72">
            <v>0</v>
          </cell>
          <cell r="L72">
            <v>0</v>
          </cell>
          <cell r="N72">
            <v>0</v>
          </cell>
          <cell r="O72" t="str">
            <v>LEU</v>
          </cell>
          <cell r="P72">
            <v>0</v>
          </cell>
          <cell r="R72">
            <v>0</v>
          </cell>
          <cell r="T72">
            <v>0</v>
          </cell>
          <cell r="AD72">
            <v>0</v>
          </cell>
          <cell r="AF72">
            <v>0</v>
          </cell>
          <cell r="AH72">
            <v>0</v>
          </cell>
          <cell r="AJ72">
            <v>0</v>
          </cell>
          <cell r="AL72">
            <v>0</v>
          </cell>
          <cell r="AN72">
            <v>0</v>
          </cell>
          <cell r="AP72">
            <v>0</v>
          </cell>
          <cell r="AR72">
            <v>0</v>
          </cell>
          <cell r="AT72">
            <v>0</v>
          </cell>
          <cell r="AV72">
            <v>0</v>
          </cell>
          <cell r="AX72">
            <v>0</v>
          </cell>
          <cell r="AZ72">
            <v>0</v>
          </cell>
          <cell r="BB72">
            <v>0</v>
          </cell>
          <cell r="BD72">
            <v>0</v>
          </cell>
          <cell r="BF72">
            <v>0</v>
          </cell>
          <cell r="BH72">
            <v>0</v>
          </cell>
          <cell r="BJ72">
            <v>0</v>
          </cell>
          <cell r="BN72">
            <v>0</v>
          </cell>
          <cell r="BP72">
            <v>0</v>
          </cell>
          <cell r="BR72">
            <v>0</v>
          </cell>
          <cell r="BT72">
            <v>0</v>
          </cell>
          <cell r="BV72">
            <v>0</v>
          </cell>
          <cell r="BX72">
            <v>0</v>
          </cell>
          <cell r="CB72">
            <v>0</v>
          </cell>
          <cell r="CD72">
            <v>0</v>
          </cell>
          <cell r="CG72" t="str">
            <v>LEU</v>
          </cell>
          <cell r="CO72" t="str">
            <v>LEU</v>
          </cell>
          <cell r="CP72">
            <v>0</v>
          </cell>
          <cell r="CR72">
            <v>0</v>
          </cell>
          <cell r="CT72">
            <v>0</v>
          </cell>
          <cell r="CV72">
            <v>0</v>
          </cell>
        </row>
        <row r="73">
          <cell r="B73" t="str">
            <v>HYP</v>
          </cell>
          <cell r="D73" t="str">
            <v>HYPERBARIC CHAMBER</v>
          </cell>
          <cell r="F73" t="str">
            <v>D49</v>
          </cell>
          <cell r="H73">
            <v>0</v>
          </cell>
          <cell r="J73">
            <v>0</v>
          </cell>
          <cell r="L73">
            <v>0</v>
          </cell>
          <cell r="N73">
            <v>0</v>
          </cell>
          <cell r="O73" t="str">
            <v>HYP</v>
          </cell>
          <cell r="P73">
            <v>0</v>
          </cell>
          <cell r="R73">
            <v>0</v>
          </cell>
          <cell r="T73">
            <v>0</v>
          </cell>
          <cell r="AD73">
            <v>0</v>
          </cell>
          <cell r="AF73">
            <v>0</v>
          </cell>
          <cell r="AH73">
            <v>0</v>
          </cell>
          <cell r="AJ73">
            <v>0</v>
          </cell>
          <cell r="AL73">
            <v>0</v>
          </cell>
          <cell r="AN73">
            <v>0</v>
          </cell>
          <cell r="AP73">
            <v>0</v>
          </cell>
          <cell r="AR73">
            <v>0</v>
          </cell>
          <cell r="AT73">
            <v>0</v>
          </cell>
          <cell r="AV73">
            <v>0</v>
          </cell>
          <cell r="AX73">
            <v>0</v>
          </cell>
          <cell r="AZ73">
            <v>0</v>
          </cell>
          <cell r="BB73">
            <v>0</v>
          </cell>
          <cell r="BD73">
            <v>0</v>
          </cell>
          <cell r="BF73">
            <v>0</v>
          </cell>
          <cell r="BH73">
            <v>0</v>
          </cell>
          <cell r="BJ73">
            <v>0</v>
          </cell>
          <cell r="BN73">
            <v>0</v>
          </cell>
          <cell r="BP73">
            <v>0</v>
          </cell>
          <cell r="BR73">
            <v>0</v>
          </cell>
          <cell r="BT73">
            <v>0</v>
          </cell>
          <cell r="BV73">
            <v>0</v>
          </cell>
          <cell r="BX73">
            <v>0</v>
          </cell>
          <cell r="CB73">
            <v>0</v>
          </cell>
          <cell r="CD73">
            <v>0</v>
          </cell>
          <cell r="CG73" t="str">
            <v>HYP</v>
          </cell>
          <cell r="CO73" t="str">
            <v>HYP</v>
          </cell>
          <cell r="CP73">
            <v>0</v>
          </cell>
          <cell r="CR73">
            <v>0</v>
          </cell>
          <cell r="CT73">
            <v>0</v>
          </cell>
          <cell r="CV73">
            <v>0</v>
          </cell>
        </row>
        <row r="74">
          <cell r="B74" t="str">
            <v>FSE</v>
          </cell>
          <cell r="D74" t="str">
            <v>FREE STANDING EMERGENCY</v>
          </cell>
          <cell r="F74" t="str">
            <v>D50</v>
          </cell>
          <cell r="H74">
            <v>0</v>
          </cell>
          <cell r="J74">
            <v>0</v>
          </cell>
          <cell r="L74">
            <v>0</v>
          </cell>
          <cell r="N74">
            <v>0</v>
          </cell>
          <cell r="O74" t="str">
            <v>FSE</v>
          </cell>
          <cell r="P74">
            <v>0</v>
          </cell>
          <cell r="R74">
            <v>0</v>
          </cell>
          <cell r="T74">
            <v>0</v>
          </cell>
          <cell r="AD74">
            <v>0</v>
          </cell>
          <cell r="AF74">
            <v>0</v>
          </cell>
          <cell r="AH74">
            <v>0</v>
          </cell>
          <cell r="AJ74">
            <v>0</v>
          </cell>
          <cell r="AL74">
            <v>0</v>
          </cell>
          <cell r="AN74">
            <v>0</v>
          </cell>
          <cell r="AP74">
            <v>0</v>
          </cell>
          <cell r="AR74">
            <v>0</v>
          </cell>
          <cell r="AT74">
            <v>0</v>
          </cell>
          <cell r="AV74">
            <v>0</v>
          </cell>
          <cell r="AX74">
            <v>0</v>
          </cell>
          <cell r="AZ74">
            <v>0</v>
          </cell>
          <cell r="BB74">
            <v>0</v>
          </cell>
          <cell r="BD74">
            <v>0</v>
          </cell>
          <cell r="BF74">
            <v>0</v>
          </cell>
          <cell r="BH74">
            <v>0</v>
          </cell>
          <cell r="BJ74">
            <v>0</v>
          </cell>
          <cell r="BN74">
            <v>0</v>
          </cell>
          <cell r="BP74">
            <v>0</v>
          </cell>
          <cell r="BR74">
            <v>0</v>
          </cell>
          <cell r="BT74">
            <v>0</v>
          </cell>
          <cell r="BV74">
            <v>0</v>
          </cell>
          <cell r="BX74">
            <v>0</v>
          </cell>
          <cell r="CB74">
            <v>0</v>
          </cell>
          <cell r="CD74">
            <v>0</v>
          </cell>
          <cell r="CG74" t="str">
            <v>FSE</v>
          </cell>
          <cell r="CO74" t="str">
            <v>FSE</v>
          </cell>
          <cell r="CP74">
            <v>0</v>
          </cell>
          <cell r="CR74">
            <v>0</v>
          </cell>
          <cell r="CT74">
            <v>0</v>
          </cell>
          <cell r="CV74">
            <v>0</v>
          </cell>
        </row>
        <row r="75">
          <cell r="B75" t="str">
            <v>MRI</v>
          </cell>
          <cell r="D75" t="str">
            <v>MAGNETIC RESONANCE IMAGING</v>
          </cell>
          <cell r="F75" t="str">
            <v>D51</v>
          </cell>
          <cell r="H75">
            <v>13458.13616812508</v>
          </cell>
          <cell r="J75">
            <v>790413.03073018207</v>
          </cell>
          <cell r="L75">
            <v>803871.16689830716</v>
          </cell>
          <cell r="N75">
            <v>0.41601918294015816</v>
          </cell>
          <cell r="O75" t="str">
            <v>MRI</v>
          </cell>
          <cell r="P75">
            <v>13.5</v>
          </cell>
          <cell r="R75">
            <v>790.4</v>
          </cell>
          <cell r="T75">
            <v>803.9</v>
          </cell>
          <cell r="AD75">
            <v>13.5</v>
          </cell>
          <cell r="AF75">
            <v>790.4</v>
          </cell>
          <cell r="AH75">
            <v>803.9</v>
          </cell>
          <cell r="AJ75">
            <v>0.41601918294015816</v>
          </cell>
          <cell r="AL75">
            <v>0</v>
          </cell>
          <cell r="AN75">
            <v>0</v>
          </cell>
          <cell r="AP75">
            <v>0</v>
          </cell>
          <cell r="AR75">
            <v>0</v>
          </cell>
          <cell r="AT75">
            <v>0</v>
          </cell>
          <cell r="AV75">
            <v>0</v>
          </cell>
          <cell r="AX75">
            <v>0</v>
          </cell>
          <cell r="AZ75">
            <v>0</v>
          </cell>
          <cell r="BB75">
            <v>13.5</v>
          </cell>
          <cell r="BD75">
            <v>790.4</v>
          </cell>
          <cell r="BF75">
            <v>803.9</v>
          </cell>
          <cell r="BH75">
            <v>0.41601918294015816</v>
          </cell>
          <cell r="BJ75">
            <v>0</v>
          </cell>
          <cell r="BN75">
            <v>0</v>
          </cell>
          <cell r="BP75">
            <v>0</v>
          </cell>
          <cell r="BR75">
            <v>13.5</v>
          </cell>
          <cell r="BT75">
            <v>790.4</v>
          </cell>
          <cell r="BV75">
            <v>803.9</v>
          </cell>
          <cell r="BX75">
            <v>0.41601918294015816</v>
          </cell>
          <cell r="CB75">
            <v>0.14016999999999999</v>
          </cell>
          <cell r="CD75">
            <v>0.14016999999999999</v>
          </cell>
          <cell r="CG75" t="str">
            <v>MRI</v>
          </cell>
          <cell r="CO75" t="str">
            <v>MRI</v>
          </cell>
          <cell r="CP75">
            <v>13.640169999999999</v>
          </cell>
          <cell r="CR75">
            <v>790.4</v>
          </cell>
          <cell r="CT75">
            <v>804.04016999999999</v>
          </cell>
          <cell r="CV75">
            <v>0.41601918294015816</v>
          </cell>
        </row>
        <row r="76">
          <cell r="B76" t="str">
            <v>ADD</v>
          </cell>
          <cell r="D76" t="str">
            <v>ADOLESCENT DUAL DIAGNOSED</v>
          </cell>
          <cell r="F76" t="str">
            <v>D52</v>
          </cell>
          <cell r="H76">
            <v>0</v>
          </cell>
          <cell r="J76">
            <v>0</v>
          </cell>
          <cell r="L76">
            <v>0</v>
          </cell>
          <cell r="N76">
            <v>0</v>
          </cell>
          <cell r="O76" t="str">
            <v>ADD</v>
          </cell>
          <cell r="P76">
            <v>0</v>
          </cell>
          <cell r="R76">
            <v>0</v>
          </cell>
          <cell r="T76">
            <v>0</v>
          </cell>
          <cell r="AD76">
            <v>0</v>
          </cell>
          <cell r="AF76">
            <v>0</v>
          </cell>
          <cell r="AH76">
            <v>0</v>
          </cell>
          <cell r="AJ76">
            <v>0</v>
          </cell>
          <cell r="AL76">
            <v>0</v>
          </cell>
          <cell r="AN76">
            <v>0</v>
          </cell>
          <cell r="AP76">
            <v>0</v>
          </cell>
          <cell r="AR76">
            <v>0</v>
          </cell>
          <cell r="AT76">
            <v>0</v>
          </cell>
          <cell r="AV76">
            <v>0</v>
          </cell>
          <cell r="AX76">
            <v>0</v>
          </cell>
          <cell r="AZ76">
            <v>0</v>
          </cell>
          <cell r="BB76">
            <v>0</v>
          </cell>
          <cell r="BD76">
            <v>0</v>
          </cell>
          <cell r="BF76">
            <v>0</v>
          </cell>
          <cell r="BH76">
            <v>0</v>
          </cell>
          <cell r="BJ76">
            <v>0</v>
          </cell>
          <cell r="BN76">
            <v>0</v>
          </cell>
          <cell r="BP76">
            <v>0</v>
          </cell>
          <cell r="BR76">
            <v>0</v>
          </cell>
          <cell r="BT76">
            <v>0</v>
          </cell>
          <cell r="BV76">
            <v>0</v>
          </cell>
          <cell r="BX76">
            <v>0</v>
          </cell>
          <cell r="CB76">
            <v>0</v>
          </cell>
          <cell r="CD76">
            <v>0</v>
          </cell>
          <cell r="CG76" t="str">
            <v>ADD</v>
          </cell>
          <cell r="CO76" t="str">
            <v>CNA</v>
          </cell>
          <cell r="CP76">
            <v>0</v>
          </cell>
          <cell r="CR76">
            <v>0</v>
          </cell>
          <cell r="CT76">
            <v>0</v>
          </cell>
          <cell r="CV76">
            <v>0</v>
          </cell>
        </row>
        <row r="77">
          <cell r="B77" t="str">
            <v>LIT</v>
          </cell>
          <cell r="D77" t="str">
            <v>LITHOTRIPSY</v>
          </cell>
          <cell r="F77" t="str">
            <v>D53</v>
          </cell>
          <cell r="H77">
            <v>0</v>
          </cell>
          <cell r="J77">
            <v>24000</v>
          </cell>
          <cell r="L77">
            <v>24000</v>
          </cell>
          <cell r="N77">
            <v>0</v>
          </cell>
          <cell r="O77" t="str">
            <v>LIT</v>
          </cell>
          <cell r="P77">
            <v>0</v>
          </cell>
          <cell r="R77">
            <v>24</v>
          </cell>
          <cell r="T77">
            <v>24</v>
          </cell>
          <cell r="AD77">
            <v>0</v>
          </cell>
          <cell r="AF77">
            <v>24</v>
          </cell>
          <cell r="AH77">
            <v>24</v>
          </cell>
          <cell r="AJ77">
            <v>0</v>
          </cell>
          <cell r="AL77">
            <v>0</v>
          </cell>
          <cell r="AN77">
            <v>0</v>
          </cell>
          <cell r="AP77">
            <v>0</v>
          </cell>
          <cell r="AR77">
            <v>0</v>
          </cell>
          <cell r="AT77">
            <v>0</v>
          </cell>
          <cell r="AV77">
            <v>0</v>
          </cell>
          <cell r="AX77">
            <v>0</v>
          </cell>
          <cell r="AZ77">
            <v>0</v>
          </cell>
          <cell r="BB77">
            <v>0</v>
          </cell>
          <cell r="BD77">
            <v>24</v>
          </cell>
          <cell r="BF77">
            <v>24</v>
          </cell>
          <cell r="BH77">
            <v>0</v>
          </cell>
          <cell r="BJ77">
            <v>0</v>
          </cell>
          <cell r="BN77">
            <v>0</v>
          </cell>
          <cell r="BP77">
            <v>0</v>
          </cell>
          <cell r="BR77">
            <v>0</v>
          </cell>
          <cell r="BT77">
            <v>24</v>
          </cell>
          <cell r="BV77">
            <v>24</v>
          </cell>
          <cell r="BX77">
            <v>0</v>
          </cell>
          <cell r="CB77">
            <v>0</v>
          </cell>
          <cell r="CD77">
            <v>0</v>
          </cell>
          <cell r="CG77" t="str">
            <v>LIT</v>
          </cell>
          <cell r="CO77" t="str">
            <v>LIT</v>
          </cell>
          <cell r="CP77">
            <v>0</v>
          </cell>
          <cell r="CR77">
            <v>24</v>
          </cell>
          <cell r="CT77">
            <v>24</v>
          </cell>
          <cell r="CV77">
            <v>0</v>
          </cell>
        </row>
        <row r="78">
          <cell r="B78" t="str">
            <v>RHB</v>
          </cell>
          <cell r="D78" t="str">
            <v>REHABILITATION</v>
          </cell>
          <cell r="F78" t="str">
            <v>D54</v>
          </cell>
          <cell r="H78">
            <v>0</v>
          </cell>
          <cell r="J78">
            <v>0</v>
          </cell>
          <cell r="L78">
            <v>0</v>
          </cell>
          <cell r="N78">
            <v>0</v>
          </cell>
          <cell r="O78" t="str">
            <v>RHB</v>
          </cell>
          <cell r="P78">
            <v>0</v>
          </cell>
          <cell r="R78">
            <v>0</v>
          </cell>
          <cell r="T78">
            <v>0</v>
          </cell>
          <cell r="AD78">
            <v>0</v>
          </cell>
          <cell r="AF78">
            <v>0</v>
          </cell>
          <cell r="AH78">
            <v>0</v>
          </cell>
          <cell r="AJ78">
            <v>0</v>
          </cell>
          <cell r="AL78">
            <v>0</v>
          </cell>
          <cell r="AN78">
            <v>0</v>
          </cell>
          <cell r="AP78">
            <v>0</v>
          </cell>
          <cell r="AR78">
            <v>0</v>
          </cell>
          <cell r="AT78">
            <v>0</v>
          </cell>
          <cell r="AV78">
            <v>0</v>
          </cell>
          <cell r="AX78">
            <v>0</v>
          </cell>
          <cell r="AZ78">
            <v>0</v>
          </cell>
          <cell r="BB78">
            <v>0</v>
          </cell>
          <cell r="BD78">
            <v>0</v>
          </cell>
          <cell r="BF78">
            <v>0</v>
          </cell>
          <cell r="BH78">
            <v>0</v>
          </cell>
          <cell r="BJ78">
            <v>0</v>
          </cell>
          <cell r="BN78">
            <v>0</v>
          </cell>
          <cell r="BP78">
            <v>0</v>
          </cell>
          <cell r="BR78">
            <v>0</v>
          </cell>
          <cell r="BT78">
            <v>0</v>
          </cell>
          <cell r="BV78">
            <v>0</v>
          </cell>
          <cell r="BX78">
            <v>0</v>
          </cell>
          <cell r="CB78">
            <v>0</v>
          </cell>
          <cell r="CD78">
            <v>0</v>
          </cell>
          <cell r="CG78" t="str">
            <v>RHB</v>
          </cell>
          <cell r="CO78" t="str">
            <v>RHB</v>
          </cell>
          <cell r="CP78">
            <v>0</v>
          </cell>
          <cell r="CR78">
            <v>0</v>
          </cell>
          <cell r="CT78">
            <v>0</v>
          </cell>
          <cell r="CV78">
            <v>0</v>
          </cell>
        </row>
        <row r="79">
          <cell r="B79" t="str">
            <v>OBV</v>
          </cell>
          <cell r="D79" t="str">
            <v>OBSERVATION</v>
          </cell>
          <cell r="F79" t="str">
            <v>D55</v>
          </cell>
          <cell r="H79">
            <v>1155817.9871927283</v>
          </cell>
          <cell r="J79">
            <v>51255.340573300877</v>
          </cell>
          <cell r="L79">
            <v>1207073.3277660292</v>
          </cell>
          <cell r="N79">
            <v>13.360608033994877</v>
          </cell>
          <cell r="O79" t="str">
            <v>OBV</v>
          </cell>
          <cell r="P79">
            <v>1155.8</v>
          </cell>
          <cell r="R79">
            <v>51.3</v>
          </cell>
          <cell r="T79">
            <v>1207.0999999999999</v>
          </cell>
          <cell r="AD79">
            <v>1155.8</v>
          </cell>
          <cell r="AF79">
            <v>51.3</v>
          </cell>
          <cell r="AH79">
            <v>1207.0999999999999</v>
          </cell>
          <cell r="AJ79">
            <v>13.360608033994877</v>
          </cell>
          <cell r="AL79">
            <v>0</v>
          </cell>
          <cell r="AN79">
            <v>0</v>
          </cell>
          <cell r="AP79">
            <v>0</v>
          </cell>
          <cell r="AR79">
            <v>0</v>
          </cell>
          <cell r="AT79">
            <v>0.7544363475959418</v>
          </cell>
          <cell r="AV79">
            <v>118.41066854874283</v>
          </cell>
          <cell r="AX79">
            <v>119.16510489633878</v>
          </cell>
          <cell r="AZ79">
            <v>2.2211004037867737E-3</v>
          </cell>
          <cell r="BB79">
            <v>1156.5544363475958</v>
          </cell>
          <cell r="BD79">
            <v>169.71066854874283</v>
          </cell>
          <cell r="BF79">
            <v>1326.2651048963387</v>
          </cell>
          <cell r="BH79">
            <v>13.362829134398664</v>
          </cell>
          <cell r="BJ79">
            <v>0</v>
          </cell>
          <cell r="BN79">
            <v>0</v>
          </cell>
          <cell r="BR79">
            <v>1156.5544363475958</v>
          </cell>
          <cell r="BT79">
            <v>169.71066854874283</v>
          </cell>
          <cell r="BV79">
            <v>1326.2651048963387</v>
          </cell>
          <cell r="BX79">
            <v>13.362829134398664</v>
          </cell>
          <cell r="CB79">
            <v>4.5024899999999999</v>
          </cell>
          <cell r="CD79">
            <v>4.5024899999999999</v>
          </cell>
          <cell r="CG79" t="str">
            <v>OBV</v>
          </cell>
          <cell r="CO79" t="str">
            <v>OBV</v>
          </cell>
          <cell r="CP79">
            <v>1161.0569263475959</v>
          </cell>
          <cell r="CR79">
            <v>169.71066854874283</v>
          </cell>
          <cell r="CT79">
            <v>1330.7675948963388</v>
          </cell>
          <cell r="CV79">
            <v>13.362829134398664</v>
          </cell>
        </row>
        <row r="80">
          <cell r="B80" t="str">
            <v>AMR</v>
          </cell>
          <cell r="D80" t="str">
            <v>AMBULANCE REBUNDLED SVCS</v>
          </cell>
          <cell r="F80" t="str">
            <v>D56</v>
          </cell>
          <cell r="H80">
            <v>0</v>
          </cell>
          <cell r="J80">
            <v>115571.89</v>
          </cell>
          <cell r="L80">
            <v>115571.89</v>
          </cell>
          <cell r="N80">
            <v>0</v>
          </cell>
          <cell r="O80" t="str">
            <v>AMR</v>
          </cell>
          <cell r="P80">
            <v>0</v>
          </cell>
          <cell r="R80">
            <v>115.6</v>
          </cell>
          <cell r="T80">
            <v>115.6</v>
          </cell>
          <cell r="AD80">
            <v>0</v>
          </cell>
          <cell r="AF80">
            <v>115.6</v>
          </cell>
          <cell r="AH80">
            <v>115.6</v>
          </cell>
          <cell r="AJ80">
            <v>0</v>
          </cell>
          <cell r="AL80">
            <v>0</v>
          </cell>
          <cell r="AN80">
            <v>0</v>
          </cell>
          <cell r="AP80">
            <v>0</v>
          </cell>
          <cell r="AR80">
            <v>0</v>
          </cell>
          <cell r="AT80">
            <v>0.28972209969122187</v>
          </cell>
          <cell r="AV80">
            <v>45.472606969563294</v>
          </cell>
          <cell r="AX80">
            <v>45.76232906925452</v>
          </cell>
          <cell r="AZ80">
            <v>8.5295714431135692E-4</v>
          </cell>
          <cell r="BB80">
            <v>0.28972209969122187</v>
          </cell>
          <cell r="BD80">
            <v>161.07260696956328</v>
          </cell>
          <cell r="BF80">
            <v>161.36232906925451</v>
          </cell>
          <cell r="BH80">
            <v>8.5295714431135692E-4</v>
          </cell>
          <cell r="BJ80">
            <v>0</v>
          </cell>
          <cell r="BN80">
            <v>0</v>
          </cell>
          <cell r="BR80">
            <v>0.28972209969122187</v>
          </cell>
          <cell r="BT80">
            <v>161.07260696956328</v>
          </cell>
          <cell r="BV80">
            <v>161.36232906925451</v>
          </cell>
          <cell r="BX80">
            <v>8.5295714431135692E-4</v>
          </cell>
          <cell r="CB80">
            <v>2.9E-4</v>
          </cell>
          <cell r="CD80">
            <v>2.9E-4</v>
          </cell>
          <cell r="CG80" t="str">
            <v>AMR</v>
          </cell>
          <cell r="CO80" t="str">
            <v>AMR</v>
          </cell>
          <cell r="CP80">
            <v>0.29001209969122188</v>
          </cell>
          <cell r="CR80">
            <v>161.07260696956328</v>
          </cell>
          <cell r="CT80">
            <v>161.36261906925449</v>
          </cell>
          <cell r="CV80">
            <v>8.5295714431135692E-4</v>
          </cell>
        </row>
        <row r="81">
          <cell r="B81" t="str">
            <v>TMT</v>
          </cell>
          <cell r="D81" t="str">
            <v>TRANSURETHAL MICROWAVE THERMOTHERAPY</v>
          </cell>
          <cell r="F81" t="str">
            <v>D57</v>
          </cell>
          <cell r="H81">
            <v>0</v>
          </cell>
          <cell r="J81">
            <v>0</v>
          </cell>
          <cell r="L81">
            <v>0</v>
          </cell>
          <cell r="N81">
            <v>0</v>
          </cell>
          <cell r="O81" t="str">
            <v>TMT</v>
          </cell>
          <cell r="P81">
            <v>0</v>
          </cell>
          <cell r="R81">
            <v>0</v>
          </cell>
          <cell r="T81">
            <v>0</v>
          </cell>
          <cell r="AD81">
            <v>0</v>
          </cell>
          <cell r="AF81">
            <v>0</v>
          </cell>
          <cell r="AH81">
            <v>0</v>
          </cell>
          <cell r="AJ81">
            <v>0</v>
          </cell>
          <cell r="AL81">
            <v>0</v>
          </cell>
          <cell r="AN81">
            <v>0</v>
          </cell>
          <cell r="AP81">
            <v>0</v>
          </cell>
          <cell r="AR81">
            <v>0</v>
          </cell>
          <cell r="AT81">
            <v>0</v>
          </cell>
          <cell r="AV81">
            <v>0</v>
          </cell>
          <cell r="AX81">
            <v>0</v>
          </cell>
          <cell r="AZ81">
            <v>0</v>
          </cell>
          <cell r="BB81">
            <v>0</v>
          </cell>
          <cell r="BD81">
            <v>0</v>
          </cell>
          <cell r="BF81">
            <v>0</v>
          </cell>
          <cell r="BH81">
            <v>0</v>
          </cell>
          <cell r="BJ81">
            <v>0</v>
          </cell>
          <cell r="BN81">
            <v>0</v>
          </cell>
          <cell r="BR81">
            <v>0</v>
          </cell>
          <cell r="BT81">
            <v>0</v>
          </cell>
          <cell r="BV81">
            <v>0</v>
          </cell>
          <cell r="BX81">
            <v>0</v>
          </cell>
          <cell r="CB81">
            <v>0</v>
          </cell>
          <cell r="CD81">
            <v>0</v>
          </cell>
          <cell r="CG81" t="str">
            <v>TMT</v>
          </cell>
          <cell r="CO81" t="str">
            <v>AMR</v>
          </cell>
          <cell r="CP81">
            <v>0</v>
          </cell>
          <cell r="CR81">
            <v>0</v>
          </cell>
          <cell r="CT81">
            <v>0</v>
          </cell>
          <cell r="CV81">
            <v>0</v>
          </cell>
        </row>
        <row r="82">
          <cell r="B82" t="str">
            <v>OCL</v>
          </cell>
          <cell r="D82" t="str">
            <v>ONCOLOGY O/P CLINIC</v>
          </cell>
          <cell r="F82" t="str">
            <v>D58</v>
          </cell>
          <cell r="H82">
            <v>0</v>
          </cell>
          <cell r="J82">
            <v>0</v>
          </cell>
          <cell r="L82">
            <v>0</v>
          </cell>
          <cell r="N82">
            <v>0</v>
          </cell>
          <cell r="P82">
            <v>0</v>
          </cell>
          <cell r="R82">
            <v>0</v>
          </cell>
          <cell r="T82">
            <v>0</v>
          </cell>
          <cell r="AD82">
            <v>0</v>
          </cell>
          <cell r="AF82">
            <v>0</v>
          </cell>
          <cell r="AH82">
            <v>0</v>
          </cell>
          <cell r="AJ82">
            <v>0</v>
          </cell>
          <cell r="AL82">
            <v>0</v>
          </cell>
          <cell r="AN82">
            <v>0</v>
          </cell>
          <cell r="AP82">
            <v>0</v>
          </cell>
          <cell r="AR82">
            <v>0</v>
          </cell>
          <cell r="AT82">
            <v>0</v>
          </cell>
          <cell r="AV82">
            <v>0</v>
          </cell>
          <cell r="AX82">
            <v>0</v>
          </cell>
          <cell r="AZ82">
            <v>0</v>
          </cell>
          <cell r="BB82">
            <v>0</v>
          </cell>
          <cell r="BD82">
            <v>0</v>
          </cell>
          <cell r="BF82">
            <v>0</v>
          </cell>
          <cell r="BH82">
            <v>0</v>
          </cell>
          <cell r="BJ82">
            <v>0</v>
          </cell>
          <cell r="BN82">
            <v>0</v>
          </cell>
          <cell r="BR82">
            <v>0</v>
          </cell>
          <cell r="BT82">
            <v>0</v>
          </cell>
          <cell r="BV82">
            <v>0</v>
          </cell>
          <cell r="BX82">
            <v>0</v>
          </cell>
          <cell r="CB82">
            <v>0</v>
          </cell>
          <cell r="CD82">
            <v>0</v>
          </cell>
          <cell r="CP82">
            <v>0</v>
          </cell>
          <cell r="CR82">
            <v>0</v>
          </cell>
          <cell r="CT82">
            <v>0</v>
          </cell>
          <cell r="CV82">
            <v>0</v>
          </cell>
        </row>
        <row r="83">
          <cell r="B83" t="str">
            <v>TNA</v>
          </cell>
          <cell r="D83" t="str">
            <v>TRANSURETHAL NEEDLE ABLATION</v>
          </cell>
          <cell r="F83" t="str">
            <v>D59</v>
          </cell>
          <cell r="H83">
            <v>0</v>
          </cell>
          <cell r="J83">
            <v>0</v>
          </cell>
          <cell r="L83">
            <v>0</v>
          </cell>
          <cell r="N83">
            <v>0</v>
          </cell>
          <cell r="P83">
            <v>0</v>
          </cell>
          <cell r="R83">
            <v>0</v>
          </cell>
          <cell r="T83">
            <v>0</v>
          </cell>
          <cell r="AD83">
            <v>0</v>
          </cell>
          <cell r="AF83">
            <v>0</v>
          </cell>
          <cell r="AH83">
            <v>0</v>
          </cell>
          <cell r="AJ83">
            <v>0</v>
          </cell>
          <cell r="AL83">
            <v>0</v>
          </cell>
          <cell r="AN83">
            <v>0</v>
          </cell>
          <cell r="AP83">
            <v>0</v>
          </cell>
          <cell r="AR83">
            <v>0</v>
          </cell>
          <cell r="AT83">
            <v>3.6215262461402734E-2</v>
          </cell>
          <cell r="AV83">
            <v>5.6840758711954118</v>
          </cell>
          <cell r="AX83">
            <v>5.720291133656815</v>
          </cell>
          <cell r="AZ83">
            <v>1.0661964303891961E-4</v>
          </cell>
          <cell r="BB83">
            <v>3.6215262461402734E-2</v>
          </cell>
          <cell r="BD83">
            <v>5.6840758711954118</v>
          </cell>
          <cell r="BF83">
            <v>5.720291133656815</v>
          </cell>
          <cell r="BH83">
            <v>1.0661964303891961E-4</v>
          </cell>
          <cell r="BJ83">
            <v>0</v>
          </cell>
          <cell r="BN83">
            <v>0</v>
          </cell>
          <cell r="BR83">
            <v>3.6215262461402734E-2</v>
          </cell>
          <cell r="BT83">
            <v>5.6840758711954118</v>
          </cell>
          <cell r="BV83">
            <v>5.720291133656815</v>
          </cell>
          <cell r="BX83">
            <v>1.0661964303891961E-4</v>
          </cell>
          <cell r="CB83">
            <v>4.0000000000000003E-5</v>
          </cell>
          <cell r="CD83">
            <v>4.0000000000000003E-5</v>
          </cell>
          <cell r="CP83">
            <v>3.6255262461402732E-2</v>
          </cell>
          <cell r="CR83">
            <v>5.6840758711954118</v>
          </cell>
          <cell r="CT83">
            <v>5.7203311336568143</v>
          </cell>
          <cell r="CV83">
            <v>1.0661964303891961E-4</v>
          </cell>
        </row>
        <row r="84">
          <cell r="B84" t="str">
            <v>PAD</v>
          </cell>
          <cell r="D84" t="str">
            <v>PSYCH ADULT</v>
          </cell>
          <cell r="F84" t="str">
            <v>D70</v>
          </cell>
          <cell r="H84">
            <v>0</v>
          </cell>
          <cell r="J84">
            <v>0</v>
          </cell>
          <cell r="L84">
            <v>0</v>
          </cell>
          <cell r="N84">
            <v>0</v>
          </cell>
          <cell r="O84" t="str">
            <v>PAD</v>
          </cell>
          <cell r="P84">
            <v>0</v>
          </cell>
          <cell r="R84">
            <v>0</v>
          </cell>
          <cell r="T84">
            <v>0</v>
          </cell>
          <cell r="AD84">
            <v>0</v>
          </cell>
          <cell r="AF84">
            <v>0</v>
          </cell>
          <cell r="AH84">
            <v>0</v>
          </cell>
          <cell r="AJ84">
            <v>0</v>
          </cell>
          <cell r="AL84">
            <v>0</v>
          </cell>
          <cell r="AN84">
            <v>0</v>
          </cell>
          <cell r="AP84">
            <v>0</v>
          </cell>
          <cell r="AR84">
            <v>0</v>
          </cell>
          <cell r="AT84">
            <v>0</v>
          </cell>
          <cell r="AV84">
            <v>0</v>
          </cell>
          <cell r="AX84">
            <v>0</v>
          </cell>
          <cell r="AZ84">
            <v>0</v>
          </cell>
          <cell r="BB84">
            <v>0</v>
          </cell>
          <cell r="BD84">
            <v>0</v>
          </cell>
          <cell r="BF84">
            <v>0</v>
          </cell>
          <cell r="BH84">
            <v>0</v>
          </cell>
          <cell r="BJ84">
            <v>0</v>
          </cell>
          <cell r="BN84">
            <v>0</v>
          </cell>
          <cell r="BP84">
            <v>0</v>
          </cell>
          <cell r="BR84">
            <v>0</v>
          </cell>
          <cell r="BT84">
            <v>0</v>
          </cell>
          <cell r="BV84">
            <v>0</v>
          </cell>
          <cell r="BX84">
            <v>0</v>
          </cell>
          <cell r="CB84">
            <v>0</v>
          </cell>
          <cell r="CD84">
            <v>0</v>
          </cell>
          <cell r="CG84" t="str">
            <v>PAD</v>
          </cell>
          <cell r="CO84" t="str">
            <v>PAD</v>
          </cell>
          <cell r="CP84">
            <v>0</v>
          </cell>
          <cell r="CR84">
            <v>0</v>
          </cell>
          <cell r="CT84">
            <v>0</v>
          </cell>
          <cell r="CV84">
            <v>0</v>
          </cell>
        </row>
        <row r="85">
          <cell r="B85" t="str">
            <v>PCD</v>
          </cell>
          <cell r="D85" t="str">
            <v>PSYCH CHILD/ADOLESCENT</v>
          </cell>
          <cell r="F85" t="str">
            <v>D71</v>
          </cell>
          <cell r="H85">
            <v>0</v>
          </cell>
          <cell r="J85">
            <v>0</v>
          </cell>
          <cell r="L85">
            <v>0</v>
          </cell>
          <cell r="N85">
            <v>0</v>
          </cell>
          <cell r="O85" t="str">
            <v>PCD</v>
          </cell>
          <cell r="P85">
            <v>0</v>
          </cell>
          <cell r="R85">
            <v>0</v>
          </cell>
          <cell r="T85">
            <v>0</v>
          </cell>
          <cell r="AD85">
            <v>0</v>
          </cell>
          <cell r="AF85">
            <v>0</v>
          </cell>
          <cell r="AH85">
            <v>0</v>
          </cell>
          <cell r="AJ85">
            <v>0</v>
          </cell>
          <cell r="AL85">
            <v>0</v>
          </cell>
          <cell r="AN85">
            <v>0</v>
          </cell>
          <cell r="AP85">
            <v>0</v>
          </cell>
          <cell r="AR85">
            <v>0</v>
          </cell>
          <cell r="AT85">
            <v>0</v>
          </cell>
          <cell r="AV85">
            <v>0</v>
          </cell>
          <cell r="AX85">
            <v>0</v>
          </cell>
          <cell r="AZ85">
            <v>0</v>
          </cell>
          <cell r="BB85">
            <v>0</v>
          </cell>
          <cell r="BD85">
            <v>0</v>
          </cell>
          <cell r="BF85">
            <v>0</v>
          </cell>
          <cell r="BH85">
            <v>0</v>
          </cell>
          <cell r="BJ85">
            <v>0</v>
          </cell>
          <cell r="BN85">
            <v>0</v>
          </cell>
          <cell r="BP85">
            <v>0</v>
          </cell>
          <cell r="BR85">
            <v>0</v>
          </cell>
          <cell r="BT85">
            <v>0</v>
          </cell>
          <cell r="BV85">
            <v>0</v>
          </cell>
          <cell r="BX85">
            <v>0</v>
          </cell>
          <cell r="CB85">
            <v>0</v>
          </cell>
          <cell r="CD85">
            <v>0</v>
          </cell>
          <cell r="CG85" t="str">
            <v>PCD</v>
          </cell>
          <cell r="CO85" t="str">
            <v>PCD</v>
          </cell>
          <cell r="CP85">
            <v>0</v>
          </cell>
          <cell r="CR85">
            <v>0</v>
          </cell>
          <cell r="CT85">
            <v>0</v>
          </cell>
          <cell r="CV85">
            <v>0</v>
          </cell>
        </row>
        <row r="86">
          <cell r="B86" t="str">
            <v>PSG</v>
          </cell>
          <cell r="D86" t="str">
            <v>PSYCH GERIATRIC</v>
          </cell>
          <cell r="F86" t="str">
            <v>D73</v>
          </cell>
          <cell r="H86">
            <v>0</v>
          </cell>
          <cell r="J86">
            <v>0</v>
          </cell>
          <cell r="L86">
            <v>0</v>
          </cell>
          <cell r="N86">
            <v>0</v>
          </cell>
          <cell r="O86" t="str">
            <v>PSG</v>
          </cell>
          <cell r="P86">
            <v>0</v>
          </cell>
          <cell r="R86">
            <v>0</v>
          </cell>
          <cell r="T86">
            <v>0</v>
          </cell>
          <cell r="AD86">
            <v>0</v>
          </cell>
          <cell r="AF86">
            <v>0</v>
          </cell>
          <cell r="AH86">
            <v>0</v>
          </cell>
          <cell r="AJ86">
            <v>0</v>
          </cell>
          <cell r="AL86">
            <v>0</v>
          </cell>
          <cell r="AN86">
            <v>0</v>
          </cell>
          <cell r="AP86">
            <v>0</v>
          </cell>
          <cell r="AR86">
            <v>0</v>
          </cell>
          <cell r="AT86">
            <v>0</v>
          </cell>
          <cell r="AV86">
            <v>0</v>
          </cell>
          <cell r="AX86">
            <v>0</v>
          </cell>
          <cell r="AZ86">
            <v>0</v>
          </cell>
          <cell r="BB86">
            <v>0</v>
          </cell>
          <cell r="BD86">
            <v>0</v>
          </cell>
          <cell r="BF86">
            <v>0</v>
          </cell>
          <cell r="BH86">
            <v>0</v>
          </cell>
          <cell r="BJ86">
            <v>0</v>
          </cell>
          <cell r="BN86">
            <v>0</v>
          </cell>
          <cell r="BP86">
            <v>0</v>
          </cell>
          <cell r="BR86">
            <v>0</v>
          </cell>
          <cell r="BT86">
            <v>0</v>
          </cell>
          <cell r="BV86">
            <v>0</v>
          </cell>
          <cell r="BX86">
            <v>0</v>
          </cell>
          <cell r="CB86">
            <v>0</v>
          </cell>
          <cell r="CD86">
            <v>0</v>
          </cell>
          <cell r="CG86" t="str">
            <v>PSG</v>
          </cell>
          <cell r="CO86" t="str">
            <v>PSG</v>
          </cell>
          <cell r="CP86">
            <v>0</v>
          </cell>
          <cell r="CR86">
            <v>0</v>
          </cell>
          <cell r="CT86">
            <v>0</v>
          </cell>
          <cell r="CV86">
            <v>0</v>
          </cell>
        </row>
        <row r="87">
          <cell r="B87" t="str">
            <v>ITH</v>
          </cell>
          <cell r="D87" t="str">
            <v>INDIVIDUAL THERAPIES</v>
          </cell>
          <cell r="F87" t="str">
            <v>D74</v>
          </cell>
          <cell r="H87">
            <v>0</v>
          </cell>
          <cell r="J87">
            <v>0</v>
          </cell>
          <cell r="L87">
            <v>0</v>
          </cell>
          <cell r="N87">
            <v>0</v>
          </cell>
          <cell r="O87" t="str">
            <v>ITH</v>
          </cell>
          <cell r="P87">
            <v>0</v>
          </cell>
          <cell r="R87">
            <v>0</v>
          </cell>
          <cell r="T87">
            <v>0</v>
          </cell>
          <cell r="AD87">
            <v>0</v>
          </cell>
          <cell r="AF87">
            <v>0</v>
          </cell>
          <cell r="AH87">
            <v>0</v>
          </cell>
          <cell r="AJ87">
            <v>0</v>
          </cell>
          <cell r="AL87">
            <v>0</v>
          </cell>
          <cell r="AN87">
            <v>0</v>
          </cell>
          <cell r="AP87">
            <v>0</v>
          </cell>
          <cell r="AR87">
            <v>0</v>
          </cell>
          <cell r="AT87">
            <v>0</v>
          </cell>
          <cell r="AV87">
            <v>0</v>
          </cell>
          <cell r="AX87">
            <v>0</v>
          </cell>
          <cell r="AZ87">
            <v>0</v>
          </cell>
          <cell r="BB87">
            <v>0</v>
          </cell>
          <cell r="BD87">
            <v>0</v>
          </cell>
          <cell r="BF87">
            <v>0</v>
          </cell>
          <cell r="BH87">
            <v>0</v>
          </cell>
          <cell r="BJ87">
            <v>0</v>
          </cell>
          <cell r="BN87">
            <v>0</v>
          </cell>
          <cell r="BP87">
            <v>0</v>
          </cell>
          <cell r="BR87">
            <v>0</v>
          </cell>
          <cell r="BT87">
            <v>0</v>
          </cell>
          <cell r="BV87">
            <v>0</v>
          </cell>
          <cell r="BX87">
            <v>0</v>
          </cell>
          <cell r="CB87">
            <v>0</v>
          </cell>
          <cell r="CD87">
            <v>0</v>
          </cell>
          <cell r="CG87" t="str">
            <v>ITH</v>
          </cell>
          <cell r="CO87" t="str">
            <v>ITH</v>
          </cell>
          <cell r="CP87">
            <v>0</v>
          </cell>
          <cell r="CR87">
            <v>0</v>
          </cell>
          <cell r="CT87">
            <v>0</v>
          </cell>
          <cell r="CV87">
            <v>0</v>
          </cell>
        </row>
        <row r="88">
          <cell r="B88" t="str">
            <v>GTH</v>
          </cell>
          <cell r="D88" t="str">
            <v>GROUP THERAPIES</v>
          </cell>
          <cell r="F88" t="str">
            <v>D75</v>
          </cell>
          <cell r="H88">
            <v>0</v>
          </cell>
          <cell r="J88">
            <v>0</v>
          </cell>
          <cell r="L88">
            <v>0</v>
          </cell>
          <cell r="N88">
            <v>0</v>
          </cell>
          <cell r="O88" t="str">
            <v>GTH</v>
          </cell>
          <cell r="P88">
            <v>0</v>
          </cell>
          <cell r="R88">
            <v>0</v>
          </cell>
          <cell r="T88">
            <v>0</v>
          </cell>
          <cell r="AD88">
            <v>0</v>
          </cell>
          <cell r="AF88">
            <v>0</v>
          </cell>
          <cell r="AH88">
            <v>0</v>
          </cell>
          <cell r="AJ88">
            <v>0</v>
          </cell>
          <cell r="AL88">
            <v>0</v>
          </cell>
          <cell r="AN88">
            <v>0</v>
          </cell>
          <cell r="AP88">
            <v>0</v>
          </cell>
          <cell r="AR88">
            <v>0</v>
          </cell>
          <cell r="AT88">
            <v>0</v>
          </cell>
          <cell r="AV88">
            <v>0</v>
          </cell>
          <cell r="AX88">
            <v>0</v>
          </cell>
          <cell r="AZ88">
            <v>0</v>
          </cell>
          <cell r="BB88">
            <v>0</v>
          </cell>
          <cell r="BD88">
            <v>0</v>
          </cell>
          <cell r="BF88">
            <v>0</v>
          </cell>
          <cell r="BH88">
            <v>0</v>
          </cell>
          <cell r="BJ88">
            <v>0</v>
          </cell>
          <cell r="BN88">
            <v>0</v>
          </cell>
          <cell r="BP88">
            <v>0</v>
          </cell>
          <cell r="BR88">
            <v>0</v>
          </cell>
          <cell r="BT88">
            <v>0</v>
          </cell>
          <cell r="BV88">
            <v>0</v>
          </cell>
          <cell r="BX88">
            <v>0</v>
          </cell>
          <cell r="CB88">
            <v>0</v>
          </cell>
          <cell r="CD88">
            <v>0</v>
          </cell>
          <cell r="CG88" t="str">
            <v>GTH</v>
          </cell>
          <cell r="CO88" t="str">
            <v>GTH</v>
          </cell>
          <cell r="CP88">
            <v>0</v>
          </cell>
          <cell r="CR88">
            <v>0</v>
          </cell>
          <cell r="CT88">
            <v>0</v>
          </cell>
          <cell r="CV88">
            <v>0</v>
          </cell>
        </row>
        <row r="89">
          <cell r="B89" t="str">
            <v>FTH</v>
          </cell>
          <cell r="D89" t="str">
            <v>FAMILY THERAPIES</v>
          </cell>
          <cell r="F89" t="str">
            <v>D76</v>
          </cell>
          <cell r="H89">
            <v>0</v>
          </cell>
          <cell r="J89">
            <v>0</v>
          </cell>
          <cell r="L89">
            <v>0</v>
          </cell>
          <cell r="N89">
            <v>0</v>
          </cell>
          <cell r="O89" t="str">
            <v>FTH</v>
          </cell>
          <cell r="P89">
            <v>0</v>
          </cell>
          <cell r="R89">
            <v>0</v>
          </cell>
          <cell r="T89">
            <v>0</v>
          </cell>
          <cell r="AD89">
            <v>0</v>
          </cell>
          <cell r="AF89">
            <v>0</v>
          </cell>
          <cell r="AH89">
            <v>0</v>
          </cell>
          <cell r="AJ89">
            <v>0</v>
          </cell>
          <cell r="AL89">
            <v>0</v>
          </cell>
          <cell r="AN89">
            <v>0</v>
          </cell>
          <cell r="AP89">
            <v>0</v>
          </cell>
          <cell r="AR89">
            <v>0</v>
          </cell>
          <cell r="AT89">
            <v>0</v>
          </cell>
          <cell r="AV89">
            <v>0</v>
          </cell>
          <cell r="AX89">
            <v>0</v>
          </cell>
          <cell r="AZ89">
            <v>0</v>
          </cell>
          <cell r="BB89">
            <v>0</v>
          </cell>
          <cell r="BD89">
            <v>0</v>
          </cell>
          <cell r="BF89">
            <v>0</v>
          </cell>
          <cell r="BH89">
            <v>0</v>
          </cell>
          <cell r="BJ89">
            <v>0</v>
          </cell>
          <cell r="BN89">
            <v>0</v>
          </cell>
          <cell r="BP89">
            <v>0</v>
          </cell>
          <cell r="BR89">
            <v>0</v>
          </cell>
          <cell r="BT89">
            <v>0</v>
          </cell>
          <cell r="BV89">
            <v>0</v>
          </cell>
          <cell r="BX89">
            <v>0</v>
          </cell>
          <cell r="CB89">
            <v>0</v>
          </cell>
          <cell r="CD89">
            <v>0</v>
          </cell>
          <cell r="CG89" t="str">
            <v>FTH</v>
          </cell>
          <cell r="CO89" t="str">
            <v>FTH</v>
          </cell>
          <cell r="CP89">
            <v>0</v>
          </cell>
          <cell r="CR89">
            <v>0</v>
          </cell>
          <cell r="CT89">
            <v>0</v>
          </cell>
          <cell r="CV89">
            <v>0</v>
          </cell>
        </row>
        <row r="90">
          <cell r="B90" t="str">
            <v>PST</v>
          </cell>
          <cell r="D90" t="str">
            <v>PSYCHOLOGICAL TESTING</v>
          </cell>
          <cell r="F90" t="str">
            <v>D77</v>
          </cell>
          <cell r="H90">
            <v>0</v>
          </cell>
          <cell r="J90">
            <v>0</v>
          </cell>
          <cell r="L90">
            <v>0</v>
          </cell>
          <cell r="N90">
            <v>0</v>
          </cell>
          <cell r="O90" t="str">
            <v>PST</v>
          </cell>
          <cell r="P90">
            <v>0</v>
          </cell>
          <cell r="R90">
            <v>0</v>
          </cell>
          <cell r="T90">
            <v>0</v>
          </cell>
          <cell r="AD90">
            <v>0</v>
          </cell>
          <cell r="AF90">
            <v>0</v>
          </cell>
          <cell r="AH90">
            <v>0</v>
          </cell>
          <cell r="AJ90">
            <v>0</v>
          </cell>
          <cell r="AL90">
            <v>0</v>
          </cell>
          <cell r="AN90">
            <v>0</v>
          </cell>
          <cell r="AP90">
            <v>0</v>
          </cell>
          <cell r="AR90">
            <v>0</v>
          </cell>
          <cell r="AT90">
            <v>0</v>
          </cell>
          <cell r="AV90">
            <v>0</v>
          </cell>
          <cell r="AX90">
            <v>0</v>
          </cell>
          <cell r="AZ90">
            <v>0</v>
          </cell>
          <cell r="BB90">
            <v>0</v>
          </cell>
          <cell r="BD90">
            <v>0</v>
          </cell>
          <cell r="BF90">
            <v>0</v>
          </cell>
          <cell r="BH90">
            <v>0</v>
          </cell>
          <cell r="BJ90">
            <v>0</v>
          </cell>
          <cell r="BN90">
            <v>0</v>
          </cell>
          <cell r="BP90">
            <v>0</v>
          </cell>
          <cell r="BR90">
            <v>0</v>
          </cell>
          <cell r="BT90">
            <v>0</v>
          </cell>
          <cell r="BV90">
            <v>0</v>
          </cell>
          <cell r="BX90">
            <v>0</v>
          </cell>
          <cell r="CB90">
            <v>0</v>
          </cell>
          <cell r="CD90">
            <v>0</v>
          </cell>
          <cell r="CG90" t="str">
            <v>PST</v>
          </cell>
          <cell r="CO90" t="str">
            <v>PST</v>
          </cell>
          <cell r="CP90">
            <v>0</v>
          </cell>
          <cell r="CR90">
            <v>0</v>
          </cell>
          <cell r="CT90">
            <v>0</v>
          </cell>
          <cell r="CV90">
            <v>0</v>
          </cell>
        </row>
        <row r="91">
          <cell r="B91" t="str">
            <v>PSE</v>
          </cell>
          <cell r="D91" t="str">
            <v>EDUCATION</v>
          </cell>
          <cell r="F91" t="str">
            <v>D78</v>
          </cell>
          <cell r="H91">
            <v>0</v>
          </cell>
          <cell r="J91">
            <v>0</v>
          </cell>
          <cell r="L91">
            <v>0</v>
          </cell>
          <cell r="N91">
            <v>0</v>
          </cell>
          <cell r="O91" t="str">
            <v>PSE</v>
          </cell>
          <cell r="P91">
            <v>0</v>
          </cell>
          <cell r="R91">
            <v>0</v>
          </cell>
          <cell r="T91">
            <v>0</v>
          </cell>
          <cell r="AD91">
            <v>0</v>
          </cell>
          <cell r="AF91">
            <v>0</v>
          </cell>
          <cell r="AH91">
            <v>0</v>
          </cell>
          <cell r="AJ91">
            <v>0</v>
          </cell>
          <cell r="AL91">
            <v>0</v>
          </cell>
          <cell r="AN91">
            <v>0</v>
          </cell>
          <cell r="AP91">
            <v>0</v>
          </cell>
          <cell r="AR91">
            <v>0</v>
          </cell>
          <cell r="AT91">
            <v>0</v>
          </cell>
          <cell r="AV91">
            <v>0</v>
          </cell>
          <cell r="AX91">
            <v>0</v>
          </cell>
          <cell r="AZ91">
            <v>0</v>
          </cell>
          <cell r="BB91">
            <v>0</v>
          </cell>
          <cell r="BD91">
            <v>0</v>
          </cell>
          <cell r="BF91">
            <v>0</v>
          </cell>
          <cell r="BH91">
            <v>0</v>
          </cell>
          <cell r="BJ91">
            <v>0</v>
          </cell>
          <cell r="BN91">
            <v>0</v>
          </cell>
          <cell r="BP91">
            <v>0</v>
          </cell>
          <cell r="BR91">
            <v>0</v>
          </cell>
          <cell r="BT91">
            <v>0</v>
          </cell>
          <cell r="BV91">
            <v>0</v>
          </cell>
          <cell r="BX91">
            <v>0</v>
          </cell>
          <cell r="CB91">
            <v>0</v>
          </cell>
          <cell r="CD91">
            <v>0</v>
          </cell>
          <cell r="CG91" t="str">
            <v>PSE</v>
          </cell>
          <cell r="CO91" t="str">
            <v>PSE</v>
          </cell>
          <cell r="CP91">
            <v>0</v>
          </cell>
          <cell r="CR91">
            <v>0</v>
          </cell>
          <cell r="CT91">
            <v>0</v>
          </cell>
          <cell r="CV91">
            <v>0</v>
          </cell>
        </row>
        <row r="92">
          <cell r="B92" t="str">
            <v>OPT</v>
          </cell>
          <cell r="D92" t="str">
            <v>OTHER THERAPIES</v>
          </cell>
          <cell r="F92" t="str">
            <v>D79</v>
          </cell>
          <cell r="H92">
            <v>0</v>
          </cell>
          <cell r="J92">
            <v>0</v>
          </cell>
          <cell r="L92">
            <v>0</v>
          </cell>
          <cell r="N92">
            <v>0</v>
          </cell>
          <cell r="O92" t="str">
            <v>OPT</v>
          </cell>
          <cell r="P92">
            <v>0</v>
          </cell>
          <cell r="R92">
            <v>0</v>
          </cell>
          <cell r="T92">
            <v>0</v>
          </cell>
          <cell r="AD92">
            <v>0</v>
          </cell>
          <cell r="AF92">
            <v>0</v>
          </cell>
          <cell r="AH92">
            <v>0</v>
          </cell>
          <cell r="AJ92">
            <v>0</v>
          </cell>
          <cell r="AL92">
            <v>0</v>
          </cell>
          <cell r="AN92">
            <v>0</v>
          </cell>
          <cell r="AP92">
            <v>0</v>
          </cell>
          <cell r="AR92">
            <v>0</v>
          </cell>
          <cell r="AT92">
            <v>0</v>
          </cell>
          <cell r="AV92">
            <v>0</v>
          </cell>
          <cell r="AX92">
            <v>0</v>
          </cell>
          <cell r="AZ92">
            <v>0</v>
          </cell>
          <cell r="BB92">
            <v>0</v>
          </cell>
          <cell r="BD92">
            <v>0</v>
          </cell>
          <cell r="BF92">
            <v>0</v>
          </cell>
          <cell r="BH92">
            <v>0</v>
          </cell>
          <cell r="BJ92">
            <v>0</v>
          </cell>
          <cell r="BN92">
            <v>0</v>
          </cell>
          <cell r="BP92">
            <v>0</v>
          </cell>
          <cell r="BR92">
            <v>0</v>
          </cell>
          <cell r="BT92">
            <v>0</v>
          </cell>
          <cell r="BV92">
            <v>0</v>
          </cell>
          <cell r="BX92">
            <v>0</v>
          </cell>
          <cell r="CB92">
            <v>0</v>
          </cell>
          <cell r="CD92">
            <v>0</v>
          </cell>
          <cell r="CG92" t="str">
            <v>OPT</v>
          </cell>
          <cell r="CO92" t="str">
            <v>OPT</v>
          </cell>
          <cell r="CP92">
            <v>0</v>
          </cell>
          <cell r="CR92">
            <v>0</v>
          </cell>
          <cell r="CT92">
            <v>0</v>
          </cell>
          <cell r="CV92">
            <v>0</v>
          </cell>
        </row>
        <row r="93">
          <cell r="B93" t="str">
            <v>ETH</v>
          </cell>
          <cell r="D93" t="str">
            <v>ELECTROCONVULSIVE THERAPY</v>
          </cell>
          <cell r="F93" t="str">
            <v>D80</v>
          </cell>
          <cell r="H93">
            <v>0</v>
          </cell>
          <cell r="J93">
            <v>0</v>
          </cell>
          <cell r="L93">
            <v>0</v>
          </cell>
          <cell r="N93">
            <v>0</v>
          </cell>
          <cell r="O93" t="str">
            <v>ETH</v>
          </cell>
          <cell r="P93">
            <v>0</v>
          </cell>
          <cell r="R93">
            <v>0</v>
          </cell>
          <cell r="T93">
            <v>0</v>
          </cell>
          <cell r="AD93">
            <v>0</v>
          </cell>
          <cell r="AF93">
            <v>0</v>
          </cell>
          <cell r="AH93">
            <v>0</v>
          </cell>
          <cell r="AJ93">
            <v>0</v>
          </cell>
          <cell r="AL93">
            <v>0</v>
          </cell>
          <cell r="AN93">
            <v>0</v>
          </cell>
          <cell r="AP93">
            <v>0</v>
          </cell>
          <cell r="AR93">
            <v>0</v>
          </cell>
          <cell r="AT93">
            <v>0</v>
          </cell>
          <cell r="AV93">
            <v>0</v>
          </cell>
          <cell r="AX93">
            <v>0</v>
          </cell>
          <cell r="AZ93">
            <v>0</v>
          </cell>
          <cell r="BB93">
            <v>0</v>
          </cell>
          <cell r="BD93">
            <v>0</v>
          </cell>
          <cell r="BF93">
            <v>0</v>
          </cell>
          <cell r="BH93">
            <v>0</v>
          </cell>
          <cell r="BJ93">
            <v>0</v>
          </cell>
          <cell r="BN93">
            <v>0</v>
          </cell>
          <cell r="BP93">
            <v>0</v>
          </cell>
          <cell r="BR93">
            <v>0</v>
          </cell>
          <cell r="BT93">
            <v>0</v>
          </cell>
          <cell r="BV93">
            <v>0</v>
          </cell>
          <cell r="BX93">
            <v>0</v>
          </cell>
          <cell r="CB93">
            <v>0</v>
          </cell>
          <cell r="CD93">
            <v>0</v>
          </cell>
          <cell r="CG93" t="str">
            <v>ETH</v>
          </cell>
          <cell r="CO93" t="str">
            <v>ETH</v>
          </cell>
          <cell r="CP93">
            <v>0</v>
          </cell>
          <cell r="CR93">
            <v>0</v>
          </cell>
          <cell r="CT93">
            <v>0</v>
          </cell>
          <cell r="CV93">
            <v>0</v>
          </cell>
        </row>
        <row r="94">
          <cell r="B94" t="str">
            <v>ATH</v>
          </cell>
          <cell r="D94" t="str">
            <v>ACTIVITY THERAPIES</v>
          </cell>
          <cell r="F94" t="str">
            <v>D81</v>
          </cell>
          <cell r="H94">
            <v>0</v>
          </cell>
          <cell r="J94">
            <v>0</v>
          </cell>
          <cell r="L94">
            <v>0</v>
          </cell>
          <cell r="N94">
            <v>0</v>
          </cell>
          <cell r="O94" t="str">
            <v>ATH</v>
          </cell>
          <cell r="P94">
            <v>0</v>
          </cell>
          <cell r="R94">
            <v>0</v>
          </cell>
          <cell r="T94">
            <v>0</v>
          </cell>
          <cell r="AD94">
            <v>0</v>
          </cell>
          <cell r="AF94">
            <v>0</v>
          </cell>
          <cell r="AH94">
            <v>0</v>
          </cell>
          <cell r="AJ94">
            <v>0</v>
          </cell>
          <cell r="AL94">
            <v>0</v>
          </cell>
          <cell r="AN94">
            <v>0</v>
          </cell>
          <cell r="AP94">
            <v>0</v>
          </cell>
          <cell r="AR94">
            <v>0</v>
          </cell>
          <cell r="AT94">
            <v>0</v>
          </cell>
          <cell r="AV94">
            <v>0</v>
          </cell>
          <cell r="AX94">
            <v>0</v>
          </cell>
          <cell r="AZ94">
            <v>0</v>
          </cell>
          <cell r="BB94">
            <v>0</v>
          </cell>
          <cell r="BD94">
            <v>0</v>
          </cell>
          <cell r="BF94">
            <v>0</v>
          </cell>
          <cell r="BH94">
            <v>0</v>
          </cell>
          <cell r="BJ94">
            <v>0</v>
          </cell>
          <cell r="BN94">
            <v>0</v>
          </cell>
          <cell r="BP94">
            <v>0</v>
          </cell>
          <cell r="BR94">
            <v>0</v>
          </cell>
          <cell r="BT94">
            <v>0</v>
          </cell>
          <cell r="BV94">
            <v>0</v>
          </cell>
          <cell r="BX94">
            <v>0</v>
          </cell>
          <cell r="CB94">
            <v>0</v>
          </cell>
          <cell r="CD94">
            <v>0</v>
          </cell>
          <cell r="CG94" t="str">
            <v>ATH</v>
          </cell>
          <cell r="CO94" t="str">
            <v>ATH</v>
          </cell>
          <cell r="CP94">
            <v>0</v>
          </cell>
          <cell r="CR94">
            <v>0</v>
          </cell>
          <cell r="CT94">
            <v>0</v>
          </cell>
          <cell r="CV94">
            <v>0</v>
          </cell>
        </row>
        <row r="95">
          <cell r="B95" t="str">
            <v>EDP</v>
          </cell>
          <cell r="D95" t="str">
            <v>DATA PROCESSING</v>
          </cell>
          <cell r="F95" t="str">
            <v>DP1</v>
          </cell>
          <cell r="H95">
            <v>82078.977583687432</v>
          </cell>
          <cell r="J95">
            <v>12885763.25</v>
          </cell>
          <cell r="L95">
            <v>12967842.227583688</v>
          </cell>
          <cell r="N95">
            <v>0.24170673076923077</v>
          </cell>
          <cell r="O95" t="str">
            <v>EDP</v>
          </cell>
          <cell r="P95">
            <v>82.1</v>
          </cell>
          <cell r="R95">
            <v>12885.8</v>
          </cell>
          <cell r="T95">
            <v>12967.9</v>
          </cell>
          <cell r="X95">
            <v>0</v>
          </cell>
          <cell r="Z95">
            <v>0</v>
          </cell>
          <cell r="AD95">
            <v>82.1</v>
          </cell>
          <cell r="AF95">
            <v>12885.8</v>
          </cell>
          <cell r="AH95">
            <v>12967.9</v>
          </cell>
          <cell r="AJ95">
            <v>0.24170673076923077</v>
          </cell>
          <cell r="AL95">
            <v>0</v>
          </cell>
          <cell r="AN95">
            <v>0</v>
          </cell>
          <cell r="AP95">
            <v>0</v>
          </cell>
          <cell r="AR95">
            <v>0</v>
          </cell>
          <cell r="AT95">
            <v>-82.099999999999952</v>
          </cell>
          <cell r="AV95">
            <v>-12885.799999999997</v>
          </cell>
          <cell r="AX95">
            <v>-12967.899999999998</v>
          </cell>
          <cell r="AZ95">
            <v>-0.24170673076923083</v>
          </cell>
          <cell r="BB95">
            <v>0</v>
          </cell>
          <cell r="BD95">
            <v>0</v>
          </cell>
          <cell r="BF95">
            <v>0</v>
          </cell>
          <cell r="BH95">
            <v>0</v>
          </cell>
          <cell r="BN95">
            <v>0</v>
          </cell>
          <cell r="BR95">
            <v>0</v>
          </cell>
          <cell r="BT95">
            <v>0</v>
          </cell>
          <cell r="BV95">
            <v>0</v>
          </cell>
          <cell r="BX95">
            <v>0</v>
          </cell>
          <cell r="CD95">
            <v>0</v>
          </cell>
          <cell r="CG95" t="str">
            <v>EDP</v>
          </cell>
          <cell r="CO95" t="str">
            <v>EDP</v>
          </cell>
          <cell r="CP95">
            <v>0</v>
          </cell>
          <cell r="CR95">
            <v>0</v>
          </cell>
          <cell r="CT95">
            <v>0</v>
          </cell>
          <cell r="CV95">
            <v>0</v>
          </cell>
        </row>
        <row r="96">
          <cell r="B96" t="str">
            <v>AMB</v>
          </cell>
          <cell r="D96" t="str">
            <v>AMBULANCE SERVICE</v>
          </cell>
          <cell r="F96" t="str">
            <v>E1</v>
          </cell>
          <cell r="H96">
            <v>0</v>
          </cell>
          <cell r="J96">
            <v>0</v>
          </cell>
          <cell r="L96">
            <v>0</v>
          </cell>
          <cell r="N96">
            <v>0</v>
          </cell>
          <cell r="O96" t="str">
            <v>AMB</v>
          </cell>
          <cell r="P96">
            <v>0</v>
          </cell>
          <cell r="R96">
            <v>0</v>
          </cell>
          <cell r="T96">
            <v>0</v>
          </cell>
          <cell r="AD96">
            <v>0</v>
          </cell>
          <cell r="AF96">
            <v>0</v>
          </cell>
          <cell r="AH96">
            <v>0</v>
          </cell>
          <cell r="AJ96">
            <v>0</v>
          </cell>
          <cell r="AL96">
            <v>0</v>
          </cell>
          <cell r="AN96">
            <v>0</v>
          </cell>
          <cell r="AP96">
            <v>0</v>
          </cell>
          <cell r="AR96">
            <v>0</v>
          </cell>
          <cell r="AT96">
            <v>0</v>
          </cell>
          <cell r="AV96">
            <v>0</v>
          </cell>
          <cell r="AX96">
            <v>0</v>
          </cell>
          <cell r="AZ96">
            <v>0</v>
          </cell>
          <cell r="BB96">
            <v>0</v>
          </cell>
          <cell r="BD96">
            <v>0</v>
          </cell>
          <cell r="BF96">
            <v>0</v>
          </cell>
          <cell r="BH96">
            <v>0</v>
          </cell>
          <cell r="BN96">
            <v>0</v>
          </cell>
          <cell r="BR96">
            <v>0</v>
          </cell>
          <cell r="BT96">
            <v>0</v>
          </cell>
          <cell r="BV96">
            <v>0</v>
          </cell>
          <cell r="BX96">
            <v>0</v>
          </cell>
          <cell r="CB96">
            <v>0</v>
          </cell>
          <cell r="CD96">
            <v>0</v>
          </cell>
          <cell r="CG96" t="str">
            <v>AMB</v>
          </cell>
          <cell r="CH96">
            <v>0</v>
          </cell>
          <cell r="CJ96">
            <v>0</v>
          </cell>
          <cell r="CL96">
            <v>0</v>
          </cell>
          <cell r="CN96">
            <v>0</v>
          </cell>
          <cell r="CO96" t="str">
            <v>AMB</v>
          </cell>
          <cell r="CP96">
            <v>0</v>
          </cell>
          <cell r="CR96">
            <v>0</v>
          </cell>
          <cell r="CT96">
            <v>0</v>
          </cell>
          <cell r="CV96">
            <v>0</v>
          </cell>
        </row>
        <row r="97">
          <cell r="B97" t="str">
            <v>PAR</v>
          </cell>
          <cell r="D97" t="str">
            <v>PARKING</v>
          </cell>
          <cell r="F97" t="str">
            <v>E2</v>
          </cell>
          <cell r="H97">
            <v>486096.30523517111</v>
          </cell>
          <cell r="J97">
            <v>160882.76999999999</v>
          </cell>
          <cell r="L97">
            <v>646979.07523517113</v>
          </cell>
          <cell r="N97">
            <v>11.866105769230769</v>
          </cell>
          <cell r="O97" t="str">
            <v>PAR</v>
          </cell>
          <cell r="P97">
            <v>486.1</v>
          </cell>
          <cell r="R97">
            <v>160.9</v>
          </cell>
          <cell r="T97">
            <v>647</v>
          </cell>
          <cell r="AD97">
            <v>486.1</v>
          </cell>
          <cell r="AF97">
            <v>160.9</v>
          </cell>
          <cell r="AH97">
            <v>647</v>
          </cell>
          <cell r="AJ97">
            <v>11.866105769230769</v>
          </cell>
          <cell r="AL97">
            <v>0</v>
          </cell>
          <cell r="AN97">
            <v>0</v>
          </cell>
          <cell r="AP97">
            <v>0</v>
          </cell>
          <cell r="AR97">
            <v>0</v>
          </cell>
          <cell r="AT97">
            <v>0</v>
          </cell>
          <cell r="AV97">
            <v>0</v>
          </cell>
          <cell r="AX97">
            <v>0</v>
          </cell>
          <cell r="AZ97">
            <v>0</v>
          </cell>
          <cell r="BB97">
            <v>486.1</v>
          </cell>
          <cell r="BD97">
            <v>160.9</v>
          </cell>
          <cell r="BF97">
            <v>647</v>
          </cell>
          <cell r="BH97">
            <v>11.866105769230769</v>
          </cell>
          <cell r="BN97">
            <v>0</v>
          </cell>
          <cell r="BR97">
            <v>486.1</v>
          </cell>
          <cell r="BT97">
            <v>160.9</v>
          </cell>
          <cell r="BV97">
            <v>647</v>
          </cell>
          <cell r="BX97">
            <v>11.866105769230769</v>
          </cell>
          <cell r="CD97">
            <v>0</v>
          </cell>
          <cell r="CG97" t="str">
            <v>PAR</v>
          </cell>
          <cell r="CH97">
            <v>19.271425771578574</v>
          </cell>
          <cell r="CJ97">
            <v>39.247814274602433</v>
          </cell>
          <cell r="CL97">
            <v>58.519240046181011</v>
          </cell>
          <cell r="CN97">
            <v>0.16490690175280032</v>
          </cell>
          <cell r="CO97" t="str">
            <v>PAR</v>
          </cell>
          <cell r="CP97">
            <v>505.37142577157857</v>
          </cell>
          <cell r="CR97">
            <v>200.14781427460244</v>
          </cell>
          <cell r="CT97">
            <v>705.51924004618104</v>
          </cell>
          <cell r="CV97">
            <v>12.03101267098357</v>
          </cell>
        </row>
        <row r="98">
          <cell r="B98" t="str">
            <v>DPO</v>
          </cell>
          <cell r="D98" t="str">
            <v>DOCTOR PRIVATE OFFICE RENT</v>
          </cell>
          <cell r="F98" t="str">
            <v>E3</v>
          </cell>
          <cell r="H98">
            <v>0</v>
          </cell>
          <cell r="J98">
            <v>0</v>
          </cell>
          <cell r="L98">
            <v>0</v>
          </cell>
          <cell r="N98">
            <v>0</v>
          </cell>
          <cell r="O98" t="str">
            <v>DPO</v>
          </cell>
          <cell r="P98">
            <v>0</v>
          </cell>
          <cell r="R98">
            <v>0</v>
          </cell>
          <cell r="T98">
            <v>0</v>
          </cell>
          <cell r="AD98">
            <v>0</v>
          </cell>
          <cell r="AF98">
            <v>0</v>
          </cell>
          <cell r="AH98">
            <v>0</v>
          </cell>
          <cell r="AJ98">
            <v>0</v>
          </cell>
          <cell r="AL98">
            <v>0</v>
          </cell>
          <cell r="AN98">
            <v>0</v>
          </cell>
          <cell r="AP98">
            <v>0</v>
          </cell>
          <cell r="AR98">
            <v>0</v>
          </cell>
          <cell r="AT98">
            <v>0</v>
          </cell>
          <cell r="AV98">
            <v>0</v>
          </cell>
          <cell r="AX98">
            <v>0</v>
          </cell>
          <cell r="AZ98">
            <v>0</v>
          </cell>
          <cell r="BB98">
            <v>0</v>
          </cell>
          <cell r="BD98">
            <v>0</v>
          </cell>
          <cell r="BF98">
            <v>0</v>
          </cell>
          <cell r="BH98">
            <v>0</v>
          </cell>
          <cell r="BN98">
            <v>0</v>
          </cell>
          <cell r="BR98">
            <v>0</v>
          </cell>
          <cell r="BT98">
            <v>0</v>
          </cell>
          <cell r="BV98">
            <v>0</v>
          </cell>
          <cell r="BX98">
            <v>0</v>
          </cell>
          <cell r="CB98">
            <v>0</v>
          </cell>
          <cell r="CD98">
            <v>0</v>
          </cell>
          <cell r="CG98" t="str">
            <v>DPO</v>
          </cell>
          <cell r="CH98">
            <v>0</v>
          </cell>
          <cell r="CJ98">
            <v>0</v>
          </cell>
          <cell r="CL98">
            <v>0</v>
          </cell>
          <cell r="CN98">
            <v>0</v>
          </cell>
          <cell r="CO98" t="str">
            <v>DPO</v>
          </cell>
          <cell r="CP98">
            <v>0</v>
          </cell>
          <cell r="CR98">
            <v>0</v>
          </cell>
          <cell r="CT98">
            <v>0</v>
          </cell>
          <cell r="CV98">
            <v>0</v>
          </cell>
        </row>
        <row r="99">
          <cell r="B99" t="str">
            <v>OOR</v>
          </cell>
          <cell r="D99" t="str">
            <v>OFFICE &amp; OTHER RENTALS</v>
          </cell>
          <cell r="F99" t="str">
            <v>E4</v>
          </cell>
          <cell r="H99">
            <v>0</v>
          </cell>
          <cell r="J99">
            <v>774411.71</v>
          </cell>
          <cell r="L99">
            <v>774411.71</v>
          </cell>
          <cell r="N99">
            <v>0</v>
          </cell>
          <cell r="O99" t="str">
            <v>OOR</v>
          </cell>
          <cell r="P99">
            <v>0</v>
          </cell>
          <cell r="R99">
            <v>774.4</v>
          </cell>
          <cell r="T99">
            <v>774.4</v>
          </cell>
          <cell r="AD99">
            <v>0</v>
          </cell>
          <cell r="AF99">
            <v>774.4</v>
          </cell>
          <cell r="AH99">
            <v>774.4</v>
          </cell>
          <cell r="AJ99">
            <v>0</v>
          </cell>
          <cell r="AL99">
            <v>0</v>
          </cell>
          <cell r="AN99">
            <v>0</v>
          </cell>
          <cell r="AP99">
            <v>0</v>
          </cell>
          <cell r="AR99">
            <v>0</v>
          </cell>
          <cell r="AT99">
            <v>0</v>
          </cell>
          <cell r="AV99">
            <v>0</v>
          </cell>
          <cell r="AX99">
            <v>0</v>
          </cell>
          <cell r="AZ99">
            <v>0</v>
          </cell>
          <cell r="BB99">
            <v>0</v>
          </cell>
          <cell r="BD99">
            <v>774.4</v>
          </cell>
          <cell r="BF99">
            <v>774.4</v>
          </cell>
          <cell r="BH99">
            <v>0</v>
          </cell>
          <cell r="BN99">
            <v>0</v>
          </cell>
          <cell r="BR99">
            <v>0</v>
          </cell>
          <cell r="BT99">
            <v>774.4</v>
          </cell>
          <cell r="BV99">
            <v>774.4</v>
          </cell>
          <cell r="BX99">
            <v>0</v>
          </cell>
          <cell r="CB99">
            <v>0</v>
          </cell>
          <cell r="CD99">
            <v>0</v>
          </cell>
          <cell r="CG99" t="str">
            <v>OOR</v>
          </cell>
          <cell r="CH99">
            <v>0</v>
          </cell>
          <cell r="CJ99">
            <v>1186.15104</v>
          </cell>
          <cell r="CL99">
            <v>1186.15104</v>
          </cell>
          <cell r="CN99">
            <v>0</v>
          </cell>
          <cell r="CO99" t="str">
            <v>OOR</v>
          </cell>
          <cell r="CP99">
            <v>0</v>
          </cell>
          <cell r="CR99">
            <v>1960.5510399999998</v>
          </cell>
          <cell r="CT99">
            <v>1960.5510399999998</v>
          </cell>
          <cell r="CV99">
            <v>0</v>
          </cell>
        </row>
        <row r="100">
          <cell r="B100" t="str">
            <v>REO</v>
          </cell>
          <cell r="D100" t="str">
            <v>RETAIL OPERATIONS</v>
          </cell>
          <cell r="F100" t="str">
            <v>E5</v>
          </cell>
          <cell r="H100">
            <v>0</v>
          </cell>
          <cell r="J100">
            <v>0</v>
          </cell>
          <cell r="L100">
            <v>0</v>
          </cell>
          <cell r="N100">
            <v>0</v>
          </cell>
          <cell r="O100" t="str">
            <v>REO</v>
          </cell>
          <cell r="P100">
            <v>0</v>
          </cell>
          <cell r="R100">
            <v>0</v>
          </cell>
          <cell r="T100">
            <v>0</v>
          </cell>
          <cell r="AD100">
            <v>0</v>
          </cell>
          <cell r="AF100">
            <v>0</v>
          </cell>
          <cell r="AH100">
            <v>0</v>
          </cell>
          <cell r="AJ100">
            <v>0</v>
          </cell>
          <cell r="AL100">
            <v>0</v>
          </cell>
          <cell r="AN100">
            <v>0</v>
          </cell>
          <cell r="AP100">
            <v>0</v>
          </cell>
          <cell r="AR100">
            <v>0</v>
          </cell>
          <cell r="AT100">
            <v>0</v>
          </cell>
          <cell r="AV100">
            <v>0</v>
          </cell>
          <cell r="AX100">
            <v>0</v>
          </cell>
          <cell r="AZ100">
            <v>0</v>
          </cell>
          <cell r="BB100">
            <v>0</v>
          </cell>
          <cell r="BD100">
            <v>0</v>
          </cell>
          <cell r="BF100">
            <v>0</v>
          </cell>
          <cell r="BH100">
            <v>0</v>
          </cell>
          <cell r="BN100">
            <v>0</v>
          </cell>
          <cell r="BR100">
            <v>0</v>
          </cell>
          <cell r="BT100">
            <v>0</v>
          </cell>
          <cell r="BV100">
            <v>0</v>
          </cell>
          <cell r="BX100">
            <v>0</v>
          </cell>
          <cell r="CB100">
            <v>4.122E-2</v>
          </cell>
          <cell r="CD100">
            <v>4.122E-2</v>
          </cell>
          <cell r="CG100" t="str">
            <v>REO</v>
          </cell>
          <cell r="CH100">
            <v>8.5637679637801902</v>
          </cell>
          <cell r="CJ100">
            <v>77.312426376411381</v>
          </cell>
          <cell r="CL100">
            <v>85.876194340191574</v>
          </cell>
          <cell r="CN100">
            <v>0.12234994295478692</v>
          </cell>
          <cell r="CO100" t="str">
            <v>REO</v>
          </cell>
          <cell r="CP100">
            <v>8.6049879637801894</v>
          </cell>
          <cell r="CR100">
            <v>77.312426376411381</v>
          </cell>
          <cell r="CT100">
            <v>85.91741434019157</v>
          </cell>
          <cell r="CV100">
            <v>0.12234994295478692</v>
          </cell>
        </row>
        <row r="101">
          <cell r="B101" t="str">
            <v>PTE</v>
          </cell>
          <cell r="D101" t="str">
            <v>PATIENT TELEPHONE</v>
          </cell>
          <cell r="F101" t="str">
            <v>E6</v>
          </cell>
          <cell r="H101">
            <v>68259.038287212446</v>
          </cell>
          <cell r="J101">
            <v>-270.57381615598882</v>
          </cell>
          <cell r="L101">
            <v>67988.464471056461</v>
          </cell>
          <cell r="N101">
            <v>1.4653774730376399</v>
          </cell>
          <cell r="O101" t="str">
            <v>PTE</v>
          </cell>
          <cell r="P101">
            <v>68.3</v>
          </cell>
          <cell r="R101">
            <v>-0.3</v>
          </cell>
          <cell r="T101">
            <v>68</v>
          </cell>
          <cell r="AD101">
            <v>68.3</v>
          </cell>
          <cell r="AF101">
            <v>-0.3</v>
          </cell>
          <cell r="AH101">
            <v>68</v>
          </cell>
          <cell r="AJ101">
            <v>1.4653774730376399</v>
          </cell>
          <cell r="AL101">
            <v>0</v>
          </cell>
          <cell r="AN101">
            <v>0</v>
          </cell>
          <cell r="AP101">
            <v>0</v>
          </cell>
          <cell r="AR101">
            <v>0</v>
          </cell>
          <cell r="AT101">
            <v>0</v>
          </cell>
          <cell r="AV101">
            <v>0</v>
          </cell>
          <cell r="AX101">
            <v>0</v>
          </cell>
          <cell r="AZ101">
            <v>0</v>
          </cell>
          <cell r="BB101">
            <v>68.3</v>
          </cell>
          <cell r="BD101">
            <v>-0.3</v>
          </cell>
          <cell r="BF101">
            <v>68</v>
          </cell>
          <cell r="BH101">
            <v>1.4653774730376399</v>
          </cell>
          <cell r="BN101">
            <v>0</v>
          </cell>
          <cell r="BR101">
            <v>68.3</v>
          </cell>
          <cell r="BT101">
            <v>-0.3</v>
          </cell>
          <cell r="BV101">
            <v>68</v>
          </cell>
          <cell r="BX101">
            <v>1.4653774730376399</v>
          </cell>
          <cell r="CB101">
            <v>0.50116000000000005</v>
          </cell>
          <cell r="CD101">
            <v>0.50116000000000005</v>
          </cell>
          <cell r="CG101" t="str">
            <v>PTE</v>
          </cell>
          <cell r="CH101">
            <v>2.2315560482339452</v>
          </cell>
          <cell r="CJ101">
            <v>4.1927944603492264</v>
          </cell>
          <cell r="CL101">
            <v>6.4243505085831716</v>
          </cell>
          <cell r="CN101">
            <v>2.198945612038309E-2</v>
          </cell>
          <cell r="CO101" t="str">
            <v>PTE</v>
          </cell>
          <cell r="CP101">
            <v>71.032716048233937</v>
          </cell>
          <cell r="CR101">
            <v>3.8927944603492266</v>
          </cell>
          <cell r="CT101">
            <v>74.925510508583159</v>
          </cell>
          <cell r="CV101">
            <v>1.4873669291580229</v>
          </cell>
        </row>
        <row r="102">
          <cell r="B102" t="str">
            <v>CAF</v>
          </cell>
          <cell r="D102" t="str">
            <v>CAFETERIA</v>
          </cell>
          <cell r="F102" t="str">
            <v>E7</v>
          </cell>
          <cell r="H102">
            <v>0</v>
          </cell>
          <cell r="J102">
            <v>0</v>
          </cell>
          <cell r="L102">
            <v>0</v>
          </cell>
          <cell r="N102">
            <v>0</v>
          </cell>
          <cell r="O102" t="str">
            <v>CAF</v>
          </cell>
          <cell r="P102">
            <v>0</v>
          </cell>
          <cell r="R102">
            <v>0</v>
          </cell>
          <cell r="T102">
            <v>0</v>
          </cell>
          <cell r="AD102">
            <v>0</v>
          </cell>
          <cell r="AF102">
            <v>0</v>
          </cell>
          <cell r="AH102">
            <v>0</v>
          </cell>
          <cell r="AJ102">
            <v>0</v>
          </cell>
          <cell r="AL102">
            <v>0</v>
          </cell>
          <cell r="AN102">
            <v>0</v>
          </cell>
          <cell r="AP102">
            <v>0</v>
          </cell>
          <cell r="AR102">
            <v>0</v>
          </cell>
          <cell r="AT102">
            <v>0</v>
          </cell>
          <cell r="AV102">
            <v>0</v>
          </cell>
          <cell r="AX102">
            <v>0</v>
          </cell>
          <cell r="AZ102">
            <v>0</v>
          </cell>
          <cell r="BB102">
            <v>0</v>
          </cell>
          <cell r="BD102">
            <v>0</v>
          </cell>
          <cell r="BF102">
            <v>0</v>
          </cell>
          <cell r="BH102">
            <v>0</v>
          </cell>
          <cell r="BN102">
            <v>0</v>
          </cell>
          <cell r="BR102">
            <v>0</v>
          </cell>
          <cell r="BT102">
            <v>0</v>
          </cell>
          <cell r="BV102">
            <v>0</v>
          </cell>
          <cell r="BX102">
            <v>0</v>
          </cell>
          <cell r="CD102">
            <v>0</v>
          </cell>
          <cell r="CG102" t="str">
            <v>CAF</v>
          </cell>
          <cell r="CH102">
            <v>28.83793870258588</v>
          </cell>
          <cell r="CJ102">
            <v>260.3446312675411</v>
          </cell>
          <cell r="CL102">
            <v>289.18256997012696</v>
          </cell>
          <cell r="CN102">
            <v>0.41200557629746487</v>
          </cell>
          <cell r="CO102" t="str">
            <v>CAF</v>
          </cell>
          <cell r="CP102">
            <v>28.83793870258588</v>
          </cell>
          <cell r="CR102">
            <v>260.3446312675411</v>
          </cell>
          <cell r="CT102">
            <v>289.18256997012696</v>
          </cell>
          <cell r="CV102">
            <v>0.41200557629746487</v>
          </cell>
        </row>
        <row r="103">
          <cell r="B103" t="str">
            <v>DEB</v>
          </cell>
          <cell r="D103" t="str">
            <v>DAY CARE, REC AREAS, ECT.</v>
          </cell>
          <cell r="F103" t="str">
            <v>E8</v>
          </cell>
          <cell r="H103">
            <v>0</v>
          </cell>
          <cell r="J103">
            <v>-21914.23</v>
          </cell>
          <cell r="L103">
            <v>-21914.23</v>
          </cell>
          <cell r="N103">
            <v>0</v>
          </cell>
          <cell r="O103" t="str">
            <v>DEB</v>
          </cell>
          <cell r="P103">
            <v>0</v>
          </cell>
          <cell r="R103">
            <v>-21.9</v>
          </cell>
          <cell r="T103">
            <v>-21.9</v>
          </cell>
          <cell r="AD103">
            <v>0</v>
          </cell>
          <cell r="AF103">
            <v>-21.9</v>
          </cell>
          <cell r="AH103">
            <v>-21.9</v>
          </cell>
          <cell r="AJ103">
            <v>0</v>
          </cell>
          <cell r="AL103">
            <v>0</v>
          </cell>
          <cell r="AN103">
            <v>0</v>
          </cell>
          <cell r="AP103">
            <v>0</v>
          </cell>
          <cell r="AR103">
            <v>0</v>
          </cell>
          <cell r="AT103">
            <v>0</v>
          </cell>
          <cell r="AV103">
            <v>0</v>
          </cell>
          <cell r="AX103">
            <v>0</v>
          </cell>
          <cell r="AZ103">
            <v>0</v>
          </cell>
          <cell r="BB103">
            <v>0</v>
          </cell>
          <cell r="BD103">
            <v>-21.9</v>
          </cell>
          <cell r="BF103">
            <v>-21.9</v>
          </cell>
          <cell r="BH103">
            <v>0</v>
          </cell>
          <cell r="BN103">
            <v>0</v>
          </cell>
          <cell r="BR103">
            <v>0</v>
          </cell>
          <cell r="BT103">
            <v>-21.9</v>
          </cell>
          <cell r="BV103">
            <v>-21.9</v>
          </cell>
          <cell r="BX103">
            <v>0</v>
          </cell>
          <cell r="CD103">
            <v>0</v>
          </cell>
          <cell r="CG103" t="str">
            <v>DEB</v>
          </cell>
          <cell r="CH103">
            <v>18.874637682139213</v>
          </cell>
          <cell r="CJ103">
            <v>176.74932599240253</v>
          </cell>
          <cell r="CL103">
            <v>195.62396367454176</v>
          </cell>
          <cell r="CN103">
            <v>0.27247377462895339</v>
          </cell>
          <cell r="CO103" t="str">
            <v>DEB</v>
          </cell>
          <cell r="CP103">
            <v>18.874637682139213</v>
          </cell>
          <cell r="CR103">
            <v>154.84932599240253</v>
          </cell>
          <cell r="CT103">
            <v>173.72396367454175</v>
          </cell>
          <cell r="CV103">
            <v>0.27247377462895339</v>
          </cell>
        </row>
        <row r="104">
          <cell r="B104" t="str">
            <v>HOU</v>
          </cell>
          <cell r="D104" t="str">
            <v>HOUSING</v>
          </cell>
          <cell r="F104" t="str">
            <v>E9</v>
          </cell>
          <cell r="H104">
            <v>0</v>
          </cell>
          <cell r="J104">
            <v>0</v>
          </cell>
          <cell r="L104">
            <v>0</v>
          </cell>
          <cell r="N104">
            <v>0</v>
          </cell>
          <cell r="O104" t="str">
            <v>HOU</v>
          </cell>
          <cell r="P104">
            <v>0</v>
          </cell>
          <cell r="R104">
            <v>0</v>
          </cell>
          <cell r="T104">
            <v>0</v>
          </cell>
          <cell r="AD104">
            <v>0</v>
          </cell>
          <cell r="AF104">
            <v>0</v>
          </cell>
          <cell r="AH104">
            <v>0</v>
          </cell>
          <cell r="AJ104">
            <v>0</v>
          </cell>
          <cell r="AL104">
            <v>0</v>
          </cell>
          <cell r="AN104">
            <v>0</v>
          </cell>
          <cell r="AP104">
            <v>0</v>
          </cell>
          <cell r="AR104">
            <v>0</v>
          </cell>
          <cell r="AT104">
            <v>0</v>
          </cell>
          <cell r="AV104">
            <v>0</v>
          </cell>
          <cell r="AX104">
            <v>0</v>
          </cell>
          <cell r="AZ104">
            <v>0</v>
          </cell>
          <cell r="BB104">
            <v>0</v>
          </cell>
          <cell r="BD104">
            <v>0</v>
          </cell>
          <cell r="BF104">
            <v>0</v>
          </cell>
          <cell r="BH104">
            <v>0</v>
          </cell>
          <cell r="BN104">
            <v>0</v>
          </cell>
          <cell r="BR104">
            <v>0</v>
          </cell>
          <cell r="BT104">
            <v>0</v>
          </cell>
          <cell r="BV104">
            <v>0</v>
          </cell>
          <cell r="BX104">
            <v>0</v>
          </cell>
          <cell r="CD104">
            <v>0</v>
          </cell>
          <cell r="CG104" t="str">
            <v>HOU</v>
          </cell>
          <cell r="CH104">
            <v>0</v>
          </cell>
          <cell r="CJ104">
            <v>0</v>
          </cell>
          <cell r="CL104">
            <v>0</v>
          </cell>
          <cell r="CN104">
            <v>0</v>
          </cell>
          <cell r="CO104" t="str">
            <v>HOU</v>
          </cell>
          <cell r="CP104">
            <v>0</v>
          </cell>
          <cell r="CR104">
            <v>0</v>
          </cell>
          <cell r="CT104">
            <v>0</v>
          </cell>
          <cell r="CV104">
            <v>0</v>
          </cell>
        </row>
        <row r="105">
          <cell r="B105" t="str">
            <v>REG</v>
          </cell>
          <cell r="D105" t="str">
            <v>RESEARCH</v>
          </cell>
          <cell r="F105" t="str">
            <v>F1</v>
          </cell>
          <cell r="H105">
            <v>565154.40333505149</v>
          </cell>
          <cell r="J105">
            <v>50186.729999999996</v>
          </cell>
          <cell r="L105">
            <v>615341.13333505148</v>
          </cell>
          <cell r="N105">
            <v>4.6439903846153845</v>
          </cell>
          <cell r="O105" t="str">
            <v>REG</v>
          </cell>
          <cell r="P105">
            <v>565.20000000000005</v>
          </cell>
          <cell r="R105">
            <v>50.2</v>
          </cell>
          <cell r="T105">
            <v>615.40000000000009</v>
          </cell>
          <cell r="AD105">
            <v>565.20000000000005</v>
          </cell>
          <cell r="AF105">
            <v>50.2</v>
          </cell>
          <cell r="AH105">
            <v>615.40000000000009</v>
          </cell>
          <cell r="AJ105">
            <v>4.6439903846153845</v>
          </cell>
          <cell r="AL105">
            <v>0</v>
          </cell>
          <cell r="AN105">
            <v>0</v>
          </cell>
          <cell r="AP105">
            <v>0</v>
          </cell>
          <cell r="AR105">
            <v>0</v>
          </cell>
          <cell r="AT105">
            <v>0</v>
          </cell>
          <cell r="AV105">
            <v>0</v>
          </cell>
          <cell r="AX105">
            <v>0</v>
          </cell>
          <cell r="AZ105">
            <v>0</v>
          </cell>
          <cell r="BB105">
            <v>565.20000000000005</v>
          </cell>
          <cell r="BD105">
            <v>50.2</v>
          </cell>
          <cell r="BF105">
            <v>615.40000000000009</v>
          </cell>
          <cell r="BH105">
            <v>4.6439903846153845</v>
          </cell>
          <cell r="BJ105">
            <v>0</v>
          </cell>
          <cell r="BN105">
            <v>0</v>
          </cell>
          <cell r="BP105">
            <v>0</v>
          </cell>
          <cell r="BR105">
            <v>565.20000000000005</v>
          </cell>
          <cell r="BT105">
            <v>50.2</v>
          </cell>
          <cell r="BV105">
            <v>615.40000000000009</v>
          </cell>
          <cell r="BX105">
            <v>4.6439903846153845</v>
          </cell>
          <cell r="CB105">
            <v>1.6431100000000001</v>
          </cell>
          <cell r="CD105">
            <v>1.6431100000000001</v>
          </cell>
          <cell r="CG105" t="str">
            <v>REG</v>
          </cell>
          <cell r="CH105">
            <v>22.935869798338061</v>
          </cell>
          <cell r="CJ105">
            <v>39.228290726818564</v>
          </cell>
          <cell r="CL105">
            <v>62.164160525156625</v>
          </cell>
          <cell r="CN105">
            <v>0.23256895298668312</v>
          </cell>
          <cell r="CO105" t="str">
            <v>REG</v>
          </cell>
          <cell r="CP105">
            <v>589.77897979833813</v>
          </cell>
          <cell r="CR105">
            <v>89.428290726818574</v>
          </cell>
          <cell r="CT105">
            <v>679.20727052515667</v>
          </cell>
          <cell r="CV105">
            <v>4.8765593376020675</v>
          </cell>
        </row>
        <row r="106">
          <cell r="B106" t="str">
            <v>RNS</v>
          </cell>
          <cell r="D106" t="str">
            <v>NURSING EDUCATION</v>
          </cell>
          <cell r="F106" t="str">
            <v>F2</v>
          </cell>
          <cell r="H106">
            <v>0</v>
          </cell>
          <cell r="J106">
            <v>0</v>
          </cell>
          <cell r="L106">
            <v>0</v>
          </cell>
          <cell r="N106">
            <v>0</v>
          </cell>
          <cell r="O106" t="str">
            <v>RNS</v>
          </cell>
          <cell r="P106">
            <v>0</v>
          </cell>
          <cell r="R106">
            <v>0</v>
          </cell>
          <cell r="T106">
            <v>0</v>
          </cell>
          <cell r="AD106">
            <v>0</v>
          </cell>
          <cell r="AF106">
            <v>0</v>
          </cell>
          <cell r="AH106">
            <v>0</v>
          </cell>
          <cell r="AJ106">
            <v>0</v>
          </cell>
          <cell r="AL106">
            <v>0</v>
          </cell>
          <cell r="AN106">
            <v>0</v>
          </cell>
          <cell r="AP106">
            <v>0</v>
          </cell>
          <cell r="AR106">
            <v>0</v>
          </cell>
          <cell r="AT106">
            <v>0</v>
          </cell>
          <cell r="AV106">
            <v>0</v>
          </cell>
          <cell r="AX106">
            <v>0</v>
          </cell>
          <cell r="AZ106">
            <v>0</v>
          </cell>
          <cell r="BB106">
            <v>0</v>
          </cell>
          <cell r="BD106">
            <v>0</v>
          </cell>
          <cell r="BF106">
            <v>0</v>
          </cell>
          <cell r="BH106">
            <v>0</v>
          </cell>
          <cell r="BN106">
            <v>0</v>
          </cell>
          <cell r="BR106">
            <v>0</v>
          </cell>
          <cell r="BT106">
            <v>0</v>
          </cell>
          <cell r="BV106">
            <v>0</v>
          </cell>
          <cell r="BX106">
            <v>0</v>
          </cell>
          <cell r="CB106">
            <v>0</v>
          </cell>
          <cell r="CD106">
            <v>0</v>
          </cell>
          <cell r="CG106" t="str">
            <v>RNS</v>
          </cell>
          <cell r="CH106">
            <v>0</v>
          </cell>
          <cell r="CJ106">
            <v>0</v>
          </cell>
          <cell r="CL106">
            <v>0</v>
          </cell>
          <cell r="CN106">
            <v>0</v>
          </cell>
          <cell r="CO106" t="str">
            <v>RNS</v>
          </cell>
          <cell r="CP106">
            <v>0</v>
          </cell>
          <cell r="CR106">
            <v>0</v>
          </cell>
          <cell r="CT106">
            <v>0</v>
          </cell>
          <cell r="CV106">
            <v>0</v>
          </cell>
        </row>
        <row r="107">
          <cell r="B107" t="str">
            <v>OHE</v>
          </cell>
          <cell r="D107" t="str">
            <v>OTHER HEALTH PROFESSION EDUC.</v>
          </cell>
          <cell r="F107" t="str">
            <v>F3</v>
          </cell>
          <cell r="H107">
            <v>0</v>
          </cell>
          <cell r="J107">
            <v>0</v>
          </cell>
          <cell r="L107">
            <v>0</v>
          </cell>
          <cell r="N107">
            <v>0</v>
          </cell>
          <cell r="O107" t="str">
            <v>OHE</v>
          </cell>
          <cell r="P107">
            <v>0</v>
          </cell>
          <cell r="R107">
            <v>0</v>
          </cell>
          <cell r="T107">
            <v>0</v>
          </cell>
          <cell r="AD107">
            <v>0</v>
          </cell>
          <cell r="AF107">
            <v>0</v>
          </cell>
          <cell r="AH107">
            <v>0</v>
          </cell>
          <cell r="AJ107">
            <v>0</v>
          </cell>
          <cell r="AL107">
            <v>0</v>
          </cell>
          <cell r="AN107">
            <v>0</v>
          </cell>
          <cell r="AP107">
            <v>0</v>
          </cell>
          <cell r="AR107">
            <v>0</v>
          </cell>
          <cell r="AT107">
            <v>0</v>
          </cell>
          <cell r="AV107">
            <v>0</v>
          </cell>
          <cell r="AX107">
            <v>0</v>
          </cell>
          <cell r="AZ107">
            <v>0</v>
          </cell>
          <cell r="BB107">
            <v>0</v>
          </cell>
          <cell r="BD107">
            <v>0</v>
          </cell>
          <cell r="BF107">
            <v>0</v>
          </cell>
          <cell r="BH107">
            <v>0</v>
          </cell>
          <cell r="BN107">
            <v>0</v>
          </cell>
          <cell r="BR107">
            <v>0</v>
          </cell>
          <cell r="BT107">
            <v>0</v>
          </cell>
          <cell r="BV107">
            <v>0</v>
          </cell>
          <cell r="BX107">
            <v>0</v>
          </cell>
          <cell r="CB107">
            <v>0</v>
          </cell>
          <cell r="CD107">
            <v>0</v>
          </cell>
          <cell r="CG107" t="str">
            <v>OHE</v>
          </cell>
          <cell r="CH107">
            <v>0</v>
          </cell>
          <cell r="CJ107">
            <v>0</v>
          </cell>
          <cell r="CL107">
            <v>0</v>
          </cell>
          <cell r="CN107">
            <v>0</v>
          </cell>
          <cell r="CO107" t="str">
            <v>OHE</v>
          </cell>
          <cell r="CP107">
            <v>0</v>
          </cell>
          <cell r="CR107">
            <v>0</v>
          </cell>
          <cell r="CT107">
            <v>0</v>
          </cell>
          <cell r="CV107">
            <v>0</v>
          </cell>
        </row>
        <row r="108">
          <cell r="B108" t="str">
            <v>CHE</v>
          </cell>
          <cell r="D108" t="str">
            <v>COMMUNITY HEALTH EDUCATION</v>
          </cell>
          <cell r="F108" t="str">
            <v>F4</v>
          </cell>
          <cell r="H108">
            <v>941364.93419682421</v>
          </cell>
          <cell r="J108">
            <v>463924.52999999997</v>
          </cell>
          <cell r="L108">
            <v>1405289.4641968242</v>
          </cell>
          <cell r="N108">
            <v>10.088120192307693</v>
          </cell>
          <cell r="O108" t="str">
            <v>CHE</v>
          </cell>
          <cell r="P108">
            <v>941.4</v>
          </cell>
          <cell r="R108">
            <v>463.9</v>
          </cell>
          <cell r="T108">
            <v>1405.3</v>
          </cell>
          <cell r="AD108">
            <v>941.4</v>
          </cell>
          <cell r="AF108">
            <v>463.9</v>
          </cell>
          <cell r="AH108">
            <v>1405.3</v>
          </cell>
          <cell r="AJ108">
            <v>10.088120192307693</v>
          </cell>
          <cell r="AL108">
            <v>0</v>
          </cell>
          <cell r="AN108">
            <v>0</v>
          </cell>
          <cell r="AP108">
            <v>0</v>
          </cell>
          <cell r="AR108">
            <v>0</v>
          </cell>
          <cell r="AT108">
            <v>0</v>
          </cell>
          <cell r="AV108">
            <v>0</v>
          </cell>
          <cell r="AX108">
            <v>0</v>
          </cell>
          <cell r="AZ108">
            <v>0</v>
          </cell>
          <cell r="BB108">
            <v>941.4</v>
          </cell>
          <cell r="BD108">
            <v>463.9</v>
          </cell>
          <cell r="BF108">
            <v>1405.3</v>
          </cell>
          <cell r="BH108">
            <v>10.088120192307693</v>
          </cell>
          <cell r="BN108">
            <v>0</v>
          </cell>
          <cell r="BR108">
            <v>941.4</v>
          </cell>
          <cell r="BT108">
            <v>463.9</v>
          </cell>
          <cell r="BV108">
            <v>1405.3</v>
          </cell>
          <cell r="BX108">
            <v>10.088120192307693</v>
          </cell>
          <cell r="CB108">
            <v>3.6087400000000001</v>
          </cell>
          <cell r="CD108">
            <v>3.6087400000000001</v>
          </cell>
          <cell r="CG108" t="str">
            <v>CHE</v>
          </cell>
          <cell r="CH108">
            <v>57.345523873291206</v>
          </cell>
          <cell r="CJ108">
            <v>96.514096895960208</v>
          </cell>
          <cell r="CL108">
            <v>153.85962076925142</v>
          </cell>
          <cell r="CN108">
            <v>0.62217593702762719</v>
          </cell>
          <cell r="CO108" t="str">
            <v>CHE</v>
          </cell>
          <cell r="CP108">
            <v>1002.3542638732912</v>
          </cell>
          <cell r="CR108">
            <v>560.41409689596014</v>
          </cell>
          <cell r="CT108">
            <v>1562.7683607692513</v>
          </cell>
          <cell r="CV108">
            <v>10.710296129335321</v>
          </cell>
        </row>
        <row r="109">
          <cell r="B109" t="str">
            <v>FB1</v>
          </cell>
          <cell r="D109" t="str">
            <v>FRINGE BENEFITS</v>
          </cell>
          <cell r="F109" t="str">
            <v>FB1</v>
          </cell>
          <cell r="H109" t="str">
            <v>XXXXXXXXX</v>
          </cell>
          <cell r="J109" t="str">
            <v>XXXXXXXXX</v>
          </cell>
          <cell r="L109">
            <v>0</v>
          </cell>
          <cell r="N109" t="str">
            <v>XXXXXXXXX</v>
          </cell>
          <cell r="O109" t="str">
            <v>FB1</v>
          </cell>
          <cell r="P109">
            <v>0</v>
          </cell>
          <cell r="R109">
            <v>0</v>
          </cell>
          <cell r="T109">
            <v>0</v>
          </cell>
          <cell r="AD109">
            <v>0</v>
          </cell>
          <cell r="AF109">
            <v>0</v>
          </cell>
          <cell r="AH109">
            <v>0</v>
          </cell>
          <cell r="AJ109">
            <v>0</v>
          </cell>
          <cell r="AT109">
            <v>0</v>
          </cell>
          <cell r="AV109">
            <v>0</v>
          </cell>
          <cell r="AX109">
            <v>0</v>
          </cell>
          <cell r="AZ109">
            <v>0</v>
          </cell>
          <cell r="BB109">
            <v>0</v>
          </cell>
          <cell r="BD109">
            <v>0</v>
          </cell>
          <cell r="BF109">
            <v>0</v>
          </cell>
          <cell r="BH109">
            <v>0</v>
          </cell>
          <cell r="BN109">
            <v>0</v>
          </cell>
          <cell r="BR109">
            <v>0</v>
          </cell>
          <cell r="BT109">
            <v>0</v>
          </cell>
          <cell r="BV109">
            <v>0</v>
          </cell>
          <cell r="BX109">
            <v>0</v>
          </cell>
          <cell r="CD109">
            <v>0</v>
          </cell>
          <cell r="CG109" t="str">
            <v>FB1</v>
          </cell>
          <cell r="CL109">
            <v>0</v>
          </cell>
          <cell r="CO109" t="str">
            <v>FB1</v>
          </cell>
          <cell r="CP109">
            <v>0</v>
          </cell>
          <cell r="CR109">
            <v>0</v>
          </cell>
          <cell r="CT109">
            <v>0</v>
          </cell>
          <cell r="CV109">
            <v>0</v>
          </cell>
        </row>
        <row r="110">
          <cell r="B110" t="str">
            <v>MSV</v>
          </cell>
          <cell r="D110" t="str">
            <v>MEDICAL SERVICES</v>
          </cell>
          <cell r="F110" t="str">
            <v>MS1</v>
          </cell>
          <cell r="H110" t="str">
            <v>XXXXXXXXX</v>
          </cell>
          <cell r="J110" t="str">
            <v>XXXXXXXXX</v>
          </cell>
          <cell r="L110">
            <v>0</v>
          </cell>
          <cell r="N110" t="str">
            <v>XXXXXXXXX</v>
          </cell>
          <cell r="O110" t="str">
            <v>MSV</v>
          </cell>
          <cell r="P110">
            <v>0</v>
          </cell>
          <cell r="R110">
            <v>0</v>
          </cell>
          <cell r="T110">
            <v>0</v>
          </cell>
          <cell r="AD110">
            <v>0</v>
          </cell>
          <cell r="AF110">
            <v>0</v>
          </cell>
          <cell r="AH110">
            <v>0</v>
          </cell>
          <cell r="AJ110">
            <v>0</v>
          </cell>
          <cell r="AT110">
            <v>0</v>
          </cell>
          <cell r="AV110">
            <v>0</v>
          </cell>
          <cell r="AX110">
            <v>0</v>
          </cell>
          <cell r="AZ110">
            <v>0</v>
          </cell>
          <cell r="BB110">
            <v>0</v>
          </cell>
          <cell r="BD110">
            <v>0</v>
          </cell>
          <cell r="BF110">
            <v>0</v>
          </cell>
          <cell r="BH110">
            <v>0</v>
          </cell>
          <cell r="BN110">
            <v>0</v>
          </cell>
          <cell r="BR110">
            <v>0</v>
          </cell>
          <cell r="BT110">
            <v>0</v>
          </cell>
          <cell r="BV110">
            <v>0</v>
          </cell>
          <cell r="BX110">
            <v>0</v>
          </cell>
          <cell r="CD110">
            <v>0</v>
          </cell>
          <cell r="CG110" t="str">
            <v>MSV</v>
          </cell>
          <cell r="CL110">
            <v>0</v>
          </cell>
          <cell r="CO110" t="str">
            <v>MSV</v>
          </cell>
          <cell r="CP110">
            <v>0</v>
          </cell>
          <cell r="CR110">
            <v>0</v>
          </cell>
          <cell r="CT110">
            <v>0</v>
          </cell>
          <cell r="CV110">
            <v>0</v>
          </cell>
        </row>
        <row r="111">
          <cell r="B111" t="str">
            <v>P1</v>
          </cell>
          <cell r="D111" t="str">
            <v>HOSPITAL BASED PHYSICIANS</v>
          </cell>
          <cell r="F111" t="str">
            <v>P01</v>
          </cell>
          <cell r="H111">
            <v>5359432</v>
          </cell>
          <cell r="J111" t="str">
            <v>XXXXXXXXX</v>
          </cell>
          <cell r="L111">
            <v>5359432</v>
          </cell>
          <cell r="N111">
            <v>22.271359199323697</v>
          </cell>
          <cell r="O111" t="str">
            <v>P1</v>
          </cell>
          <cell r="P111">
            <v>5359.4</v>
          </cell>
          <cell r="R111">
            <v>0</v>
          </cell>
          <cell r="T111">
            <v>5359.4</v>
          </cell>
          <cell r="AD111">
            <v>5359.4</v>
          </cell>
          <cell r="AF111">
            <v>0</v>
          </cell>
          <cell r="AH111">
            <v>5359.4</v>
          </cell>
          <cell r="AJ111">
            <v>22.271359199323697</v>
          </cell>
          <cell r="AT111">
            <v>0</v>
          </cell>
          <cell r="AV111">
            <v>0</v>
          </cell>
          <cell r="AX111">
            <v>0</v>
          </cell>
          <cell r="AZ111">
            <v>0</v>
          </cell>
          <cell r="BB111">
            <v>5359.4</v>
          </cell>
          <cell r="BD111">
            <v>0</v>
          </cell>
          <cell r="BF111">
            <v>5359.4</v>
          </cell>
          <cell r="BH111">
            <v>22.271359199323697</v>
          </cell>
          <cell r="BJ111">
            <v>-5359.4315237484625</v>
          </cell>
          <cell r="BN111">
            <v>-5359.4315237484625</v>
          </cell>
          <cell r="BP111">
            <v>-22.271359199323697</v>
          </cell>
          <cell r="BR111">
            <v>-3.1523748462859658E-2</v>
          </cell>
          <cell r="BT111">
            <v>0</v>
          </cell>
          <cell r="BV111">
            <v>-3.1523748462859658E-2</v>
          </cell>
          <cell r="BX111">
            <v>0</v>
          </cell>
          <cell r="CD111">
            <v>0</v>
          </cell>
          <cell r="CG111" t="str">
            <v>P1</v>
          </cell>
          <cell r="CL111">
            <v>0</v>
          </cell>
          <cell r="CO111" t="str">
            <v>P1</v>
          </cell>
          <cell r="CP111">
            <v>-3.1523748462859658E-2</v>
          </cell>
          <cell r="CR111">
            <v>0</v>
          </cell>
          <cell r="CT111">
            <v>-3.1523748462859658E-2</v>
          </cell>
          <cell r="CV111">
            <v>0</v>
          </cell>
        </row>
        <row r="112">
          <cell r="B112" t="str">
            <v>P2</v>
          </cell>
          <cell r="D112" t="str">
            <v>PHYSICIAN PART B SERVICES</v>
          </cell>
          <cell r="F112" t="str">
            <v>P02</v>
          </cell>
          <cell r="H112" t="str">
            <v>XXXXXXXXX</v>
          </cell>
          <cell r="J112" t="str">
            <v>XXXXXXXXX</v>
          </cell>
          <cell r="L112">
            <v>0</v>
          </cell>
          <cell r="N112" t="str">
            <v>XXXXXXXXX</v>
          </cell>
          <cell r="O112" t="str">
            <v>P2</v>
          </cell>
          <cell r="P112">
            <v>0</v>
          </cell>
          <cell r="R112">
            <v>0</v>
          </cell>
          <cell r="T112">
            <v>0</v>
          </cell>
          <cell r="X112">
            <v>0</v>
          </cell>
          <cell r="Z112">
            <v>0</v>
          </cell>
          <cell r="AD112">
            <v>0</v>
          </cell>
          <cell r="AF112">
            <v>0</v>
          </cell>
          <cell r="AH112">
            <v>0</v>
          </cell>
          <cell r="AJ112">
            <v>0</v>
          </cell>
          <cell r="AT112">
            <v>0</v>
          </cell>
          <cell r="AV112">
            <v>0</v>
          </cell>
          <cell r="AX112">
            <v>0</v>
          </cell>
          <cell r="AZ112">
            <v>0</v>
          </cell>
          <cell r="BB112">
            <v>0</v>
          </cell>
          <cell r="BD112">
            <v>0</v>
          </cell>
          <cell r="BF112">
            <v>0</v>
          </cell>
          <cell r="BH112">
            <v>0</v>
          </cell>
          <cell r="BJ112">
            <v>0</v>
          </cell>
          <cell r="BN112">
            <v>0</v>
          </cell>
          <cell r="BP112">
            <v>0</v>
          </cell>
          <cell r="BR112">
            <v>0</v>
          </cell>
          <cell r="BT112">
            <v>0</v>
          </cell>
          <cell r="BV112">
            <v>0</v>
          </cell>
          <cell r="BX112">
            <v>0</v>
          </cell>
          <cell r="CB112">
            <v>0</v>
          </cell>
          <cell r="CD112">
            <v>0</v>
          </cell>
          <cell r="CG112" t="str">
            <v>P2</v>
          </cell>
          <cell r="CL112">
            <v>0</v>
          </cell>
          <cell r="CO112" t="str">
            <v>P2</v>
          </cell>
          <cell r="CP112">
            <v>0</v>
          </cell>
          <cell r="CR112">
            <v>0</v>
          </cell>
          <cell r="CT112">
            <v>0</v>
          </cell>
          <cell r="CV112">
            <v>0</v>
          </cell>
        </row>
        <row r="113">
          <cell r="B113" t="str">
            <v>P3</v>
          </cell>
          <cell r="D113" t="str">
            <v>PHYSICIAN SUPPORT SERVICES</v>
          </cell>
          <cell r="F113" t="str">
            <v>P03</v>
          </cell>
          <cell r="H113">
            <v>862591</v>
          </cell>
          <cell r="J113" t="str">
            <v>XXXXXXXXX</v>
          </cell>
          <cell r="L113">
            <v>862591</v>
          </cell>
          <cell r="N113">
            <v>4.7074519230769241</v>
          </cell>
          <cell r="O113" t="str">
            <v>P3</v>
          </cell>
          <cell r="P113">
            <v>862.6</v>
          </cell>
          <cell r="R113">
            <v>0</v>
          </cell>
          <cell r="T113">
            <v>862.6</v>
          </cell>
          <cell r="AD113">
            <v>862.6</v>
          </cell>
          <cell r="AF113">
            <v>0</v>
          </cell>
          <cell r="AH113">
            <v>862.6</v>
          </cell>
          <cell r="AJ113">
            <v>4.7074519230769241</v>
          </cell>
          <cell r="AT113">
            <v>0</v>
          </cell>
          <cell r="AV113">
            <v>0</v>
          </cell>
          <cell r="AX113">
            <v>0</v>
          </cell>
          <cell r="AZ113">
            <v>0</v>
          </cell>
          <cell r="BB113">
            <v>862.6</v>
          </cell>
          <cell r="BD113">
            <v>0</v>
          </cell>
          <cell r="BF113">
            <v>862.6</v>
          </cell>
          <cell r="BH113">
            <v>4.7074519230769241</v>
          </cell>
          <cell r="BN113">
            <v>0</v>
          </cell>
          <cell r="BR113">
            <v>862.6</v>
          </cell>
          <cell r="BT113">
            <v>0</v>
          </cell>
          <cell r="BV113">
            <v>862.6</v>
          </cell>
          <cell r="BX113">
            <v>4.7074519230769241</v>
          </cell>
          <cell r="CB113">
            <v>1.5861299999999998</v>
          </cell>
          <cell r="CD113">
            <v>1.5861299999999998</v>
          </cell>
          <cell r="CG113" t="str">
            <v>P3</v>
          </cell>
          <cell r="CL113">
            <v>0</v>
          </cell>
          <cell r="CO113" t="str">
            <v>P3</v>
          </cell>
          <cell r="CP113">
            <v>864.18613000000005</v>
          </cell>
          <cell r="CR113">
            <v>0</v>
          </cell>
          <cell r="CT113">
            <v>864.18613000000005</v>
          </cell>
          <cell r="CV113">
            <v>4.7074519230769241</v>
          </cell>
        </row>
        <row r="114">
          <cell r="B114" t="str">
            <v>P4</v>
          </cell>
          <cell r="D114" t="str">
            <v>RESIDENT, INTERN SERVICES</v>
          </cell>
          <cell r="F114" t="str">
            <v>P04</v>
          </cell>
          <cell r="H114">
            <v>0</v>
          </cell>
          <cell r="J114">
            <v>0</v>
          </cell>
          <cell r="L114">
            <v>0</v>
          </cell>
          <cell r="N114">
            <v>0</v>
          </cell>
          <cell r="O114" t="str">
            <v>P4</v>
          </cell>
          <cell r="P114">
            <v>0</v>
          </cell>
          <cell r="R114">
            <v>0</v>
          </cell>
          <cell r="T114">
            <v>0</v>
          </cell>
          <cell r="AD114">
            <v>0</v>
          </cell>
          <cell r="AF114">
            <v>0</v>
          </cell>
          <cell r="AH114">
            <v>0</v>
          </cell>
          <cell r="AJ114">
            <v>0</v>
          </cell>
          <cell r="AT114">
            <v>0</v>
          </cell>
          <cell r="AV114">
            <v>0</v>
          </cell>
          <cell r="AX114">
            <v>0</v>
          </cell>
          <cell r="AZ114">
            <v>0</v>
          </cell>
          <cell r="BB114">
            <v>0</v>
          </cell>
          <cell r="BD114">
            <v>0</v>
          </cell>
          <cell r="BF114">
            <v>0</v>
          </cell>
          <cell r="BH114">
            <v>0</v>
          </cell>
          <cell r="BJ114">
            <v>0</v>
          </cell>
          <cell r="BN114">
            <v>0</v>
          </cell>
          <cell r="BP114">
            <v>0</v>
          </cell>
          <cell r="BR114">
            <v>0</v>
          </cell>
          <cell r="BT114">
            <v>0</v>
          </cell>
          <cell r="BV114">
            <v>0</v>
          </cell>
          <cell r="BX114">
            <v>0</v>
          </cell>
          <cell r="CB114">
            <v>0</v>
          </cell>
          <cell r="CD114">
            <v>0</v>
          </cell>
          <cell r="CG114" t="str">
            <v>P4</v>
          </cell>
          <cell r="CL114">
            <v>0</v>
          </cell>
          <cell r="CO114" t="str">
            <v>P4</v>
          </cell>
          <cell r="CP114">
            <v>0</v>
          </cell>
          <cell r="CR114">
            <v>0</v>
          </cell>
          <cell r="CT114">
            <v>0</v>
          </cell>
          <cell r="CV114">
            <v>0</v>
          </cell>
        </row>
        <row r="115">
          <cell r="B115" t="str">
            <v>P5</v>
          </cell>
          <cell r="D115" t="str">
            <v>RESIDENT, INTERN INELIGIBLE</v>
          </cell>
          <cell r="F115" t="str">
            <v>P05</v>
          </cell>
          <cell r="H115">
            <v>0</v>
          </cell>
          <cell r="J115">
            <v>0</v>
          </cell>
          <cell r="L115">
            <v>0</v>
          </cell>
          <cell r="N115">
            <v>0</v>
          </cell>
          <cell r="O115" t="str">
            <v>P5</v>
          </cell>
          <cell r="P115">
            <v>0</v>
          </cell>
          <cell r="R115">
            <v>0</v>
          </cell>
          <cell r="T115">
            <v>0</v>
          </cell>
          <cell r="AD115">
            <v>0</v>
          </cell>
          <cell r="AF115">
            <v>0</v>
          </cell>
          <cell r="AH115">
            <v>0</v>
          </cell>
          <cell r="AJ115">
            <v>0</v>
          </cell>
          <cell r="AT115">
            <v>0</v>
          </cell>
          <cell r="AV115">
            <v>0</v>
          </cell>
          <cell r="AX115">
            <v>0</v>
          </cell>
          <cell r="AZ115">
            <v>0</v>
          </cell>
          <cell r="BB115">
            <v>0</v>
          </cell>
          <cell r="BD115">
            <v>0</v>
          </cell>
          <cell r="BF115">
            <v>0</v>
          </cell>
          <cell r="BH115">
            <v>0</v>
          </cell>
          <cell r="BJ115">
            <v>0</v>
          </cell>
          <cell r="BN115">
            <v>0</v>
          </cell>
          <cell r="BP115">
            <v>0</v>
          </cell>
          <cell r="BR115">
            <v>0</v>
          </cell>
          <cell r="BT115">
            <v>0</v>
          </cell>
          <cell r="BV115">
            <v>0</v>
          </cell>
          <cell r="BX115">
            <v>0</v>
          </cell>
          <cell r="CB115">
            <v>0</v>
          </cell>
          <cell r="CD115">
            <v>0</v>
          </cell>
          <cell r="CG115" t="str">
            <v>P5</v>
          </cell>
          <cell r="CL115">
            <v>0</v>
          </cell>
          <cell r="CO115" t="str">
            <v>P4</v>
          </cell>
          <cell r="CP115">
            <v>0</v>
          </cell>
          <cell r="CR115">
            <v>0</v>
          </cell>
          <cell r="CT115">
            <v>0</v>
          </cell>
          <cell r="CV115">
            <v>0</v>
          </cell>
        </row>
        <row r="116">
          <cell r="B116" t="str">
            <v>MAL</v>
          </cell>
          <cell r="D116" t="str">
            <v>MALPRACTICE</v>
          </cell>
          <cell r="F116" t="str">
            <v>UAMAL</v>
          </cell>
          <cell r="H116">
            <v>0</v>
          </cell>
          <cell r="J116">
            <v>5057377.09</v>
          </cell>
          <cell r="L116">
            <v>5057377.09</v>
          </cell>
          <cell r="N116">
            <v>0</v>
          </cell>
          <cell r="O116" t="str">
            <v>MAL</v>
          </cell>
          <cell r="P116">
            <v>0</v>
          </cell>
          <cell r="R116">
            <v>5057.3999999999996</v>
          </cell>
          <cell r="T116">
            <v>5057.3999999999996</v>
          </cell>
          <cell r="AD116">
            <v>0</v>
          </cell>
          <cell r="AF116">
            <v>5057.3999999999996</v>
          </cell>
          <cell r="AH116">
            <v>5057.3999999999996</v>
          </cell>
          <cell r="AJ116">
            <v>0</v>
          </cell>
          <cell r="AT116">
            <v>0</v>
          </cell>
          <cell r="AV116">
            <v>0</v>
          </cell>
          <cell r="AX116">
            <v>0</v>
          </cell>
          <cell r="AZ116">
            <v>0</v>
          </cell>
          <cell r="BB116">
            <v>0</v>
          </cell>
          <cell r="BD116">
            <v>5057.3999999999996</v>
          </cell>
          <cell r="BF116">
            <v>5057.3999999999996</v>
          </cell>
          <cell r="BH116">
            <v>0</v>
          </cell>
          <cell r="BN116">
            <v>0</v>
          </cell>
          <cell r="BR116">
            <v>0</v>
          </cell>
          <cell r="BT116">
            <v>5057.3999999999996</v>
          </cell>
          <cell r="BV116">
            <v>5057.3999999999996</v>
          </cell>
          <cell r="BX116">
            <v>0</v>
          </cell>
          <cell r="CD116">
            <v>0</v>
          </cell>
          <cell r="CG116" t="str">
            <v>MAL</v>
          </cell>
          <cell r="CH116">
            <v>0</v>
          </cell>
          <cell r="CJ116">
            <v>0</v>
          </cell>
          <cell r="CL116">
            <v>0</v>
          </cell>
          <cell r="CN116">
            <v>0</v>
          </cell>
          <cell r="CO116" t="str">
            <v>MAL</v>
          </cell>
          <cell r="CP116">
            <v>0</v>
          </cell>
          <cell r="CR116">
            <v>5057.3999999999996</v>
          </cell>
          <cell r="CT116">
            <v>5057.3999999999996</v>
          </cell>
          <cell r="CV116">
            <v>0</v>
          </cell>
        </row>
        <row r="117">
          <cell r="B117" t="str">
            <v>OIN</v>
          </cell>
          <cell r="D117" t="str">
            <v>OTHER INSURANCE</v>
          </cell>
          <cell r="F117" t="str">
            <v>UAOIN</v>
          </cell>
          <cell r="H117">
            <v>0</v>
          </cell>
          <cell r="J117">
            <v>-774575.62</v>
          </cell>
          <cell r="L117">
            <v>-774575.62</v>
          </cell>
          <cell r="N117">
            <v>0</v>
          </cell>
          <cell r="O117" t="str">
            <v>OIN</v>
          </cell>
          <cell r="P117">
            <v>0</v>
          </cell>
          <cell r="R117">
            <v>-774.6</v>
          </cell>
          <cell r="T117">
            <v>-774.6</v>
          </cell>
          <cell r="AD117">
            <v>0</v>
          </cell>
          <cell r="AF117">
            <v>-774.6</v>
          </cell>
          <cell r="AH117">
            <v>-774.6</v>
          </cell>
          <cell r="AJ117">
            <v>0</v>
          </cell>
          <cell r="AT117">
            <v>0</v>
          </cell>
          <cell r="AV117">
            <v>0</v>
          </cell>
          <cell r="AX117">
            <v>0</v>
          </cell>
          <cell r="AZ117">
            <v>0</v>
          </cell>
          <cell r="BB117">
            <v>0</v>
          </cell>
          <cell r="BD117">
            <v>-774.6</v>
          </cell>
          <cell r="BF117">
            <v>-774.6</v>
          </cell>
          <cell r="BH117">
            <v>0</v>
          </cell>
          <cell r="BN117">
            <v>0</v>
          </cell>
          <cell r="BR117">
            <v>0</v>
          </cell>
          <cell r="BT117">
            <v>-774.6</v>
          </cell>
          <cell r="BV117">
            <v>-774.6</v>
          </cell>
          <cell r="BX117">
            <v>0</v>
          </cell>
          <cell r="CD117">
            <v>0</v>
          </cell>
          <cell r="CG117" t="str">
            <v>OIN</v>
          </cell>
          <cell r="CH117">
            <v>0</v>
          </cell>
          <cell r="CJ117">
            <v>0</v>
          </cell>
          <cell r="CL117">
            <v>0</v>
          </cell>
          <cell r="CN117">
            <v>0</v>
          </cell>
          <cell r="CO117" t="str">
            <v>OIN</v>
          </cell>
          <cell r="CP117">
            <v>0</v>
          </cell>
          <cell r="CR117">
            <v>-774.6</v>
          </cell>
          <cell r="CT117">
            <v>-774.6</v>
          </cell>
          <cell r="CV117">
            <v>0</v>
          </cell>
        </row>
        <row r="118">
          <cell r="B118" t="str">
            <v>MCR</v>
          </cell>
          <cell r="D118" t="str">
            <v>MEDICAL CARE REVIEW</v>
          </cell>
          <cell r="F118" t="str">
            <v>UAMCR</v>
          </cell>
          <cell r="H118">
            <v>790885.32518091425</v>
          </cell>
          <cell r="J118">
            <v>666427.30764347233</v>
          </cell>
          <cell r="L118">
            <v>1457312.6328243865</v>
          </cell>
          <cell r="N118">
            <v>6.8294471153846148</v>
          </cell>
          <cell r="O118" t="str">
            <v>MCR</v>
          </cell>
          <cell r="P118">
            <v>790.9</v>
          </cell>
          <cell r="R118">
            <v>666.4</v>
          </cell>
          <cell r="T118">
            <v>1457.3</v>
          </cell>
          <cell r="AD118">
            <v>790.9</v>
          </cell>
          <cell r="AF118">
            <v>666.4</v>
          </cell>
          <cell r="AH118">
            <v>1457.3</v>
          </cell>
          <cell r="AJ118">
            <v>6.8294471153846148</v>
          </cell>
          <cell r="AT118">
            <v>0</v>
          </cell>
          <cell r="AV118">
            <v>0</v>
          </cell>
          <cell r="AX118">
            <v>0</v>
          </cell>
          <cell r="AZ118">
            <v>0</v>
          </cell>
          <cell r="BB118">
            <v>790.9</v>
          </cell>
          <cell r="BD118">
            <v>666.4</v>
          </cell>
          <cell r="BF118">
            <v>1457.3</v>
          </cell>
          <cell r="BH118">
            <v>6.8294471153846148</v>
          </cell>
          <cell r="BJ118">
            <v>747.69771409713201</v>
          </cell>
          <cell r="BN118">
            <v>747.69771409713201</v>
          </cell>
          <cell r="BP118">
            <v>0</v>
          </cell>
          <cell r="BR118">
            <v>1538.597714097132</v>
          </cell>
          <cell r="BT118">
            <v>666.4</v>
          </cell>
          <cell r="BV118">
            <v>2204.9977140971318</v>
          </cell>
          <cell r="BX118">
            <v>6.8294471153846148</v>
          </cell>
          <cell r="CD118">
            <v>0</v>
          </cell>
          <cell r="CG118" t="str">
            <v>MCR</v>
          </cell>
          <cell r="CH118">
            <v>0</v>
          </cell>
          <cell r="CJ118">
            <v>0</v>
          </cell>
          <cell r="CL118">
            <v>0</v>
          </cell>
          <cell r="CN118">
            <v>0</v>
          </cell>
          <cell r="CO118" t="str">
            <v>MCR</v>
          </cell>
          <cell r="CP118">
            <v>1538.597714097132</v>
          </cell>
          <cell r="CR118">
            <v>666.4</v>
          </cell>
          <cell r="CT118">
            <v>2204.9977140971318</v>
          </cell>
          <cell r="CV118">
            <v>6.8294471153846148</v>
          </cell>
        </row>
        <row r="119">
          <cell r="B119" t="str">
            <v>DEP</v>
          </cell>
          <cell r="D119" t="str">
            <v>DEPRECIATION</v>
          </cell>
          <cell r="F119" t="str">
            <v>UADEP</v>
          </cell>
          <cell r="H119">
            <v>0</v>
          </cell>
          <cell r="J119">
            <v>16047228.189999999</v>
          </cell>
          <cell r="L119">
            <v>16047228.189999999</v>
          </cell>
          <cell r="N119">
            <v>0</v>
          </cell>
          <cell r="O119" t="str">
            <v>DEP</v>
          </cell>
          <cell r="P119">
            <v>0</v>
          </cell>
          <cell r="R119">
            <v>16047.2</v>
          </cell>
          <cell r="T119">
            <v>16047.2</v>
          </cell>
          <cell r="AD119">
            <v>0</v>
          </cell>
          <cell r="AF119">
            <v>16047.2</v>
          </cell>
          <cell r="AH119">
            <v>16047.2</v>
          </cell>
          <cell r="AJ119">
            <v>0</v>
          </cell>
          <cell r="AT119">
            <v>0</v>
          </cell>
          <cell r="AV119">
            <v>0</v>
          </cell>
          <cell r="AX119">
            <v>0</v>
          </cell>
          <cell r="AZ119">
            <v>0</v>
          </cell>
          <cell r="BB119">
            <v>0</v>
          </cell>
          <cell r="BD119">
            <v>16047.2</v>
          </cell>
          <cell r="BF119">
            <v>16047.2</v>
          </cell>
          <cell r="BH119">
            <v>0</v>
          </cell>
          <cell r="BN119">
            <v>0</v>
          </cell>
          <cell r="BR119">
            <v>0</v>
          </cell>
          <cell r="BT119">
            <v>16047.2</v>
          </cell>
          <cell r="BV119">
            <v>16047.2</v>
          </cell>
          <cell r="BX119">
            <v>0</v>
          </cell>
          <cell r="CD119">
            <v>0</v>
          </cell>
          <cell r="CG119" t="str">
            <v>DEP</v>
          </cell>
          <cell r="CH119">
            <v>0</v>
          </cell>
          <cell r="CJ119">
            <v>-530.98171627943907</v>
          </cell>
          <cell r="CL119">
            <v>-530.98171627943907</v>
          </cell>
          <cell r="CN119">
            <v>0</v>
          </cell>
          <cell r="CO119" t="str">
            <v>DEP</v>
          </cell>
          <cell r="CP119">
            <v>0</v>
          </cell>
          <cell r="CR119">
            <v>15516.218283720562</v>
          </cell>
          <cell r="CT119">
            <v>15516.218283720562</v>
          </cell>
          <cell r="CV119">
            <v>0</v>
          </cell>
        </row>
        <row r="120">
          <cell r="B120" t="str">
            <v>LEA</v>
          </cell>
          <cell r="D120" t="str">
            <v>LEASES &amp; RENTALS</v>
          </cell>
          <cell r="F120" t="str">
            <v>UALEASE</v>
          </cell>
          <cell r="H120">
            <v>0</v>
          </cell>
          <cell r="J120">
            <v>2472824.7399999998</v>
          </cell>
          <cell r="L120">
            <v>2472824.7399999998</v>
          </cell>
          <cell r="N120">
            <v>0</v>
          </cell>
          <cell r="O120" t="str">
            <v>LEA</v>
          </cell>
          <cell r="P120">
            <v>0</v>
          </cell>
          <cell r="R120">
            <v>2472.8000000000002</v>
          </cell>
          <cell r="T120">
            <v>2472.8000000000002</v>
          </cell>
          <cell r="AD120">
            <v>0</v>
          </cell>
          <cell r="AF120">
            <v>2472.8000000000002</v>
          </cell>
          <cell r="AH120">
            <v>2472.8000000000002</v>
          </cell>
          <cell r="AJ120">
            <v>0</v>
          </cell>
          <cell r="AT120">
            <v>0</v>
          </cell>
          <cell r="AV120">
            <v>0</v>
          </cell>
          <cell r="AX120">
            <v>0</v>
          </cell>
          <cell r="AZ120">
            <v>0</v>
          </cell>
          <cell r="BB120">
            <v>0</v>
          </cell>
          <cell r="BD120">
            <v>2472.8000000000002</v>
          </cell>
          <cell r="BF120">
            <v>2472.8000000000002</v>
          </cell>
          <cell r="BH120">
            <v>0</v>
          </cell>
          <cell r="BN120">
            <v>0</v>
          </cell>
          <cell r="BR120">
            <v>0</v>
          </cell>
          <cell r="BT120">
            <v>2472.8000000000002</v>
          </cell>
          <cell r="BV120">
            <v>2472.8000000000002</v>
          </cell>
          <cell r="BX120">
            <v>0</v>
          </cell>
          <cell r="CD120">
            <v>0</v>
          </cell>
          <cell r="CG120" t="str">
            <v>LEA</v>
          </cell>
          <cell r="CH120">
            <v>0</v>
          </cell>
          <cell r="CJ120">
            <v>-950.61315999999999</v>
          </cell>
          <cell r="CL120">
            <v>-950.61315999999999</v>
          </cell>
          <cell r="CN120">
            <v>0</v>
          </cell>
          <cell r="CO120" t="str">
            <v>LEA</v>
          </cell>
          <cell r="CP120">
            <v>0</v>
          </cell>
          <cell r="CR120">
            <v>1522.1868400000003</v>
          </cell>
          <cell r="CT120">
            <v>1522.1868400000003</v>
          </cell>
          <cell r="CV120">
            <v>0</v>
          </cell>
        </row>
        <row r="121">
          <cell r="B121" t="str">
            <v>LIC</v>
          </cell>
          <cell r="D121" t="str">
            <v>LICENSE &amp; TAXES</v>
          </cell>
          <cell r="F121" t="str">
            <v>UALIC</v>
          </cell>
          <cell r="H121">
            <v>0</v>
          </cell>
          <cell r="J121">
            <v>522995.77999999997</v>
          </cell>
          <cell r="L121">
            <v>522995.77999999997</v>
          </cell>
          <cell r="M121" t="str">
            <v>Allocate</v>
          </cell>
          <cell r="N121">
            <v>0</v>
          </cell>
          <cell r="O121" t="str">
            <v>LIC</v>
          </cell>
          <cell r="P121">
            <v>0</v>
          </cell>
          <cell r="R121">
            <v>523</v>
          </cell>
          <cell r="T121">
            <v>523</v>
          </cell>
          <cell r="AD121">
            <v>0</v>
          </cell>
          <cell r="AF121">
            <v>523</v>
          </cell>
          <cell r="AH121">
            <v>523</v>
          </cell>
          <cell r="AJ121">
            <v>0</v>
          </cell>
          <cell r="AT121">
            <v>0</v>
          </cell>
          <cell r="AV121">
            <v>0</v>
          </cell>
          <cell r="AX121">
            <v>0</v>
          </cell>
          <cell r="AZ121">
            <v>0</v>
          </cell>
          <cell r="BB121">
            <v>0</v>
          </cell>
          <cell r="BD121">
            <v>523</v>
          </cell>
          <cell r="BF121">
            <v>523</v>
          </cell>
          <cell r="BH121">
            <v>0</v>
          </cell>
          <cell r="BN121">
            <v>0</v>
          </cell>
          <cell r="BR121">
            <v>0</v>
          </cell>
          <cell r="BT121">
            <v>523</v>
          </cell>
          <cell r="BV121">
            <v>523</v>
          </cell>
          <cell r="BX121">
            <v>0</v>
          </cell>
          <cell r="CD121">
            <v>0</v>
          </cell>
          <cell r="CG121" t="str">
            <v>LIC</v>
          </cell>
          <cell r="CH121">
            <v>0</v>
          </cell>
          <cell r="CJ121">
            <v>0</v>
          </cell>
          <cell r="CL121">
            <v>0</v>
          </cell>
          <cell r="CN121">
            <v>0</v>
          </cell>
          <cell r="CO121" t="str">
            <v>LIC</v>
          </cell>
          <cell r="CP121">
            <v>0</v>
          </cell>
          <cell r="CR121">
            <v>523</v>
          </cell>
          <cell r="CT121">
            <v>523</v>
          </cell>
          <cell r="CV121">
            <v>0</v>
          </cell>
        </row>
        <row r="122">
          <cell r="B122" t="str">
            <v>IST</v>
          </cell>
          <cell r="D122" t="str">
            <v>INTEREST SHORT TERM</v>
          </cell>
          <cell r="F122" t="str">
            <v>UAIST</v>
          </cell>
          <cell r="H122">
            <v>0</v>
          </cell>
          <cell r="J122">
            <v>0</v>
          </cell>
          <cell r="L122">
            <v>0</v>
          </cell>
          <cell r="M122" t="str">
            <v>Loss as</v>
          </cell>
          <cell r="N122">
            <v>0</v>
          </cell>
          <cell r="O122" t="str">
            <v>IST</v>
          </cell>
          <cell r="P122">
            <v>0</v>
          </cell>
          <cell r="R122">
            <v>0</v>
          </cell>
          <cell r="T122">
            <v>0</v>
          </cell>
          <cell r="AD122">
            <v>0</v>
          </cell>
          <cell r="AF122">
            <v>0</v>
          </cell>
          <cell r="AH122">
            <v>0</v>
          </cell>
          <cell r="AJ122">
            <v>0</v>
          </cell>
          <cell r="AT122">
            <v>0</v>
          </cell>
          <cell r="AV122">
            <v>0</v>
          </cell>
          <cell r="AX122">
            <v>0</v>
          </cell>
          <cell r="AZ122">
            <v>0</v>
          </cell>
          <cell r="BB122">
            <v>0</v>
          </cell>
          <cell r="BD122">
            <v>0</v>
          </cell>
          <cell r="BF122">
            <v>0</v>
          </cell>
          <cell r="BH122">
            <v>0</v>
          </cell>
          <cell r="BN122">
            <v>0</v>
          </cell>
          <cell r="BR122">
            <v>0</v>
          </cell>
          <cell r="BT122">
            <v>0</v>
          </cell>
          <cell r="BV122">
            <v>0</v>
          </cell>
          <cell r="BX122">
            <v>0</v>
          </cell>
          <cell r="CD122">
            <v>0</v>
          </cell>
          <cell r="CG122" t="str">
            <v>IST</v>
          </cell>
          <cell r="CH122">
            <v>0</v>
          </cell>
          <cell r="CJ122">
            <v>0</v>
          </cell>
          <cell r="CL122">
            <v>0</v>
          </cell>
          <cell r="CN122">
            <v>0</v>
          </cell>
          <cell r="CO122" t="str">
            <v>IST</v>
          </cell>
          <cell r="CP122">
            <v>0</v>
          </cell>
          <cell r="CR122">
            <v>0</v>
          </cell>
          <cell r="CT122">
            <v>0</v>
          </cell>
          <cell r="CV122">
            <v>0</v>
          </cell>
        </row>
        <row r="123">
          <cell r="B123" t="str">
            <v>ILT</v>
          </cell>
          <cell r="D123" t="str">
            <v>INTEREST LONG TERM</v>
          </cell>
          <cell r="F123" t="str">
            <v>UAILT</v>
          </cell>
          <cell r="H123">
            <v>0</v>
          </cell>
          <cell r="J123">
            <v>6846966.79</v>
          </cell>
          <cell r="L123">
            <v>6846966.79</v>
          </cell>
          <cell r="M123" t="str">
            <v>Fringe?</v>
          </cell>
          <cell r="N123">
            <v>0</v>
          </cell>
          <cell r="O123" t="str">
            <v>ILT</v>
          </cell>
          <cell r="P123">
            <v>0</v>
          </cell>
          <cell r="R123">
            <v>6847</v>
          </cell>
          <cell r="T123">
            <v>6847</v>
          </cell>
          <cell r="AD123">
            <v>0</v>
          </cell>
          <cell r="AF123">
            <v>6847</v>
          </cell>
          <cell r="AH123">
            <v>6847</v>
          </cell>
          <cell r="AJ123">
            <v>0</v>
          </cell>
          <cell r="AT123">
            <v>0</v>
          </cell>
          <cell r="AV123">
            <v>0</v>
          </cell>
          <cell r="AX123">
            <v>0</v>
          </cell>
          <cell r="AZ123">
            <v>0</v>
          </cell>
          <cell r="BB123">
            <v>0</v>
          </cell>
          <cell r="BD123">
            <v>6847</v>
          </cell>
          <cell r="BF123">
            <v>6847</v>
          </cell>
          <cell r="BH123">
            <v>0</v>
          </cell>
          <cell r="BN123">
            <v>0</v>
          </cell>
          <cell r="BR123">
            <v>0</v>
          </cell>
          <cell r="BT123">
            <v>6847</v>
          </cell>
          <cell r="BV123">
            <v>6847</v>
          </cell>
          <cell r="BX123">
            <v>0</v>
          </cell>
          <cell r="CD123">
            <v>0</v>
          </cell>
          <cell r="CG123" t="str">
            <v>ILT</v>
          </cell>
          <cell r="CH123">
            <v>0</v>
          </cell>
          <cell r="CJ123">
            <v>-451.33508</v>
          </cell>
          <cell r="CL123">
            <v>-451.33508</v>
          </cell>
          <cell r="CN123">
            <v>0</v>
          </cell>
          <cell r="CO123" t="str">
            <v>ILT</v>
          </cell>
          <cell r="CP123">
            <v>0</v>
          </cell>
          <cell r="CR123">
            <v>6395.6649200000002</v>
          </cell>
          <cell r="CT123">
            <v>6395.6649200000002</v>
          </cell>
          <cell r="CV123">
            <v>0</v>
          </cell>
        </row>
        <row r="124">
          <cell r="B124" t="str">
            <v>FSC1</v>
          </cell>
          <cell r="D124" t="str">
            <v>FREE STANDING CLINIC SERVICES</v>
          </cell>
          <cell r="F124" t="str">
            <v>UR1</v>
          </cell>
          <cell r="H124">
            <v>0</v>
          </cell>
          <cell r="J124">
            <v>0</v>
          </cell>
          <cell r="L124">
            <v>0</v>
          </cell>
          <cell r="M124">
            <v>1</v>
          </cell>
          <cell r="N124">
            <v>0</v>
          </cell>
          <cell r="O124" t="str">
            <v>FSC1</v>
          </cell>
          <cell r="P124">
            <v>0</v>
          </cell>
          <cell r="R124">
            <v>0</v>
          </cell>
          <cell r="T124">
            <v>0</v>
          </cell>
          <cell r="AD124">
            <v>0</v>
          </cell>
          <cell r="AF124">
            <v>0</v>
          </cell>
          <cell r="AH124">
            <v>0</v>
          </cell>
          <cell r="AJ124">
            <v>0</v>
          </cell>
          <cell r="AL124">
            <v>0</v>
          </cell>
          <cell r="AN124">
            <v>0</v>
          </cell>
          <cell r="AP124">
            <v>0</v>
          </cell>
          <cell r="AR124">
            <v>0</v>
          </cell>
          <cell r="AT124">
            <v>0</v>
          </cell>
          <cell r="AV124">
            <v>0</v>
          </cell>
          <cell r="AX124">
            <v>0</v>
          </cell>
          <cell r="AZ124">
            <v>0</v>
          </cell>
          <cell r="BB124">
            <v>0</v>
          </cell>
          <cell r="BD124">
            <v>0</v>
          </cell>
          <cell r="BF124">
            <v>0</v>
          </cell>
          <cell r="BH124">
            <v>0</v>
          </cell>
          <cell r="BN124">
            <v>0</v>
          </cell>
          <cell r="BR124">
            <v>0</v>
          </cell>
          <cell r="BT124">
            <v>0</v>
          </cell>
          <cell r="BV124">
            <v>0</v>
          </cell>
          <cell r="BX124">
            <v>0</v>
          </cell>
          <cell r="CB124">
            <v>0</v>
          </cell>
          <cell r="CD124">
            <v>0</v>
          </cell>
          <cell r="CG124" t="str">
            <v>FSC1</v>
          </cell>
          <cell r="CH124">
            <v>0</v>
          </cell>
          <cell r="CJ124">
            <v>0</v>
          </cell>
          <cell r="CL124">
            <v>0</v>
          </cell>
          <cell r="CN124">
            <v>0</v>
          </cell>
          <cell r="CO124" t="str">
            <v>FSC</v>
          </cell>
          <cell r="CP124">
            <v>0</v>
          </cell>
          <cell r="CR124">
            <v>0</v>
          </cell>
          <cell r="CT124">
            <v>0</v>
          </cell>
          <cell r="CV124">
            <v>0</v>
          </cell>
        </row>
        <row r="125">
          <cell r="B125" t="str">
            <v>HHC</v>
          </cell>
          <cell r="D125" t="str">
            <v>HOME HEALTH CARE</v>
          </cell>
          <cell r="F125" t="str">
            <v>UR2</v>
          </cell>
          <cell r="H125">
            <v>0</v>
          </cell>
          <cell r="J125">
            <v>0</v>
          </cell>
          <cell r="L125">
            <v>0</v>
          </cell>
          <cell r="M125">
            <v>1</v>
          </cell>
          <cell r="N125">
            <v>0</v>
          </cell>
          <cell r="O125" t="str">
            <v>HHC</v>
          </cell>
          <cell r="P125">
            <v>0</v>
          </cell>
          <cell r="R125">
            <v>0</v>
          </cell>
          <cell r="T125">
            <v>0</v>
          </cell>
          <cell r="AD125">
            <v>0</v>
          </cell>
          <cell r="AF125">
            <v>0</v>
          </cell>
          <cell r="AH125">
            <v>0</v>
          </cell>
          <cell r="AJ125">
            <v>0</v>
          </cell>
          <cell r="AL125">
            <v>0</v>
          </cell>
          <cell r="AN125">
            <v>0</v>
          </cell>
          <cell r="AP125">
            <v>0</v>
          </cell>
          <cell r="AR125">
            <v>0</v>
          </cell>
          <cell r="AT125">
            <v>0</v>
          </cell>
          <cell r="AV125">
            <v>0</v>
          </cell>
          <cell r="AX125">
            <v>0</v>
          </cell>
          <cell r="AZ125">
            <v>0</v>
          </cell>
          <cell r="BB125">
            <v>0</v>
          </cell>
          <cell r="BD125">
            <v>0</v>
          </cell>
          <cell r="BF125">
            <v>0</v>
          </cell>
          <cell r="BH125">
            <v>0</v>
          </cell>
          <cell r="BN125">
            <v>0</v>
          </cell>
          <cell r="BR125">
            <v>0</v>
          </cell>
          <cell r="BT125">
            <v>0</v>
          </cell>
          <cell r="BV125">
            <v>0</v>
          </cell>
          <cell r="BX125">
            <v>0</v>
          </cell>
          <cell r="CB125">
            <v>0</v>
          </cell>
          <cell r="CD125">
            <v>0</v>
          </cell>
          <cell r="CG125" t="str">
            <v>HHC</v>
          </cell>
          <cell r="CH125">
            <v>0</v>
          </cell>
          <cell r="CJ125">
            <v>0</v>
          </cell>
          <cell r="CL125">
            <v>0</v>
          </cell>
          <cell r="CN125">
            <v>0</v>
          </cell>
          <cell r="CO125" t="str">
            <v>HHC</v>
          </cell>
          <cell r="CP125">
            <v>0</v>
          </cell>
          <cell r="CR125">
            <v>0</v>
          </cell>
          <cell r="CT125">
            <v>0</v>
          </cell>
          <cell r="CV125">
            <v>0</v>
          </cell>
        </row>
        <row r="126">
          <cell r="B126" t="str">
            <v>ORD</v>
          </cell>
          <cell r="D126" t="str">
            <v>OUTPATIENT RENAL DIALYSIS</v>
          </cell>
          <cell r="F126" t="str">
            <v>UR3</v>
          </cell>
          <cell r="H126">
            <v>0</v>
          </cell>
          <cell r="J126">
            <v>0</v>
          </cell>
          <cell r="L126">
            <v>0</v>
          </cell>
          <cell r="M126">
            <v>1</v>
          </cell>
          <cell r="N126">
            <v>0</v>
          </cell>
          <cell r="O126" t="str">
            <v>ORD</v>
          </cell>
          <cell r="P126">
            <v>0</v>
          </cell>
          <cell r="R126">
            <v>0</v>
          </cell>
          <cell r="T126">
            <v>0</v>
          </cell>
          <cell r="AD126">
            <v>0</v>
          </cell>
          <cell r="AF126">
            <v>0</v>
          </cell>
          <cell r="AH126">
            <v>0</v>
          </cell>
          <cell r="AJ126">
            <v>0</v>
          </cell>
          <cell r="AL126">
            <v>0</v>
          </cell>
          <cell r="AN126">
            <v>0</v>
          </cell>
          <cell r="AP126">
            <v>0</v>
          </cell>
          <cell r="AR126">
            <v>0</v>
          </cell>
          <cell r="AT126">
            <v>0</v>
          </cell>
          <cell r="AV126">
            <v>0</v>
          </cell>
          <cell r="AX126">
            <v>0</v>
          </cell>
          <cell r="AZ126">
            <v>0</v>
          </cell>
          <cell r="BB126">
            <v>0</v>
          </cell>
          <cell r="BD126">
            <v>0</v>
          </cell>
          <cell r="BF126">
            <v>0</v>
          </cell>
          <cell r="BH126">
            <v>0</v>
          </cell>
          <cell r="BN126">
            <v>0</v>
          </cell>
          <cell r="BR126">
            <v>0</v>
          </cell>
          <cell r="BT126">
            <v>0</v>
          </cell>
          <cell r="BV126">
            <v>0</v>
          </cell>
          <cell r="BX126">
            <v>0</v>
          </cell>
          <cell r="CB126">
            <v>0</v>
          </cell>
          <cell r="CD126">
            <v>0</v>
          </cell>
          <cell r="CG126" t="str">
            <v>ORD</v>
          </cell>
          <cell r="CH126">
            <v>0</v>
          </cell>
          <cell r="CJ126">
            <v>0</v>
          </cell>
          <cell r="CL126">
            <v>0</v>
          </cell>
          <cell r="CN126">
            <v>0</v>
          </cell>
          <cell r="CO126" t="str">
            <v>ORD</v>
          </cell>
          <cell r="CP126">
            <v>0</v>
          </cell>
          <cell r="CR126">
            <v>0</v>
          </cell>
          <cell r="CT126">
            <v>0</v>
          </cell>
          <cell r="CV126">
            <v>0</v>
          </cell>
        </row>
        <row r="127">
          <cell r="B127" t="str">
            <v>ECF1</v>
          </cell>
          <cell r="D127" t="str">
            <v>SKILLED NURSING CARE</v>
          </cell>
          <cell r="F127" t="str">
            <v>UR4</v>
          </cell>
          <cell r="H127">
            <v>0</v>
          </cell>
          <cell r="J127">
            <v>0</v>
          </cell>
          <cell r="L127">
            <v>0</v>
          </cell>
          <cell r="M127">
            <v>1</v>
          </cell>
          <cell r="N127">
            <v>0</v>
          </cell>
          <cell r="O127" t="str">
            <v>ECF1</v>
          </cell>
          <cell r="P127">
            <v>0</v>
          </cell>
          <cell r="R127">
            <v>0</v>
          </cell>
          <cell r="T127">
            <v>0</v>
          </cell>
          <cell r="AD127">
            <v>0</v>
          </cell>
          <cell r="AF127">
            <v>0</v>
          </cell>
          <cell r="AH127">
            <v>0</v>
          </cell>
          <cell r="AJ127">
            <v>0</v>
          </cell>
          <cell r="AL127">
            <v>0</v>
          </cell>
          <cell r="AN127">
            <v>0</v>
          </cell>
          <cell r="AP127">
            <v>0</v>
          </cell>
          <cell r="AR127">
            <v>0</v>
          </cell>
          <cell r="AT127">
            <v>0</v>
          </cell>
          <cell r="AV127">
            <v>0</v>
          </cell>
          <cell r="AX127">
            <v>0</v>
          </cell>
          <cell r="AZ127">
            <v>0</v>
          </cell>
          <cell r="BB127">
            <v>0</v>
          </cell>
          <cell r="BD127">
            <v>0</v>
          </cell>
          <cell r="BF127">
            <v>0</v>
          </cell>
          <cell r="BH127">
            <v>0</v>
          </cell>
          <cell r="BN127">
            <v>0</v>
          </cell>
          <cell r="BR127">
            <v>0</v>
          </cell>
          <cell r="BT127">
            <v>0</v>
          </cell>
          <cell r="BV127">
            <v>0</v>
          </cell>
          <cell r="BX127">
            <v>0</v>
          </cell>
          <cell r="CB127">
            <v>0</v>
          </cell>
          <cell r="CD127">
            <v>0</v>
          </cell>
          <cell r="CG127" t="str">
            <v>ECF1</v>
          </cell>
          <cell r="CH127">
            <v>0</v>
          </cell>
          <cell r="CJ127">
            <v>0</v>
          </cell>
          <cell r="CL127">
            <v>0</v>
          </cell>
          <cell r="CN127">
            <v>0</v>
          </cell>
          <cell r="CO127" t="str">
            <v>ECF</v>
          </cell>
          <cell r="CP127">
            <v>0</v>
          </cell>
          <cell r="CR127">
            <v>0</v>
          </cell>
          <cell r="CT127">
            <v>0</v>
          </cell>
          <cell r="CV127">
            <v>0</v>
          </cell>
        </row>
        <row r="128">
          <cell r="B128" t="str">
            <v>ULB</v>
          </cell>
          <cell r="D128" t="str">
            <v>LAB NON-PATIENT</v>
          </cell>
          <cell r="F128" t="str">
            <v>UR5</v>
          </cell>
          <cell r="H128">
            <v>1831216.7467120574</v>
          </cell>
          <cell r="J128">
            <v>1222160.8968007369</v>
          </cell>
          <cell r="L128">
            <v>3053377.6435127943</v>
          </cell>
          <cell r="M128">
            <v>1</v>
          </cell>
          <cell r="N128">
            <v>26.711519786631506</v>
          </cell>
          <cell r="O128" t="str">
            <v>ULB</v>
          </cell>
          <cell r="P128">
            <v>1831.2</v>
          </cell>
          <cell r="R128">
            <v>1222.2</v>
          </cell>
          <cell r="T128">
            <v>3053.4</v>
          </cell>
          <cell r="AD128">
            <v>1831.2</v>
          </cell>
          <cell r="AF128">
            <v>1222.2</v>
          </cell>
          <cell r="AH128">
            <v>3053.4</v>
          </cell>
          <cell r="AJ128">
            <v>26.711519786631506</v>
          </cell>
          <cell r="AL128">
            <v>0</v>
          </cell>
          <cell r="AN128">
            <v>0</v>
          </cell>
          <cell r="AP128">
            <v>0</v>
          </cell>
          <cell r="AR128">
            <v>0</v>
          </cell>
          <cell r="AT128">
            <v>0</v>
          </cell>
          <cell r="AV128">
            <v>0</v>
          </cell>
          <cell r="AX128">
            <v>0</v>
          </cell>
          <cell r="AZ128">
            <v>0</v>
          </cell>
          <cell r="BB128">
            <v>1831.2</v>
          </cell>
          <cell r="BD128">
            <v>1222.2</v>
          </cell>
          <cell r="BF128">
            <v>3053.4</v>
          </cell>
          <cell r="BH128">
            <v>26.711519786631506</v>
          </cell>
          <cell r="BN128">
            <v>0</v>
          </cell>
          <cell r="BR128">
            <v>1831.2</v>
          </cell>
          <cell r="BT128">
            <v>1222.2</v>
          </cell>
          <cell r="BV128">
            <v>3053.4</v>
          </cell>
          <cell r="BX128">
            <v>26.711519786631506</v>
          </cell>
          <cell r="CB128">
            <v>9.4741199999999992</v>
          </cell>
          <cell r="CD128">
            <v>9.4741199999999992</v>
          </cell>
          <cell r="CG128" t="str">
            <v>ULB</v>
          </cell>
          <cell r="CH128">
            <v>127.59747522615247</v>
          </cell>
          <cell r="CJ128">
            <v>304.04719324633828</v>
          </cell>
          <cell r="CL128">
            <v>431.64466847249076</v>
          </cell>
          <cell r="CN128">
            <v>1.4064835934924826</v>
          </cell>
          <cell r="CO128" t="str">
            <v>ULB</v>
          </cell>
          <cell r="CP128">
            <v>1968.2715952261526</v>
          </cell>
          <cell r="CR128">
            <v>1526.2471932463384</v>
          </cell>
          <cell r="CT128">
            <v>3494.518788472491</v>
          </cell>
          <cell r="CV128">
            <v>28.118003380123987</v>
          </cell>
        </row>
        <row r="129">
          <cell r="B129" t="str">
            <v>UPB</v>
          </cell>
          <cell r="D129" t="str">
            <v>PHYSICIANS PART B SERVICES</v>
          </cell>
          <cell r="F129" t="str">
            <v>UR6</v>
          </cell>
          <cell r="H129">
            <v>9919464.8282712158</v>
          </cell>
          <cell r="J129">
            <v>7375505.9999999991</v>
          </cell>
          <cell r="L129">
            <v>17294970.828271214</v>
          </cell>
          <cell r="M129">
            <v>1</v>
          </cell>
          <cell r="N129">
            <v>33.615231201623502</v>
          </cell>
          <cell r="O129" t="str">
            <v>UPB</v>
          </cell>
          <cell r="P129">
            <v>9919.5</v>
          </cell>
          <cell r="R129">
            <v>7375.5</v>
          </cell>
          <cell r="T129">
            <v>17295</v>
          </cell>
          <cell r="X129">
            <v>0</v>
          </cell>
          <cell r="Z129">
            <v>0</v>
          </cell>
          <cell r="AD129">
            <v>9919.5</v>
          </cell>
          <cell r="AF129">
            <v>7375.5</v>
          </cell>
          <cell r="AH129">
            <v>17295</v>
          </cell>
          <cell r="AJ129">
            <v>33.615231201623502</v>
          </cell>
          <cell r="AL129">
            <v>0</v>
          </cell>
          <cell r="AN129">
            <v>0</v>
          </cell>
          <cell r="AP129">
            <v>0</v>
          </cell>
          <cell r="AR129">
            <v>0</v>
          </cell>
          <cell r="AT129">
            <v>0</v>
          </cell>
          <cell r="AV129">
            <v>0</v>
          </cell>
          <cell r="AX129">
            <v>0</v>
          </cell>
          <cell r="AZ129">
            <v>0</v>
          </cell>
          <cell r="BB129">
            <v>9919.5</v>
          </cell>
          <cell r="BD129">
            <v>7375.5</v>
          </cell>
          <cell r="BF129">
            <v>17295</v>
          </cell>
          <cell r="BH129">
            <v>33.615231201623502</v>
          </cell>
          <cell r="BN129">
            <v>0</v>
          </cell>
          <cell r="BR129">
            <v>9919.5</v>
          </cell>
          <cell r="BT129">
            <v>7375.5</v>
          </cell>
          <cell r="BV129">
            <v>17295</v>
          </cell>
          <cell r="BX129">
            <v>33.615231201623502</v>
          </cell>
          <cell r="CB129">
            <v>12.915139999999999</v>
          </cell>
          <cell r="CD129">
            <v>12.915139999999999</v>
          </cell>
          <cell r="CG129" t="str">
            <v>UPB</v>
          </cell>
          <cell r="CH129">
            <v>528.25780421869615</v>
          </cell>
          <cell r="CJ129">
            <v>1251.3219722892391</v>
          </cell>
          <cell r="CL129">
            <v>1779.5797765079351</v>
          </cell>
          <cell r="CN129">
            <v>4.7152994450136632</v>
          </cell>
          <cell r="CO129" t="str">
            <v>UPB</v>
          </cell>
          <cell r="CP129">
            <v>10460.672944218695</v>
          </cell>
          <cell r="CR129">
            <v>8626.8219722892391</v>
          </cell>
          <cell r="CT129">
            <v>19087.494916507934</v>
          </cell>
          <cell r="CV129">
            <v>38.330530646637165</v>
          </cell>
        </row>
        <row r="130">
          <cell r="B130" t="str">
            <v>CNA</v>
          </cell>
          <cell r="D130" t="str">
            <v>CERTIFIED NURSE ANESTHETIST</v>
          </cell>
          <cell r="F130" t="str">
            <v>UR7</v>
          </cell>
          <cell r="H130">
            <v>0</v>
          </cell>
          <cell r="J130">
            <v>0</v>
          </cell>
          <cell r="L130">
            <v>0</v>
          </cell>
          <cell r="M130">
            <v>1</v>
          </cell>
          <cell r="N130">
            <v>0</v>
          </cell>
          <cell r="O130" t="str">
            <v>CNA</v>
          </cell>
          <cell r="P130">
            <v>0</v>
          </cell>
          <cell r="R130">
            <v>0</v>
          </cell>
          <cell r="T130">
            <v>0</v>
          </cell>
          <cell r="AD130">
            <v>0</v>
          </cell>
          <cell r="AF130">
            <v>0</v>
          </cell>
          <cell r="AH130">
            <v>0</v>
          </cell>
          <cell r="AJ130">
            <v>0</v>
          </cell>
          <cell r="AL130">
            <v>0</v>
          </cell>
          <cell r="AN130">
            <v>0</v>
          </cell>
          <cell r="AP130">
            <v>0</v>
          </cell>
          <cell r="AR130">
            <v>0</v>
          </cell>
          <cell r="AT130">
            <v>0</v>
          </cell>
          <cell r="AV130">
            <v>0</v>
          </cell>
          <cell r="AX130">
            <v>0</v>
          </cell>
          <cell r="AZ130">
            <v>0</v>
          </cell>
          <cell r="BB130">
            <v>0</v>
          </cell>
          <cell r="BD130">
            <v>0</v>
          </cell>
          <cell r="BF130">
            <v>0</v>
          </cell>
          <cell r="BH130">
            <v>0</v>
          </cell>
          <cell r="BN130">
            <v>0</v>
          </cell>
          <cell r="BR130">
            <v>0</v>
          </cell>
          <cell r="BT130">
            <v>0</v>
          </cell>
          <cell r="BV130">
            <v>0</v>
          </cell>
          <cell r="BX130">
            <v>0</v>
          </cell>
          <cell r="CB130">
            <v>0</v>
          </cell>
          <cell r="CD130">
            <v>0</v>
          </cell>
          <cell r="CG130" t="str">
            <v>CNA</v>
          </cell>
          <cell r="CH130">
            <v>0</v>
          </cell>
          <cell r="CJ130">
            <v>0</v>
          </cell>
          <cell r="CL130">
            <v>0</v>
          </cell>
          <cell r="CN130">
            <v>0</v>
          </cell>
          <cell r="CO130" t="str">
            <v>UPB</v>
          </cell>
          <cell r="CP130">
            <v>0</v>
          </cell>
          <cell r="CR130">
            <v>0</v>
          </cell>
          <cell r="CT130">
            <v>0</v>
          </cell>
          <cell r="CV130">
            <v>0</v>
          </cell>
        </row>
        <row r="131">
          <cell r="B131" t="str">
            <v>PSS</v>
          </cell>
          <cell r="D131" t="str">
            <v>PHYSICIAN SUPPORT SERVICES</v>
          </cell>
          <cell r="F131" t="str">
            <v>UR8</v>
          </cell>
          <cell r="H131">
            <v>102793.8978333008</v>
          </cell>
          <cell r="J131">
            <v>0</v>
          </cell>
          <cell r="L131">
            <v>102793.8978333008</v>
          </cell>
          <cell r="M131">
            <v>1</v>
          </cell>
          <cell r="N131">
            <v>0.86612499999999992</v>
          </cell>
          <cell r="O131" t="str">
            <v>PSS</v>
          </cell>
          <cell r="P131">
            <v>102.8</v>
          </cell>
          <cell r="R131">
            <v>0</v>
          </cell>
          <cell r="T131">
            <v>102.8</v>
          </cell>
          <cell r="AD131">
            <v>102.8</v>
          </cell>
          <cell r="AF131">
            <v>0</v>
          </cell>
          <cell r="AH131">
            <v>102.8</v>
          </cell>
          <cell r="AJ131">
            <v>0.86612499999999992</v>
          </cell>
          <cell r="AL131">
            <v>0</v>
          </cell>
          <cell r="AN131">
            <v>0</v>
          </cell>
          <cell r="AP131">
            <v>0</v>
          </cell>
          <cell r="AR131">
            <v>0</v>
          </cell>
          <cell r="AT131">
            <v>0</v>
          </cell>
          <cell r="AV131">
            <v>0</v>
          </cell>
          <cell r="AX131">
            <v>0</v>
          </cell>
          <cell r="AZ131">
            <v>0</v>
          </cell>
          <cell r="BB131">
            <v>102.8</v>
          </cell>
          <cell r="BD131">
            <v>0</v>
          </cell>
          <cell r="BF131">
            <v>102.8</v>
          </cell>
          <cell r="BH131">
            <v>0.86612499999999992</v>
          </cell>
          <cell r="BN131">
            <v>0</v>
          </cell>
          <cell r="BR131">
            <v>102.8</v>
          </cell>
          <cell r="BT131">
            <v>0</v>
          </cell>
          <cell r="BV131">
            <v>102.8</v>
          </cell>
          <cell r="BX131">
            <v>0.86612499999999992</v>
          </cell>
          <cell r="CB131">
            <v>0.29182999999999998</v>
          </cell>
          <cell r="CD131">
            <v>0.29182999999999998</v>
          </cell>
          <cell r="CG131" t="str">
            <v>PSS</v>
          </cell>
          <cell r="CH131">
            <v>0</v>
          </cell>
          <cell r="CJ131">
            <v>0</v>
          </cell>
          <cell r="CL131">
            <v>0</v>
          </cell>
          <cell r="CN131">
            <v>0</v>
          </cell>
          <cell r="CO131" t="str">
            <v>UPB</v>
          </cell>
          <cell r="CP131">
            <v>103.09183</v>
          </cell>
          <cell r="CR131">
            <v>0</v>
          </cell>
          <cell r="CT131">
            <v>103.09183</v>
          </cell>
          <cell r="CV131">
            <v>0.86612499999999992</v>
          </cell>
        </row>
        <row r="132">
          <cell r="B132" t="str">
            <v>TBA2</v>
          </cell>
          <cell r="D132" t="str">
            <v>Lactation Center Program</v>
          </cell>
          <cell r="F132" t="str">
            <v>UR9</v>
          </cell>
          <cell r="H132">
            <v>158163.01300325175</v>
          </cell>
          <cell r="J132">
            <v>304.64999999999998</v>
          </cell>
          <cell r="L132">
            <v>158467.66300325174</v>
          </cell>
          <cell r="M132">
            <v>1</v>
          </cell>
          <cell r="N132">
            <v>1.5104567307692307</v>
          </cell>
          <cell r="O132" t="str">
            <v>TBA2</v>
          </cell>
          <cell r="P132">
            <v>158.19999999999999</v>
          </cell>
          <cell r="R132">
            <v>0.3</v>
          </cell>
          <cell r="T132">
            <v>158.5</v>
          </cell>
          <cell r="AD132">
            <v>158.19999999999999</v>
          </cell>
          <cell r="AF132">
            <v>0.3</v>
          </cell>
          <cell r="AH132">
            <v>158.5</v>
          </cell>
          <cell r="AJ132">
            <v>1.5104567307692307</v>
          </cell>
          <cell r="AL132">
            <v>0</v>
          </cell>
          <cell r="AN132">
            <v>0</v>
          </cell>
          <cell r="AP132">
            <v>0</v>
          </cell>
          <cell r="AR132">
            <v>0</v>
          </cell>
          <cell r="AT132">
            <v>0</v>
          </cell>
          <cell r="AV132">
            <v>0</v>
          </cell>
          <cell r="AX132">
            <v>0</v>
          </cell>
          <cell r="AZ132">
            <v>0</v>
          </cell>
          <cell r="BB132">
            <v>158.19999999999999</v>
          </cell>
          <cell r="BD132">
            <v>0.3</v>
          </cell>
          <cell r="BF132">
            <v>158.5</v>
          </cell>
          <cell r="BH132">
            <v>1.5104567307692307</v>
          </cell>
          <cell r="BN132">
            <v>0</v>
          </cell>
          <cell r="BR132">
            <v>158.19999999999999</v>
          </cell>
          <cell r="BT132">
            <v>0.3</v>
          </cell>
          <cell r="BV132">
            <v>158.5</v>
          </cell>
          <cell r="BX132">
            <v>1.5104567307692307</v>
          </cell>
          <cell r="CB132">
            <v>0.51910000000000001</v>
          </cell>
          <cell r="CD132">
            <v>0.51910000000000001</v>
          </cell>
          <cell r="CG132" t="str">
            <v>TBA2</v>
          </cell>
          <cell r="CH132">
            <v>4.1619272066854691</v>
          </cell>
          <cell r="CJ132">
            <v>19.401773259757061</v>
          </cell>
          <cell r="CL132">
            <v>23.56370046644253</v>
          </cell>
          <cell r="CN132">
            <v>3.0168527430938234E-2</v>
          </cell>
          <cell r="CO132" t="str">
            <v>UPB</v>
          </cell>
          <cell r="CP132">
            <v>162.88102720668547</v>
          </cell>
          <cell r="CR132">
            <v>19.701773259757061</v>
          </cell>
          <cell r="CT132">
            <v>182.58280046644254</v>
          </cell>
          <cell r="CV132">
            <v>1.5406252582001689</v>
          </cell>
        </row>
        <row r="133">
          <cell r="B133" t="str">
            <v>TBA3</v>
          </cell>
          <cell r="D133" t="str">
            <v>St Joseph Medical Center Foundation</v>
          </cell>
          <cell r="F133" t="str">
            <v>UR10</v>
          </cell>
          <cell r="H133">
            <v>175000</v>
          </cell>
          <cell r="J133">
            <v>447000</v>
          </cell>
          <cell r="L133">
            <v>622000</v>
          </cell>
          <cell r="M133">
            <v>1</v>
          </cell>
          <cell r="N133">
            <v>0</v>
          </cell>
          <cell r="O133" t="str">
            <v>TBA3</v>
          </cell>
          <cell r="P133">
            <v>175</v>
          </cell>
          <cell r="R133">
            <v>447</v>
          </cell>
          <cell r="T133">
            <v>622</v>
          </cell>
          <cell r="AD133">
            <v>175</v>
          </cell>
          <cell r="AF133">
            <v>447</v>
          </cell>
          <cell r="AH133">
            <v>622</v>
          </cell>
          <cell r="AJ133">
            <v>0</v>
          </cell>
          <cell r="AL133">
            <v>0</v>
          </cell>
          <cell r="AN133">
            <v>0</v>
          </cell>
          <cell r="AP133">
            <v>0</v>
          </cell>
          <cell r="AR133">
            <v>0</v>
          </cell>
          <cell r="AT133">
            <v>0</v>
          </cell>
          <cell r="AV133">
            <v>0</v>
          </cell>
          <cell r="AX133">
            <v>0</v>
          </cell>
          <cell r="AZ133">
            <v>0</v>
          </cell>
          <cell r="BB133">
            <v>175</v>
          </cell>
          <cell r="BD133">
            <v>447</v>
          </cell>
          <cell r="BF133">
            <v>622</v>
          </cell>
          <cell r="BH133">
            <v>0</v>
          </cell>
          <cell r="BN133">
            <v>0</v>
          </cell>
          <cell r="BR133">
            <v>175</v>
          </cell>
          <cell r="BT133">
            <v>447</v>
          </cell>
          <cell r="BV133">
            <v>622</v>
          </cell>
          <cell r="BX133">
            <v>0</v>
          </cell>
          <cell r="CB133">
            <v>0</v>
          </cell>
          <cell r="CD133">
            <v>0</v>
          </cell>
          <cell r="CG133" t="str">
            <v>TBA3</v>
          </cell>
          <cell r="CH133">
            <v>0</v>
          </cell>
          <cell r="CJ133">
            <v>0</v>
          </cell>
          <cell r="CL133">
            <v>0</v>
          </cell>
          <cell r="CN133">
            <v>0</v>
          </cell>
          <cell r="CO133" t="str">
            <v>UPB</v>
          </cell>
          <cell r="CP133">
            <v>175</v>
          </cell>
          <cell r="CR133">
            <v>447</v>
          </cell>
          <cell r="CT133">
            <v>622</v>
          </cell>
          <cell r="CV133">
            <v>0</v>
          </cell>
        </row>
      </sheetData>
      <sheetData sheetId="4">
        <row r="15">
          <cell r="B15" t="str">
            <v>DTY</v>
          </cell>
          <cell r="D15" t="str">
            <v>DIETARY</v>
          </cell>
          <cell r="F15" t="str">
            <v>C1</v>
          </cell>
          <cell r="H15">
            <v>0</v>
          </cell>
          <cell r="J15">
            <v>2201209.1002700003</v>
          </cell>
          <cell r="L15">
            <v>2201209.1002700003</v>
          </cell>
          <cell r="N15">
            <v>0</v>
          </cell>
          <cell r="O15" t="str">
            <v>DTY</v>
          </cell>
          <cell r="P15">
            <v>0</v>
          </cell>
          <cell r="R15">
            <v>2201.1999999999998</v>
          </cell>
          <cell r="T15">
            <v>2201.1999999999998</v>
          </cell>
          <cell r="X15">
            <v>0</v>
          </cell>
          <cell r="Z15">
            <v>0</v>
          </cell>
          <cell r="AD15">
            <v>0</v>
          </cell>
          <cell r="AF15">
            <v>2201.1999999999998</v>
          </cell>
          <cell r="AH15">
            <v>2201.1999999999998</v>
          </cell>
          <cell r="AJ15">
            <v>0</v>
          </cell>
          <cell r="AL15">
            <v>0</v>
          </cell>
          <cell r="AN15">
            <v>0</v>
          </cell>
          <cell r="AP15">
            <v>0</v>
          </cell>
          <cell r="AR15">
            <v>0</v>
          </cell>
          <cell r="AT15">
            <v>0</v>
          </cell>
          <cell r="AV15">
            <v>0</v>
          </cell>
          <cell r="AX15">
            <v>0</v>
          </cell>
          <cell r="AZ15">
            <v>0</v>
          </cell>
          <cell r="BB15">
            <v>0</v>
          </cell>
          <cell r="BD15">
            <v>2201.1999999999998</v>
          </cell>
          <cell r="BF15">
            <v>2201.1999999999998</v>
          </cell>
          <cell r="BH15">
            <v>0</v>
          </cell>
          <cell r="BN15">
            <v>0</v>
          </cell>
          <cell r="BR15">
            <v>0</v>
          </cell>
          <cell r="BT15">
            <v>2201.1999999999998</v>
          </cell>
          <cell r="BV15">
            <v>2201.1999999999998</v>
          </cell>
          <cell r="BX15">
            <v>0</v>
          </cell>
          <cell r="CB15">
            <v>0</v>
          </cell>
          <cell r="CD15">
            <v>0</v>
          </cell>
          <cell r="CG15" t="str">
            <v>DTY</v>
          </cell>
          <cell r="CH15">
            <v>0</v>
          </cell>
          <cell r="CJ15">
            <v>0</v>
          </cell>
          <cell r="CL15">
            <v>0</v>
          </cell>
          <cell r="CN15">
            <v>0</v>
          </cell>
          <cell r="CO15" t="str">
            <v>DTY</v>
          </cell>
          <cell r="CP15">
            <v>0</v>
          </cell>
          <cell r="CR15">
            <v>2201.1999999999998</v>
          </cell>
          <cell r="CT15">
            <v>2201.1999999999998</v>
          </cell>
          <cell r="CV15">
            <v>0</v>
          </cell>
        </row>
        <row r="16">
          <cell r="B16" t="str">
            <v>LL</v>
          </cell>
          <cell r="D16" t="str">
            <v>LAUNDRY &amp; LINEN</v>
          </cell>
          <cell r="F16" t="str">
            <v>C2</v>
          </cell>
          <cell r="H16">
            <v>73234.019626823399</v>
          </cell>
          <cell r="J16">
            <v>1153014.7600000005</v>
          </cell>
          <cell r="L16">
            <v>1226248.779626824</v>
          </cell>
          <cell r="N16">
            <v>2.218389423076923</v>
          </cell>
          <cell r="O16" t="str">
            <v>LL</v>
          </cell>
          <cell r="P16">
            <v>73.2</v>
          </cell>
          <cell r="R16">
            <v>1153</v>
          </cell>
          <cell r="T16">
            <v>1226.2</v>
          </cell>
          <cell r="X16">
            <v>0</v>
          </cell>
          <cell r="Z16">
            <v>0</v>
          </cell>
          <cell r="AD16">
            <v>73.2</v>
          </cell>
          <cell r="AF16">
            <v>1153</v>
          </cell>
          <cell r="AH16">
            <v>1226.2</v>
          </cell>
          <cell r="AJ16">
            <v>2.218389423076923</v>
          </cell>
          <cell r="AL16">
            <v>0</v>
          </cell>
          <cell r="AN16">
            <v>0</v>
          </cell>
          <cell r="AP16">
            <v>0</v>
          </cell>
          <cell r="AR16">
            <v>0</v>
          </cell>
          <cell r="AT16">
            <v>1.2889683394837617</v>
          </cell>
          <cell r="AV16">
            <v>23.538348933331292</v>
          </cell>
          <cell r="AX16">
            <v>24.827317272815055</v>
          </cell>
          <cell r="AZ16">
            <v>9.7112679076289416E-3</v>
          </cell>
          <cell r="BB16">
            <v>74.488968339483762</v>
          </cell>
          <cell r="BD16">
            <v>1176.5383489333312</v>
          </cell>
          <cell r="BF16">
            <v>1251.027317272815</v>
          </cell>
          <cell r="BH16">
            <v>2.2281006909845518</v>
          </cell>
          <cell r="BN16">
            <v>0</v>
          </cell>
          <cell r="BR16">
            <v>74.488968339483762</v>
          </cell>
          <cell r="BT16">
            <v>1176.5383489333312</v>
          </cell>
          <cell r="BV16">
            <v>1251.027317272815</v>
          </cell>
          <cell r="BX16">
            <v>2.2281006909845518</v>
          </cell>
          <cell r="CB16">
            <v>2.37643</v>
          </cell>
          <cell r="CD16">
            <v>2.37643</v>
          </cell>
          <cell r="CG16" t="str">
            <v>LL</v>
          </cell>
          <cell r="CH16">
            <v>-0.54807970093413816</v>
          </cell>
          <cell r="CJ16">
            <v>-8.6291041793640062</v>
          </cell>
          <cell r="CL16">
            <v>-9.1771838802981449</v>
          </cell>
          <cell r="CN16">
            <v>-1.6602314303530666E-2</v>
          </cell>
          <cell r="CO16" t="str">
            <v>LL</v>
          </cell>
          <cell r="CP16">
            <v>76.317318638549622</v>
          </cell>
          <cell r="CR16">
            <v>1167.9092447539672</v>
          </cell>
          <cell r="CT16">
            <v>1244.2265633925167</v>
          </cell>
          <cell r="CV16">
            <v>2.2114983766810212</v>
          </cell>
        </row>
        <row r="17">
          <cell r="B17" t="str">
            <v>SSS</v>
          </cell>
          <cell r="D17" t="str">
            <v>SOCIAL SERVICES</v>
          </cell>
          <cell r="F17" t="str">
            <v>C3</v>
          </cell>
          <cell r="H17">
            <v>179926.41762214981</v>
          </cell>
          <cell r="J17">
            <v>0</v>
          </cell>
          <cell r="L17">
            <v>179926.41762214981</v>
          </cell>
          <cell r="N17">
            <v>3.5681490384615384</v>
          </cell>
          <cell r="O17" t="str">
            <v>SSS</v>
          </cell>
          <cell r="P17">
            <v>179.9</v>
          </cell>
          <cell r="R17">
            <v>0</v>
          </cell>
          <cell r="T17">
            <v>179.9</v>
          </cell>
          <cell r="X17">
            <v>0</v>
          </cell>
          <cell r="Z17">
            <v>0</v>
          </cell>
          <cell r="AD17">
            <v>179.9</v>
          </cell>
          <cell r="AF17">
            <v>0</v>
          </cell>
          <cell r="AH17">
            <v>179.9</v>
          </cell>
          <cell r="AJ17">
            <v>3.5681490384615384</v>
          </cell>
          <cell r="AL17">
            <v>0</v>
          </cell>
          <cell r="AN17">
            <v>0</v>
          </cell>
          <cell r="AP17">
            <v>0</v>
          </cell>
          <cell r="AR17">
            <v>0</v>
          </cell>
          <cell r="AT17">
            <v>2.0732298366069477</v>
          </cell>
          <cell r="AV17">
            <v>37.860051188373305</v>
          </cell>
          <cell r="AX17">
            <v>39.933281024980253</v>
          </cell>
          <cell r="AZ17">
            <v>1.5620003812850431E-2</v>
          </cell>
          <cell r="BB17">
            <v>181.97322983660695</v>
          </cell>
          <cell r="BD17">
            <v>37.860051188373305</v>
          </cell>
          <cell r="BF17">
            <v>219.83328102498024</v>
          </cell>
          <cell r="BH17">
            <v>3.5837690422743886</v>
          </cell>
          <cell r="BN17">
            <v>0</v>
          </cell>
          <cell r="BR17">
            <v>181.97322983660695</v>
          </cell>
          <cell r="BT17">
            <v>37.860051188373305</v>
          </cell>
          <cell r="BV17">
            <v>219.83328102498024</v>
          </cell>
          <cell r="BX17">
            <v>3.5837690422743886</v>
          </cell>
          <cell r="CB17">
            <v>3.8510399999999998</v>
          </cell>
          <cell r="CD17">
            <v>3.8510399999999998</v>
          </cell>
          <cell r="CG17" t="str">
            <v>SSS</v>
          </cell>
          <cell r="CH17">
            <v>0</v>
          </cell>
          <cell r="CJ17">
            <v>0</v>
          </cell>
          <cell r="CL17">
            <v>0</v>
          </cell>
          <cell r="CN17">
            <v>0</v>
          </cell>
          <cell r="CO17" t="str">
            <v>SSS</v>
          </cell>
          <cell r="CP17">
            <v>185.82426983660696</v>
          </cell>
          <cell r="CR17">
            <v>37.860051188373305</v>
          </cell>
          <cell r="CT17">
            <v>223.68432102498025</v>
          </cell>
          <cell r="CV17">
            <v>3.5837690422743886</v>
          </cell>
        </row>
        <row r="18">
          <cell r="B18" t="str">
            <v>PUR</v>
          </cell>
          <cell r="D18" t="str">
            <v>PURCHASING &amp; STORES</v>
          </cell>
          <cell r="F18" t="str">
            <v>C4</v>
          </cell>
          <cell r="H18">
            <v>1121878.110068538</v>
          </cell>
          <cell r="J18">
            <v>1063265.0899999999</v>
          </cell>
          <cell r="L18">
            <v>2185143.2000685381</v>
          </cell>
          <cell r="N18">
            <v>19.05528846153846</v>
          </cell>
          <cell r="O18" t="str">
            <v>PUR</v>
          </cell>
          <cell r="P18">
            <v>1121.9000000000001</v>
          </cell>
          <cell r="R18">
            <v>1063.3</v>
          </cell>
          <cell r="T18">
            <v>2185.1999999999998</v>
          </cell>
          <cell r="X18">
            <v>0</v>
          </cell>
          <cell r="Z18">
            <v>0</v>
          </cell>
          <cell r="AD18">
            <v>1121.9000000000001</v>
          </cell>
          <cell r="AF18">
            <v>1063.3</v>
          </cell>
          <cell r="AH18">
            <v>2185.1999999999998</v>
          </cell>
          <cell r="AJ18">
            <v>19.05528846153846</v>
          </cell>
          <cell r="AL18">
            <v>0</v>
          </cell>
          <cell r="AN18">
            <v>0</v>
          </cell>
          <cell r="AP18">
            <v>0</v>
          </cell>
          <cell r="AR18">
            <v>0</v>
          </cell>
          <cell r="AT18">
            <v>11.071844857872653</v>
          </cell>
          <cell r="AV18">
            <v>202.18723735657707</v>
          </cell>
          <cell r="AX18">
            <v>213.25908221444973</v>
          </cell>
          <cell r="AZ18">
            <v>8.3416829066234627E-2</v>
          </cell>
          <cell r="BB18">
            <v>1132.9718448578728</v>
          </cell>
          <cell r="BD18">
            <v>1265.487237356577</v>
          </cell>
          <cell r="BF18">
            <v>2398.4590822144501</v>
          </cell>
          <cell r="BH18">
            <v>19.138705290604694</v>
          </cell>
          <cell r="BN18">
            <v>0</v>
          </cell>
          <cell r="BR18">
            <v>1132.9718448578728</v>
          </cell>
          <cell r="BT18">
            <v>1265.487237356577</v>
          </cell>
          <cell r="BV18">
            <v>2398.4590822144501</v>
          </cell>
          <cell r="BX18">
            <v>19.138705290604694</v>
          </cell>
          <cell r="CB18">
            <v>20.314630000000001</v>
          </cell>
          <cell r="CD18">
            <v>20.314630000000001</v>
          </cell>
          <cell r="CG18" t="str">
            <v>PUR</v>
          </cell>
          <cell r="CH18">
            <v>-13.774433101873228</v>
          </cell>
          <cell r="CJ18">
            <v>-13.054781727461879</v>
          </cell>
          <cell r="CL18">
            <v>-26.829214829335108</v>
          </cell>
          <cell r="CN18">
            <v>-0.23396106385775117</v>
          </cell>
          <cell r="CO18" t="str">
            <v>PUR</v>
          </cell>
          <cell r="CP18">
            <v>1139.5120417559997</v>
          </cell>
          <cell r="CR18">
            <v>1252.4324556291151</v>
          </cell>
          <cell r="CT18">
            <v>2391.944497385115</v>
          </cell>
          <cell r="CV18">
            <v>18.904744226746942</v>
          </cell>
        </row>
        <row r="19">
          <cell r="B19" t="str">
            <v>POP</v>
          </cell>
          <cell r="D19" t="str">
            <v>PLANT OPERATIONS</v>
          </cell>
          <cell r="F19" t="str">
            <v>C5</v>
          </cell>
          <cell r="H19">
            <v>3440727.5912054847</v>
          </cell>
          <cell r="J19">
            <v>8984783.0500000007</v>
          </cell>
          <cell r="L19">
            <v>12425510.641205486</v>
          </cell>
          <cell r="N19">
            <v>47.375480769230769</v>
          </cell>
          <cell r="O19" t="str">
            <v>POP</v>
          </cell>
          <cell r="P19">
            <v>3440.7</v>
          </cell>
          <cell r="R19">
            <v>8984.7999999999993</v>
          </cell>
          <cell r="T19">
            <v>12425.5</v>
          </cell>
          <cell r="X19">
            <v>0</v>
          </cell>
          <cell r="Z19">
            <v>0</v>
          </cell>
          <cell r="AD19">
            <v>3440.7</v>
          </cell>
          <cell r="AF19">
            <v>8984.7999999999993</v>
          </cell>
          <cell r="AH19">
            <v>12425.5</v>
          </cell>
          <cell r="AJ19">
            <v>47.375480769230769</v>
          </cell>
          <cell r="AL19">
            <v>0</v>
          </cell>
          <cell r="AN19">
            <v>0</v>
          </cell>
          <cell r="AP19">
            <v>0</v>
          </cell>
          <cell r="AR19">
            <v>0</v>
          </cell>
          <cell r="AT19">
            <v>27.526950022445543</v>
          </cell>
          <cell r="AV19">
            <v>502.68027138525196</v>
          </cell>
          <cell r="AX19">
            <v>530.20722140769749</v>
          </cell>
          <cell r="AZ19">
            <v>0.20739189486604834</v>
          </cell>
          <cell r="BB19">
            <v>3468.2269500224452</v>
          </cell>
          <cell r="BD19">
            <v>9487.4802713852514</v>
          </cell>
          <cell r="BF19">
            <v>12955.707221407696</v>
          </cell>
          <cell r="BH19">
            <v>47.582872664096818</v>
          </cell>
          <cell r="BN19">
            <v>0</v>
          </cell>
          <cell r="BR19">
            <v>3468.2269500224452</v>
          </cell>
          <cell r="BT19">
            <v>9487.4802713852514</v>
          </cell>
          <cell r="BV19">
            <v>12955.707221407696</v>
          </cell>
          <cell r="BX19">
            <v>47.582872664096818</v>
          </cell>
          <cell r="CB19">
            <v>49.958419999999997</v>
          </cell>
          <cell r="CD19">
            <v>49.958419999999997</v>
          </cell>
          <cell r="CG19" t="str">
            <v>POP</v>
          </cell>
          <cell r="CH19">
            <v>-79.286317638495262</v>
          </cell>
          <cell r="CJ19">
            <v>-207.04061682653693</v>
          </cell>
          <cell r="CL19">
            <v>-286.3269344650322</v>
          </cell>
          <cell r="CN19">
            <v>-1.0916956710396337</v>
          </cell>
          <cell r="CO19" t="str">
            <v>POP</v>
          </cell>
          <cell r="CP19">
            <v>3438.8990523839498</v>
          </cell>
          <cell r="CR19">
            <v>9280.4396545587151</v>
          </cell>
          <cell r="CT19">
            <v>12719.338706942664</v>
          </cell>
          <cell r="CV19">
            <v>46.491176993057188</v>
          </cell>
        </row>
        <row r="20">
          <cell r="B20" t="str">
            <v>HKP</v>
          </cell>
          <cell r="D20" t="str">
            <v>HOUSEKEEPING</v>
          </cell>
          <cell r="F20" t="str">
            <v>C6</v>
          </cell>
          <cell r="H20">
            <v>0</v>
          </cell>
          <cell r="J20">
            <v>4578317.57</v>
          </cell>
          <cell r="L20">
            <v>4578317.57</v>
          </cell>
          <cell r="N20">
            <v>0</v>
          </cell>
          <cell r="O20" t="str">
            <v>HKP</v>
          </cell>
          <cell r="P20">
            <v>0</v>
          </cell>
          <cell r="R20">
            <v>4578.3</v>
          </cell>
          <cell r="T20">
            <v>4578.3</v>
          </cell>
          <cell r="X20">
            <v>0</v>
          </cell>
          <cell r="Z20">
            <v>0</v>
          </cell>
          <cell r="AD20">
            <v>0</v>
          </cell>
          <cell r="AF20">
            <v>4578.3</v>
          </cell>
          <cell r="AH20">
            <v>4578.3</v>
          </cell>
          <cell r="AJ20">
            <v>0</v>
          </cell>
          <cell r="AL20">
            <v>0</v>
          </cell>
          <cell r="AN20">
            <v>0</v>
          </cell>
          <cell r="AP20">
            <v>0</v>
          </cell>
          <cell r="AR20">
            <v>0</v>
          </cell>
          <cell r="AT20">
            <v>0</v>
          </cell>
          <cell r="AV20">
            <v>0</v>
          </cell>
          <cell r="AX20">
            <v>0</v>
          </cell>
          <cell r="AZ20">
            <v>0</v>
          </cell>
          <cell r="BB20">
            <v>0</v>
          </cell>
          <cell r="BD20">
            <v>4578.3</v>
          </cell>
          <cell r="BF20">
            <v>4578.3</v>
          </cell>
          <cell r="BH20">
            <v>0</v>
          </cell>
          <cell r="BN20">
            <v>0</v>
          </cell>
          <cell r="BR20">
            <v>0</v>
          </cell>
          <cell r="BT20">
            <v>4578.3</v>
          </cell>
          <cell r="BV20">
            <v>4578.3</v>
          </cell>
          <cell r="BX20">
            <v>0</v>
          </cell>
          <cell r="CB20">
            <v>0</v>
          </cell>
          <cell r="CD20">
            <v>0</v>
          </cell>
          <cell r="CG20" t="str">
            <v>HKP</v>
          </cell>
          <cell r="CH20">
            <v>0</v>
          </cell>
          <cell r="CJ20">
            <v>-105.50034301836278</v>
          </cell>
          <cell r="CL20">
            <v>-105.50034301836278</v>
          </cell>
          <cell r="CN20">
            <v>0</v>
          </cell>
          <cell r="CO20" t="str">
            <v>HKP</v>
          </cell>
          <cell r="CP20">
            <v>0</v>
          </cell>
          <cell r="CR20">
            <v>4472.7996569816378</v>
          </cell>
          <cell r="CT20">
            <v>4472.7996569816378</v>
          </cell>
          <cell r="CV20">
            <v>0</v>
          </cell>
        </row>
        <row r="21">
          <cell r="B21" t="str">
            <v>CSS</v>
          </cell>
          <cell r="D21" t="str">
            <v>CENTRAL SVCS &amp; SUPPLY</v>
          </cell>
          <cell r="F21" t="str">
            <v>C7</v>
          </cell>
          <cell r="H21">
            <v>1339959.7625784292</v>
          </cell>
          <cell r="J21">
            <v>646039.49796472176</v>
          </cell>
          <cell r="L21">
            <v>1985999.2605431508</v>
          </cell>
          <cell r="N21">
            <v>19.986145052728745</v>
          </cell>
          <cell r="O21" t="str">
            <v>CSS</v>
          </cell>
          <cell r="P21">
            <v>1340</v>
          </cell>
          <cell r="R21">
            <v>646</v>
          </cell>
          <cell r="T21">
            <v>1986</v>
          </cell>
          <cell r="X21">
            <v>0</v>
          </cell>
          <cell r="Z21">
            <v>0</v>
          </cell>
          <cell r="AD21">
            <v>1340</v>
          </cell>
          <cell r="AF21">
            <v>646</v>
          </cell>
          <cell r="AH21">
            <v>1986</v>
          </cell>
          <cell r="AJ21">
            <v>19.986145052728745</v>
          </cell>
          <cell r="AL21">
            <v>0</v>
          </cell>
          <cell r="AN21">
            <v>0</v>
          </cell>
          <cell r="AP21">
            <v>0</v>
          </cell>
          <cell r="AR21">
            <v>0</v>
          </cell>
          <cell r="AT21">
            <v>11.612707820057111</v>
          </cell>
          <cell r="AV21">
            <v>212.06414491049867</v>
          </cell>
          <cell r="AX21">
            <v>223.67685273055577</v>
          </cell>
          <cell r="AZ21">
            <v>8.7491766336758023E-2</v>
          </cell>
          <cell r="BB21">
            <v>1351.612707820057</v>
          </cell>
          <cell r="BD21">
            <v>858.06414491049873</v>
          </cell>
          <cell r="BF21">
            <v>2209.6768527305558</v>
          </cell>
          <cell r="BH21">
            <v>20.073636819065502</v>
          </cell>
          <cell r="BN21">
            <v>0</v>
          </cell>
          <cell r="BR21">
            <v>1351.612707820057</v>
          </cell>
          <cell r="BT21">
            <v>858.06414491049873</v>
          </cell>
          <cell r="BV21">
            <v>2209.6768527305558</v>
          </cell>
          <cell r="BX21">
            <v>20.073636819065502</v>
          </cell>
          <cell r="CB21">
            <v>21.307009999999998</v>
          </cell>
          <cell r="CD21">
            <v>21.307009999999998</v>
          </cell>
          <cell r="CG21" t="str">
            <v>CSS</v>
          </cell>
          <cell r="CH21">
            <v>-16.452042288008379</v>
          </cell>
          <cell r="CJ21">
            <v>-7.9320808259100248</v>
          </cell>
          <cell r="CL21">
            <v>-24.384123113918402</v>
          </cell>
          <cell r="CN21">
            <v>-0.24539013242385854</v>
          </cell>
          <cell r="CO21" t="str">
            <v>CSS</v>
          </cell>
          <cell r="CP21">
            <v>1356.4676755320486</v>
          </cell>
          <cell r="CR21">
            <v>850.13206408458871</v>
          </cell>
          <cell r="CT21">
            <v>2206.5997396166372</v>
          </cell>
          <cell r="CV21">
            <v>19.828246686641645</v>
          </cell>
        </row>
        <row r="22">
          <cell r="B22" t="str">
            <v>PHM</v>
          </cell>
          <cell r="D22" t="str">
            <v>PHARMACY</v>
          </cell>
          <cell r="F22" t="str">
            <v>C8</v>
          </cell>
          <cell r="H22">
            <v>4225667.1858268818</v>
          </cell>
          <cell r="J22">
            <v>758591.35000000219</v>
          </cell>
          <cell r="L22">
            <v>4984258.5358268842</v>
          </cell>
          <cell r="N22">
            <v>35.348677884615384</v>
          </cell>
          <cell r="O22" t="str">
            <v>PHM</v>
          </cell>
          <cell r="P22">
            <v>4225.7</v>
          </cell>
          <cell r="R22">
            <v>758.6</v>
          </cell>
          <cell r="T22">
            <v>4984.3</v>
          </cell>
          <cell r="X22">
            <v>0</v>
          </cell>
          <cell r="Z22">
            <v>0</v>
          </cell>
          <cell r="AD22">
            <v>4225.7</v>
          </cell>
          <cell r="AF22">
            <v>758.6</v>
          </cell>
          <cell r="AH22">
            <v>4984.3</v>
          </cell>
          <cell r="AJ22">
            <v>35.348677884615384</v>
          </cell>
          <cell r="AL22">
            <v>0</v>
          </cell>
          <cell r="AN22">
            <v>0</v>
          </cell>
          <cell r="AP22">
            <v>0</v>
          </cell>
          <cell r="AR22">
            <v>0</v>
          </cell>
          <cell r="AT22">
            <v>20.538921688818</v>
          </cell>
          <cell r="AV22">
            <v>375.06918565539723</v>
          </cell>
          <cell r="AX22">
            <v>395.60810734421523</v>
          </cell>
          <cell r="AZ22">
            <v>0.15474311117199868</v>
          </cell>
          <cell r="BB22">
            <v>4246.2389216888178</v>
          </cell>
          <cell r="BD22">
            <v>1133.6691856553973</v>
          </cell>
          <cell r="BF22">
            <v>5379.9081073442148</v>
          </cell>
          <cell r="BH22">
            <v>35.50342099578738</v>
          </cell>
          <cell r="BN22">
            <v>0</v>
          </cell>
          <cell r="BR22">
            <v>4246.2389216888178</v>
          </cell>
          <cell r="BT22">
            <v>1133.6691856553973</v>
          </cell>
          <cell r="BV22">
            <v>5379.9081073442148</v>
          </cell>
          <cell r="BX22">
            <v>35.50342099578738</v>
          </cell>
          <cell r="CB22">
            <v>38.151220000000002</v>
          </cell>
          <cell r="CD22">
            <v>38.151220000000002</v>
          </cell>
          <cell r="CG22" t="str">
            <v>PHM</v>
          </cell>
          <cell r="CH22">
            <v>0</v>
          </cell>
          <cell r="CJ22">
            <v>0</v>
          </cell>
          <cell r="CL22">
            <v>0</v>
          </cell>
          <cell r="CN22">
            <v>0</v>
          </cell>
          <cell r="CO22" t="str">
            <v>PHM</v>
          </cell>
          <cell r="CP22">
            <v>4284.3901416888175</v>
          </cell>
          <cell r="CR22">
            <v>1133.6691856553973</v>
          </cell>
          <cell r="CT22">
            <v>5418.0593273442146</v>
          </cell>
          <cell r="CV22">
            <v>35.50342099578738</v>
          </cell>
        </row>
        <row r="23">
          <cell r="B23" t="str">
            <v>FIS</v>
          </cell>
          <cell r="D23" t="str">
            <v>GENERAL ACCOUNTING</v>
          </cell>
          <cell r="F23" t="str">
            <v>C9</v>
          </cell>
          <cell r="H23">
            <v>0</v>
          </cell>
          <cell r="J23">
            <v>3252093.3400000003</v>
          </cell>
          <cell r="L23">
            <v>3252093.3400000003</v>
          </cell>
          <cell r="N23">
            <v>0</v>
          </cell>
          <cell r="O23" t="str">
            <v>FIS</v>
          </cell>
          <cell r="P23">
            <v>0</v>
          </cell>
          <cell r="R23">
            <v>3252.1</v>
          </cell>
          <cell r="T23">
            <v>3252.1</v>
          </cell>
          <cell r="X23">
            <v>0</v>
          </cell>
          <cell r="Z23">
            <v>0</v>
          </cell>
          <cell r="AD23">
            <v>0</v>
          </cell>
          <cell r="AF23">
            <v>3252.1</v>
          </cell>
          <cell r="AH23">
            <v>3252.1</v>
          </cell>
          <cell r="AJ23">
            <v>0</v>
          </cell>
          <cell r="AL23">
            <v>0</v>
          </cell>
          <cell r="AN23">
            <v>0</v>
          </cell>
          <cell r="AP23">
            <v>0</v>
          </cell>
          <cell r="AR23">
            <v>0</v>
          </cell>
          <cell r="AT23">
            <v>0</v>
          </cell>
          <cell r="AV23">
            <v>0</v>
          </cell>
          <cell r="AX23">
            <v>0</v>
          </cell>
          <cell r="AZ23">
            <v>0</v>
          </cell>
          <cell r="BB23">
            <v>0</v>
          </cell>
          <cell r="BD23">
            <v>3252.1</v>
          </cell>
          <cell r="BF23">
            <v>3252.1</v>
          </cell>
          <cell r="BH23">
            <v>0</v>
          </cell>
          <cell r="BN23">
            <v>0</v>
          </cell>
          <cell r="BR23">
            <v>0</v>
          </cell>
          <cell r="BT23">
            <v>3252.1</v>
          </cell>
          <cell r="BV23">
            <v>3252.1</v>
          </cell>
          <cell r="BX23">
            <v>0</v>
          </cell>
          <cell r="CB23">
            <v>0</v>
          </cell>
          <cell r="CD23">
            <v>0</v>
          </cell>
          <cell r="CG23" t="str">
            <v>FIS</v>
          </cell>
          <cell r="CH23">
            <v>0</v>
          </cell>
          <cell r="CJ23">
            <v>-191.34004914919112</v>
          </cell>
          <cell r="CL23">
            <v>-191.34004914919112</v>
          </cell>
          <cell r="CN23">
            <v>0</v>
          </cell>
          <cell r="CO23" t="str">
            <v>FIS</v>
          </cell>
          <cell r="CP23">
            <v>0</v>
          </cell>
          <cell r="CR23">
            <v>3060.7599508508088</v>
          </cell>
          <cell r="CT23">
            <v>3060.7599508508088</v>
          </cell>
          <cell r="CV23">
            <v>0</v>
          </cell>
        </row>
        <row r="24">
          <cell r="B24" t="str">
            <v>PAC</v>
          </cell>
          <cell r="D24" t="str">
            <v>PATIENT ACCOUNTS</v>
          </cell>
          <cell r="F24" t="str">
            <v>C10</v>
          </cell>
          <cell r="H24">
            <v>1873929.687477737</v>
          </cell>
          <cell r="J24">
            <v>-25796.236345096921</v>
          </cell>
          <cell r="L24">
            <v>1848133.45113264</v>
          </cell>
          <cell r="N24">
            <v>40.132343482644323</v>
          </cell>
          <cell r="O24" t="str">
            <v>PAC</v>
          </cell>
          <cell r="P24">
            <v>1873.9</v>
          </cell>
          <cell r="R24">
            <v>-25.8</v>
          </cell>
          <cell r="T24">
            <v>1848.1000000000001</v>
          </cell>
          <cell r="X24">
            <v>0</v>
          </cell>
          <cell r="Z24">
            <v>0</v>
          </cell>
          <cell r="AD24">
            <v>1873.9</v>
          </cell>
          <cell r="AF24">
            <v>-25.8</v>
          </cell>
          <cell r="AH24">
            <v>1848.1000000000001</v>
          </cell>
          <cell r="AJ24">
            <v>40.132343482644323</v>
          </cell>
          <cell r="AL24">
            <v>0</v>
          </cell>
          <cell r="AN24">
            <v>0</v>
          </cell>
          <cell r="AP24">
            <v>0</v>
          </cell>
          <cell r="AR24">
            <v>0</v>
          </cell>
          <cell r="AT24">
            <v>23.318412718839532</v>
          </cell>
          <cell r="AV24">
            <v>425.82654541173866</v>
          </cell>
          <cell r="AX24">
            <v>449.14495813057817</v>
          </cell>
          <cell r="AZ24">
            <v>0.1756841856829531</v>
          </cell>
          <cell r="BB24">
            <v>1897.2184127188395</v>
          </cell>
          <cell r="BD24">
            <v>400.02654541173865</v>
          </cell>
          <cell r="BF24">
            <v>2297.2449581305782</v>
          </cell>
          <cell r="BH24">
            <v>40.308027668327277</v>
          </cell>
          <cell r="BN24">
            <v>0</v>
          </cell>
          <cell r="BR24">
            <v>1897.2184127188395</v>
          </cell>
          <cell r="BT24">
            <v>400.02654541173865</v>
          </cell>
          <cell r="BV24">
            <v>2297.2449581305782</v>
          </cell>
          <cell r="BX24">
            <v>40.308027668327277</v>
          </cell>
          <cell r="CB24">
            <v>42.65793</v>
          </cell>
          <cell r="CD24">
            <v>42.65793</v>
          </cell>
          <cell r="CG24" t="str">
            <v>PAC</v>
          </cell>
          <cell r="CH24">
            <v>-28.514407700141689</v>
          </cell>
          <cell r="CJ24">
            <v>0.39252507988352436</v>
          </cell>
          <cell r="CL24">
            <v>-28.121882620258166</v>
          </cell>
          <cell r="CN24">
            <v>-0.61066859214259595</v>
          </cell>
          <cell r="CO24" t="str">
            <v>PAC</v>
          </cell>
          <cell r="CP24">
            <v>1911.361935018698</v>
          </cell>
          <cell r="CR24">
            <v>400.41907049162216</v>
          </cell>
          <cell r="CT24">
            <v>2311.78100551032</v>
          </cell>
          <cell r="CV24">
            <v>39.697359076184682</v>
          </cell>
        </row>
        <row r="25">
          <cell r="B25" t="str">
            <v>MGT</v>
          </cell>
          <cell r="D25" t="str">
            <v>HOSPITAL ADMIN</v>
          </cell>
          <cell r="F25" t="str">
            <v>C11</v>
          </cell>
          <cell r="H25">
            <v>7687191.0423852671</v>
          </cell>
          <cell r="J25">
            <v>14578219.949062644</v>
          </cell>
          <cell r="L25">
            <v>22265410.991447911</v>
          </cell>
          <cell r="N25">
            <v>38.190497001621715</v>
          </cell>
          <cell r="O25" t="str">
            <v>MGT</v>
          </cell>
          <cell r="P25">
            <v>7687.2</v>
          </cell>
          <cell r="R25">
            <v>14578.2</v>
          </cell>
          <cell r="T25">
            <v>22265.4</v>
          </cell>
          <cell r="X25">
            <v>0</v>
          </cell>
          <cell r="Z25">
            <v>0</v>
          </cell>
          <cell r="AD25">
            <v>7687.2</v>
          </cell>
          <cell r="AF25">
            <v>14578.2</v>
          </cell>
          <cell r="AH25">
            <v>22265.4</v>
          </cell>
          <cell r="AJ25">
            <v>38.190497001621715</v>
          </cell>
          <cell r="AL25">
            <v>0</v>
          </cell>
          <cell r="AN25">
            <v>0</v>
          </cell>
          <cell r="AP25">
            <v>0</v>
          </cell>
          <cell r="AR25">
            <v>0</v>
          </cell>
          <cell r="AT25">
            <v>22.190126310628823</v>
          </cell>
          <cell r="AV25">
            <v>405.22247131645452</v>
          </cell>
          <cell r="AX25">
            <v>427.41259762708336</v>
          </cell>
          <cell r="AZ25">
            <v>0.16718351793881053</v>
          </cell>
          <cell r="BB25">
            <v>7709.3901263106291</v>
          </cell>
          <cell r="BD25">
            <v>14983.422471316455</v>
          </cell>
          <cell r="BF25">
            <v>22692.812597627082</v>
          </cell>
          <cell r="BH25">
            <v>38.357680519560525</v>
          </cell>
          <cell r="BN25">
            <v>0</v>
          </cell>
          <cell r="BR25">
            <v>7709.3901263106291</v>
          </cell>
          <cell r="BT25">
            <v>14983.422471316455</v>
          </cell>
          <cell r="BV25">
            <v>22692.812597627082</v>
          </cell>
          <cell r="BX25">
            <v>38.357680519560525</v>
          </cell>
          <cell r="CB25">
            <v>38.803789999999999</v>
          </cell>
          <cell r="CD25">
            <v>38.803789999999999</v>
          </cell>
          <cell r="CG25" t="str">
            <v>MGT</v>
          </cell>
          <cell r="CH25">
            <v>-452.28330127487004</v>
          </cell>
          <cell r="CJ25">
            <v>-857.72363518980819</v>
          </cell>
          <cell r="CL25">
            <v>-1310.0069364646783</v>
          </cell>
          <cell r="CN25">
            <v>-2.2469747357627607</v>
          </cell>
          <cell r="CO25" t="str">
            <v>MGT</v>
          </cell>
          <cell r="CP25">
            <v>7295.9106150357593</v>
          </cell>
          <cell r="CR25">
            <v>14125.698836126647</v>
          </cell>
          <cell r="CT25">
            <v>21421.609451162407</v>
          </cell>
          <cell r="CV25">
            <v>36.110705783797762</v>
          </cell>
        </row>
        <row r="26">
          <cell r="B26" t="str">
            <v>MRD</v>
          </cell>
          <cell r="D26" t="str">
            <v>MEDICAL RECORDS</v>
          </cell>
          <cell r="F26" t="str">
            <v>C12</v>
          </cell>
          <cell r="H26">
            <v>2090921.0316197299</v>
          </cell>
          <cell r="J26">
            <v>1685253.22</v>
          </cell>
          <cell r="L26">
            <v>3776174.2516197301</v>
          </cell>
          <cell r="N26">
            <v>29.526322115384616</v>
          </cell>
          <cell r="O26" t="str">
            <v>MRD</v>
          </cell>
          <cell r="P26">
            <v>2090.9</v>
          </cell>
          <cell r="R26">
            <v>1685.3</v>
          </cell>
          <cell r="T26">
            <v>3776.2</v>
          </cell>
          <cell r="X26">
            <v>0</v>
          </cell>
          <cell r="Z26">
            <v>0</v>
          </cell>
          <cell r="AD26">
            <v>2090.9</v>
          </cell>
          <cell r="AF26">
            <v>1685.3</v>
          </cell>
          <cell r="AH26">
            <v>3776.2</v>
          </cell>
          <cell r="AJ26">
            <v>29.526322115384616</v>
          </cell>
          <cell r="AL26">
            <v>0</v>
          </cell>
          <cell r="AN26">
            <v>0</v>
          </cell>
          <cell r="AP26">
            <v>0</v>
          </cell>
          <cell r="AR26">
            <v>0</v>
          </cell>
          <cell r="AT26">
            <v>17.155912299357503</v>
          </cell>
          <cell r="AV26">
            <v>313.29074392443152</v>
          </cell>
          <cell r="AX26">
            <v>330.44665622378903</v>
          </cell>
          <cell r="AZ26">
            <v>0.12925504485670578</v>
          </cell>
          <cell r="BB26">
            <v>2108.0559122993577</v>
          </cell>
          <cell r="BD26">
            <v>1998.5907439244315</v>
          </cell>
          <cell r="BF26">
            <v>4106.6466562237893</v>
          </cell>
          <cell r="BH26">
            <v>29.655577160241322</v>
          </cell>
          <cell r="BN26">
            <v>0</v>
          </cell>
          <cell r="BR26">
            <v>2108.0559122993577</v>
          </cell>
          <cell r="BT26">
            <v>1998.5907439244315</v>
          </cell>
          <cell r="BV26">
            <v>4106.6466562237893</v>
          </cell>
          <cell r="BX26">
            <v>29.655577160241322</v>
          </cell>
          <cell r="CB26">
            <v>31.867249999999999</v>
          </cell>
          <cell r="CD26">
            <v>31.867249999999999</v>
          </cell>
          <cell r="CG26" t="str">
            <v>MRD</v>
          </cell>
          <cell r="CH26">
            <v>0</v>
          </cell>
          <cell r="CJ26">
            <v>0</v>
          </cell>
          <cell r="CL26">
            <v>0</v>
          </cell>
          <cell r="CN26">
            <v>0</v>
          </cell>
          <cell r="CO26" t="str">
            <v>MRD</v>
          </cell>
          <cell r="CP26">
            <v>2139.9231622993575</v>
          </cell>
          <cell r="CR26">
            <v>1998.5907439244315</v>
          </cell>
          <cell r="CT26">
            <v>4138.5139062237886</v>
          </cell>
          <cell r="CV26">
            <v>29.655577160241322</v>
          </cell>
        </row>
        <row r="27">
          <cell r="B27" t="str">
            <v>MSA</v>
          </cell>
          <cell r="D27" t="str">
            <v>MEDICAL STAFF ADMIN</v>
          </cell>
          <cell r="F27" t="str">
            <v>C13</v>
          </cell>
          <cell r="H27">
            <v>937182.89147029386</v>
          </cell>
          <cell r="J27">
            <v>404498.8</v>
          </cell>
          <cell r="L27">
            <v>1341681.6914702938</v>
          </cell>
          <cell r="N27">
            <v>9.3454326923076927</v>
          </cell>
          <cell r="O27" t="str">
            <v>MSA</v>
          </cell>
          <cell r="P27">
            <v>937.2</v>
          </cell>
          <cell r="R27">
            <v>404.5</v>
          </cell>
          <cell r="T27">
            <v>1341.7</v>
          </cell>
          <cell r="X27">
            <v>0</v>
          </cell>
          <cell r="Z27">
            <v>0</v>
          </cell>
          <cell r="AD27">
            <v>937.2</v>
          </cell>
          <cell r="AF27">
            <v>404.5</v>
          </cell>
          <cell r="AH27">
            <v>1341.7</v>
          </cell>
          <cell r="AJ27">
            <v>9.3454326923076927</v>
          </cell>
          <cell r="AL27">
            <v>0</v>
          </cell>
          <cell r="AN27">
            <v>0</v>
          </cell>
          <cell r="AP27">
            <v>0</v>
          </cell>
          <cell r="AR27">
            <v>0</v>
          </cell>
          <cell r="AT27">
            <v>5.4300506186390214</v>
          </cell>
          <cell r="AV27">
            <v>99.16025263922856</v>
          </cell>
          <cell r="AX27">
            <v>104.59030325786757</v>
          </cell>
          <cell r="AZ27">
            <v>4.0910761493730338E-2</v>
          </cell>
          <cell r="BB27">
            <v>942.63005061863907</v>
          </cell>
          <cell r="BD27">
            <v>503.66025263922859</v>
          </cell>
          <cell r="BF27">
            <v>1446.2903032578677</v>
          </cell>
          <cell r="BH27">
            <v>9.3863434538014232</v>
          </cell>
          <cell r="BJ27">
            <v>0</v>
          </cell>
          <cell r="BN27">
            <v>0</v>
          </cell>
          <cell r="BP27">
            <v>2.0566958907798036</v>
          </cell>
          <cell r="BR27">
            <v>942.63005061863907</v>
          </cell>
          <cell r="BT27">
            <v>503.66025263922859</v>
          </cell>
          <cell r="BV27">
            <v>1446.2903032578677</v>
          </cell>
          <cell r="BX27">
            <v>11.443039344581226</v>
          </cell>
          <cell r="CB27">
            <v>11.73522</v>
          </cell>
          <cell r="CD27">
            <v>11.73522</v>
          </cell>
          <cell r="CG27" t="str">
            <v>MSA</v>
          </cell>
          <cell r="CH27">
            <v>-52.375288644118413</v>
          </cell>
          <cell r="CJ27">
            <v>-22.605770548118308</v>
          </cell>
          <cell r="CL27">
            <v>-74.981059192236728</v>
          </cell>
          <cell r="CN27">
            <v>-0.52227771037934156</v>
          </cell>
          <cell r="CO27" t="str">
            <v>MSA</v>
          </cell>
          <cell r="CP27">
            <v>901.98998197452067</v>
          </cell>
          <cell r="CR27">
            <v>481.05448209111029</v>
          </cell>
          <cell r="CT27">
            <v>1383.044464065631</v>
          </cell>
          <cell r="CV27">
            <v>10.920761634201885</v>
          </cell>
        </row>
        <row r="28">
          <cell r="B28" t="str">
            <v>NAD</v>
          </cell>
          <cell r="D28" t="str">
            <v>NURSING ADMIN</v>
          </cell>
          <cell r="F28" t="str">
            <v>C14</v>
          </cell>
          <cell r="H28">
            <v>3340731.4468085533</v>
          </cell>
          <cell r="J28">
            <v>214552.55</v>
          </cell>
          <cell r="L28">
            <v>3555283.9968085531</v>
          </cell>
          <cell r="N28">
            <v>27.013341346153847</v>
          </cell>
          <cell r="O28" t="str">
            <v>NAD</v>
          </cell>
          <cell r="P28">
            <v>3340.7</v>
          </cell>
          <cell r="R28">
            <v>214.6</v>
          </cell>
          <cell r="T28">
            <v>3555.2999999999997</v>
          </cell>
          <cell r="X28">
            <v>0</v>
          </cell>
          <cell r="Z28">
            <v>0</v>
          </cell>
          <cell r="AD28">
            <v>3340.7</v>
          </cell>
          <cell r="AF28">
            <v>214.6</v>
          </cell>
          <cell r="AH28">
            <v>3555.2999999999997</v>
          </cell>
          <cell r="AJ28">
            <v>27.013341346153847</v>
          </cell>
          <cell r="AL28">
            <v>0</v>
          </cell>
          <cell r="AN28">
            <v>0</v>
          </cell>
          <cell r="AP28">
            <v>0</v>
          </cell>
          <cell r="AR28">
            <v>0</v>
          </cell>
          <cell r="AT28">
            <v>15.695775221721565</v>
          </cell>
          <cell r="AV28">
            <v>286.62661652029811</v>
          </cell>
          <cell r="AX28">
            <v>302.3223917420197</v>
          </cell>
          <cell r="AZ28">
            <v>0.11825416771455342</v>
          </cell>
          <cell r="BB28">
            <v>3356.3957752217216</v>
          </cell>
          <cell r="BD28">
            <v>501.22661652029808</v>
          </cell>
          <cell r="BF28">
            <v>3857.6223917420198</v>
          </cell>
          <cell r="BH28">
            <v>27.131595513868401</v>
          </cell>
          <cell r="BN28">
            <v>0</v>
          </cell>
          <cell r="BR28">
            <v>3356.3957752217216</v>
          </cell>
          <cell r="BT28">
            <v>501.22661652029808</v>
          </cell>
          <cell r="BV28">
            <v>3857.6223917420198</v>
          </cell>
          <cell r="BX28">
            <v>27.131595513868401</v>
          </cell>
          <cell r="CB28">
            <v>29.15503</v>
          </cell>
          <cell r="CD28">
            <v>29.15503</v>
          </cell>
          <cell r="CG28" t="str">
            <v>NAD</v>
          </cell>
          <cell r="CH28">
            <v>0</v>
          </cell>
          <cell r="CJ28">
            <v>0</v>
          </cell>
          <cell r="CL28">
            <v>0</v>
          </cell>
          <cell r="CN28">
            <v>0</v>
          </cell>
          <cell r="CO28" t="str">
            <v>NAD</v>
          </cell>
          <cell r="CP28">
            <v>3385.5508052217215</v>
          </cell>
          <cell r="CR28">
            <v>501.22661652029808</v>
          </cell>
          <cell r="CT28">
            <v>3886.7774217420197</v>
          </cell>
          <cell r="CV28">
            <v>27.131595513868401</v>
          </cell>
        </row>
        <row r="29">
          <cell r="B29" t="str">
            <v>OAO</v>
          </cell>
          <cell r="D29" t="str">
            <v>ORGAN ACQUISITION OVERHEAD</v>
          </cell>
          <cell r="F29" t="str">
            <v>C15</v>
          </cell>
          <cell r="H29">
            <v>0</v>
          </cell>
          <cell r="J29">
            <v>0</v>
          </cell>
          <cell r="L29">
            <v>0</v>
          </cell>
          <cell r="N29">
            <v>0</v>
          </cell>
          <cell r="O29" t="str">
            <v>OAO</v>
          </cell>
          <cell r="P29">
            <v>0</v>
          </cell>
          <cell r="R29">
            <v>0</v>
          </cell>
          <cell r="T29">
            <v>0</v>
          </cell>
          <cell r="AD29">
            <v>0</v>
          </cell>
          <cell r="AF29">
            <v>0</v>
          </cell>
          <cell r="AH29">
            <v>0</v>
          </cell>
          <cell r="AJ29">
            <v>0</v>
          </cell>
          <cell r="AL29">
            <v>0</v>
          </cell>
          <cell r="AN29">
            <v>0</v>
          </cell>
          <cell r="AP29">
            <v>0</v>
          </cell>
          <cell r="AR29">
            <v>0</v>
          </cell>
          <cell r="AT29">
            <v>0</v>
          </cell>
          <cell r="AV29">
            <v>0</v>
          </cell>
          <cell r="AX29">
            <v>0</v>
          </cell>
          <cell r="AZ29">
            <v>0</v>
          </cell>
          <cell r="BB29">
            <v>0</v>
          </cell>
          <cell r="BD29">
            <v>0</v>
          </cell>
          <cell r="BF29">
            <v>0</v>
          </cell>
          <cell r="BH29">
            <v>0</v>
          </cell>
          <cell r="BN29">
            <v>0</v>
          </cell>
          <cell r="BR29">
            <v>0</v>
          </cell>
          <cell r="BT29">
            <v>0</v>
          </cell>
          <cell r="BV29">
            <v>0</v>
          </cell>
          <cell r="BX29">
            <v>0</v>
          </cell>
          <cell r="CB29">
            <v>0</v>
          </cell>
          <cell r="CD29">
            <v>0</v>
          </cell>
          <cell r="CG29" t="str">
            <v>OAO</v>
          </cell>
          <cell r="CH29">
            <v>0</v>
          </cell>
          <cell r="CJ29">
            <v>0</v>
          </cell>
          <cell r="CL29">
            <v>0</v>
          </cell>
          <cell r="CN29">
            <v>0</v>
          </cell>
          <cell r="CO29" t="str">
            <v>NAD</v>
          </cell>
          <cell r="CP29">
            <v>0</v>
          </cell>
          <cell r="CR29">
            <v>0</v>
          </cell>
          <cell r="CT29">
            <v>0</v>
          </cell>
          <cell r="CV29">
            <v>0</v>
          </cell>
        </row>
        <row r="30">
          <cell r="B30" t="str">
            <v>MSG</v>
          </cell>
          <cell r="D30" t="str">
            <v>MED/SURG ACUTE</v>
          </cell>
          <cell r="F30" t="str">
            <v>D1</v>
          </cell>
          <cell r="H30">
            <v>20936016.855671067</v>
          </cell>
          <cell r="J30">
            <v>1882035.2623268326</v>
          </cell>
          <cell r="L30">
            <v>22818052.1179979</v>
          </cell>
          <cell r="N30">
            <v>248.44441415368107</v>
          </cell>
          <cell r="O30" t="str">
            <v>MSG</v>
          </cell>
          <cell r="P30">
            <v>20936</v>
          </cell>
          <cell r="R30">
            <v>1882</v>
          </cell>
          <cell r="T30">
            <v>22818</v>
          </cell>
          <cell r="AD30">
            <v>20936</v>
          </cell>
          <cell r="AF30">
            <v>1882</v>
          </cell>
          <cell r="AH30">
            <v>22818</v>
          </cell>
          <cell r="AJ30">
            <v>248.44441415368107</v>
          </cell>
          <cell r="AL30">
            <v>0</v>
          </cell>
          <cell r="AN30">
            <v>0</v>
          </cell>
          <cell r="AP30">
            <v>0</v>
          </cell>
          <cell r="AR30">
            <v>0</v>
          </cell>
          <cell r="AT30">
            <v>144.35562153082893</v>
          </cell>
          <cell r="AV30">
            <v>2636.1337869954482</v>
          </cell>
          <cell r="AX30">
            <v>2780.4894085262772</v>
          </cell>
          <cell r="AZ30">
            <v>1.0875954604281646</v>
          </cell>
          <cell r="BB30">
            <v>21080.355621530827</v>
          </cell>
          <cell r="BD30">
            <v>4518.1337869954477</v>
          </cell>
          <cell r="BF30">
            <v>25598.489408526275</v>
          </cell>
          <cell r="BH30">
            <v>249.53200961410923</v>
          </cell>
          <cell r="BJ30">
            <v>661.90953662463039</v>
          </cell>
          <cell r="BN30">
            <v>661.90953662463039</v>
          </cell>
          <cell r="BP30">
            <v>3.1741070825058477</v>
          </cell>
          <cell r="BR30">
            <v>21742.265158155456</v>
          </cell>
          <cell r="BT30">
            <v>4518.1337869954477</v>
          </cell>
          <cell r="BV30">
            <v>26260.398945150904</v>
          </cell>
          <cell r="BX30">
            <v>252.70611669661508</v>
          </cell>
          <cell r="CB30">
            <v>271.55259000000001</v>
          </cell>
          <cell r="CD30">
            <v>271.55259000000001</v>
          </cell>
          <cell r="CG30" t="str">
            <v>MSG</v>
          </cell>
          <cell r="CO30" t="str">
            <v>MSG</v>
          </cell>
          <cell r="CP30">
            <v>22013.817748155456</v>
          </cell>
          <cell r="CR30">
            <v>4518.1337869954477</v>
          </cell>
          <cell r="CT30">
            <v>26531.951535150904</v>
          </cell>
          <cell r="CV30">
            <v>252.70611669661508</v>
          </cell>
          <cell r="DJ30">
            <v>21348.497383924201</v>
          </cell>
          <cell r="DL30">
            <v>665.32036423125533</v>
          </cell>
        </row>
        <row r="31">
          <cell r="B31" t="str">
            <v>PED</v>
          </cell>
          <cell r="D31" t="str">
            <v>PEDIATRIC ACUTE</v>
          </cell>
          <cell r="F31" t="str">
            <v>D2</v>
          </cell>
          <cell r="H31">
            <v>0</v>
          </cell>
          <cell r="J31">
            <v>0</v>
          </cell>
          <cell r="L31">
            <v>0</v>
          </cell>
          <cell r="N31">
            <v>0</v>
          </cell>
          <cell r="O31" t="str">
            <v>PED</v>
          </cell>
          <cell r="P31">
            <v>0</v>
          </cell>
          <cell r="R31">
            <v>0</v>
          </cell>
          <cell r="T31">
            <v>0</v>
          </cell>
          <cell r="AD31">
            <v>0</v>
          </cell>
          <cell r="AF31">
            <v>0</v>
          </cell>
          <cell r="AH31">
            <v>0</v>
          </cell>
          <cell r="AJ31">
            <v>0</v>
          </cell>
          <cell r="AL31">
            <v>0</v>
          </cell>
          <cell r="AN31">
            <v>0</v>
          </cell>
          <cell r="AP31">
            <v>0</v>
          </cell>
          <cell r="AR31">
            <v>0</v>
          </cell>
          <cell r="AT31">
            <v>0</v>
          </cell>
          <cell r="AV31">
            <v>0</v>
          </cell>
          <cell r="AX31">
            <v>0</v>
          </cell>
          <cell r="AZ31">
            <v>0</v>
          </cell>
          <cell r="BB31">
            <v>0</v>
          </cell>
          <cell r="BD31">
            <v>0</v>
          </cell>
          <cell r="BF31">
            <v>0</v>
          </cell>
          <cell r="BH31">
            <v>0</v>
          </cell>
          <cell r="BJ31">
            <v>0</v>
          </cell>
          <cell r="BN31">
            <v>0</v>
          </cell>
          <cell r="BP31">
            <v>0</v>
          </cell>
          <cell r="BR31">
            <v>0</v>
          </cell>
          <cell r="BT31">
            <v>0</v>
          </cell>
          <cell r="BV31">
            <v>0</v>
          </cell>
          <cell r="BX31">
            <v>0</v>
          </cell>
          <cell r="CB31">
            <v>0</v>
          </cell>
          <cell r="CD31">
            <v>0</v>
          </cell>
          <cell r="CG31" t="str">
            <v>PED</v>
          </cell>
          <cell r="CO31" t="str">
            <v>PED</v>
          </cell>
          <cell r="CP31">
            <v>0</v>
          </cell>
          <cell r="CR31">
            <v>0</v>
          </cell>
          <cell r="CT31">
            <v>0</v>
          </cell>
          <cell r="CV31">
            <v>0</v>
          </cell>
          <cell r="DJ31">
            <v>0</v>
          </cell>
          <cell r="DL31">
            <v>0</v>
          </cell>
        </row>
        <row r="32">
          <cell r="B32" t="str">
            <v>PSY</v>
          </cell>
          <cell r="D32" t="str">
            <v>PSYCHIATRIC ACUTE</v>
          </cell>
          <cell r="F32" t="str">
            <v>D3</v>
          </cell>
          <cell r="H32">
            <v>2232765.5063615073</v>
          </cell>
          <cell r="J32">
            <v>29576.18011402063</v>
          </cell>
          <cell r="L32">
            <v>2262341.6864755279</v>
          </cell>
          <cell r="N32">
            <v>24.889885797380387</v>
          </cell>
          <cell r="O32" t="str">
            <v>PSY</v>
          </cell>
          <cell r="P32">
            <v>2232.8000000000002</v>
          </cell>
          <cell r="R32">
            <v>29.6</v>
          </cell>
          <cell r="T32">
            <v>2262.4</v>
          </cell>
          <cell r="AD32">
            <v>2232.8000000000002</v>
          </cell>
          <cell r="AF32">
            <v>29.6</v>
          </cell>
          <cell r="AH32">
            <v>2262.4</v>
          </cell>
          <cell r="AJ32">
            <v>24.889885797380387</v>
          </cell>
          <cell r="AL32">
            <v>0</v>
          </cell>
          <cell r="AN32">
            <v>0</v>
          </cell>
          <cell r="AP32">
            <v>0</v>
          </cell>
          <cell r="AR32">
            <v>0</v>
          </cell>
          <cell r="AT32">
            <v>14.46196706153219</v>
          </cell>
          <cell r="AV32">
            <v>264.095568936181</v>
          </cell>
          <cell r="AX32">
            <v>278.55753599771316</v>
          </cell>
          <cell r="AZ32">
            <v>0.10895848431939992</v>
          </cell>
          <cell r="BB32">
            <v>2247.2619670615322</v>
          </cell>
          <cell r="BD32">
            <v>293.69556893618102</v>
          </cell>
          <cell r="BF32">
            <v>2540.9575359977134</v>
          </cell>
          <cell r="BH32">
            <v>24.998844281699785</v>
          </cell>
          <cell r="BJ32">
            <v>224.810732864198</v>
          </cell>
          <cell r="BN32">
            <v>224.810732864198</v>
          </cell>
          <cell r="BP32">
            <v>1.2629816453044833</v>
          </cell>
          <cell r="BR32">
            <v>2472.0726999257304</v>
          </cell>
          <cell r="BT32">
            <v>293.69556893618102</v>
          </cell>
          <cell r="BV32">
            <v>2765.7682688619116</v>
          </cell>
          <cell r="BX32">
            <v>26.261825927004267</v>
          </cell>
          <cell r="CB32">
            <v>28.220400000000001</v>
          </cell>
          <cell r="CD32">
            <v>28.220400000000001</v>
          </cell>
          <cell r="CG32" t="str">
            <v>PSY</v>
          </cell>
          <cell r="CO32" t="str">
            <v>PSY</v>
          </cell>
          <cell r="CP32">
            <v>2500.2930999257305</v>
          </cell>
          <cell r="CR32">
            <v>293.69556893618102</v>
          </cell>
          <cell r="CT32">
            <v>2793.9886688619117</v>
          </cell>
          <cell r="CV32">
            <v>26.261825927004267</v>
          </cell>
          <cell r="DJ32">
            <v>2274.1251938275682</v>
          </cell>
          <cell r="DL32">
            <v>226.16790609816195</v>
          </cell>
        </row>
        <row r="33">
          <cell r="B33" t="str">
            <v>OBS</v>
          </cell>
          <cell r="D33" t="str">
            <v>OBSTETRICS ACUTE</v>
          </cell>
          <cell r="F33" t="str">
            <v>D4</v>
          </cell>
          <cell r="H33">
            <v>1635076.4033039631</v>
          </cell>
          <cell r="J33">
            <v>23759.277004127798</v>
          </cell>
          <cell r="L33">
            <v>1658835.680308091</v>
          </cell>
          <cell r="N33">
            <v>17.442272041114173</v>
          </cell>
          <cell r="O33" t="str">
            <v>OBS</v>
          </cell>
          <cell r="P33">
            <v>1635.1</v>
          </cell>
          <cell r="R33">
            <v>23.8</v>
          </cell>
          <cell r="T33">
            <v>1658.8999999999999</v>
          </cell>
          <cell r="AD33">
            <v>1635.1</v>
          </cell>
          <cell r="AF33">
            <v>23.8</v>
          </cell>
          <cell r="AH33">
            <v>1658.8999999999999</v>
          </cell>
          <cell r="AJ33">
            <v>17.442272041114173</v>
          </cell>
          <cell r="AL33">
            <v>0</v>
          </cell>
          <cell r="AN33">
            <v>0</v>
          </cell>
          <cell r="AP33">
            <v>0</v>
          </cell>
          <cell r="AR33">
            <v>0</v>
          </cell>
          <cell r="AT33">
            <v>10.134621178672736</v>
          </cell>
          <cell r="AV33">
            <v>185.07223358664459</v>
          </cell>
          <cell r="AX33">
            <v>195.20685476531733</v>
          </cell>
          <cell r="AZ33">
            <v>7.6355654668631243E-2</v>
          </cell>
          <cell r="BB33">
            <v>1645.2346211786726</v>
          </cell>
          <cell r="BD33">
            <v>208.8722335866446</v>
          </cell>
          <cell r="BF33">
            <v>1854.1068547653172</v>
          </cell>
          <cell r="BH33">
            <v>17.518627695782804</v>
          </cell>
          <cell r="BJ33">
            <v>128.53136352794854</v>
          </cell>
          <cell r="BN33">
            <v>128.53136352794854</v>
          </cell>
          <cell r="BP33">
            <v>0.54152670540530246</v>
          </cell>
          <cell r="BR33">
            <v>1773.7659847066211</v>
          </cell>
          <cell r="BT33">
            <v>208.8722335866446</v>
          </cell>
          <cell r="BV33">
            <v>1982.6382182932657</v>
          </cell>
          <cell r="BX33">
            <v>18.060154401188107</v>
          </cell>
          <cell r="CB33">
            <v>19.407060000000001</v>
          </cell>
          <cell r="CD33">
            <v>19.407060000000001</v>
          </cell>
          <cell r="CG33" t="str">
            <v>OBS</v>
          </cell>
          <cell r="CO33" t="str">
            <v>OBS</v>
          </cell>
          <cell r="CP33">
            <v>1793.1730447066211</v>
          </cell>
          <cell r="CR33">
            <v>208.8722335866446</v>
          </cell>
          <cell r="CT33">
            <v>2002.0452782932657</v>
          </cell>
          <cell r="CV33">
            <v>18.060154401188107</v>
          </cell>
          <cell r="DJ33">
            <v>1664.0597680327521</v>
          </cell>
          <cell r="DL33">
            <v>129.11327667386891</v>
          </cell>
        </row>
        <row r="34">
          <cell r="B34" t="str">
            <v>DEF</v>
          </cell>
          <cell r="D34" t="str">
            <v>DEFINITIVE OBSERVATION</v>
          </cell>
          <cell r="F34" t="str">
            <v>D5</v>
          </cell>
          <cell r="H34">
            <v>0</v>
          </cell>
          <cell r="J34">
            <v>0</v>
          </cell>
          <cell r="L34">
            <v>0</v>
          </cell>
          <cell r="N34">
            <v>0</v>
          </cell>
          <cell r="O34" t="str">
            <v>DEF</v>
          </cell>
          <cell r="P34">
            <v>0</v>
          </cell>
          <cell r="R34">
            <v>0</v>
          </cell>
          <cell r="T34">
            <v>0</v>
          </cell>
          <cell r="AD34">
            <v>0</v>
          </cell>
          <cell r="AF34">
            <v>0</v>
          </cell>
          <cell r="AH34">
            <v>0</v>
          </cell>
          <cell r="AJ34">
            <v>0</v>
          </cell>
          <cell r="AL34">
            <v>0</v>
          </cell>
          <cell r="AN34">
            <v>0</v>
          </cell>
          <cell r="AP34">
            <v>0</v>
          </cell>
          <cell r="AR34">
            <v>0</v>
          </cell>
          <cell r="AT34">
            <v>0</v>
          </cell>
          <cell r="AV34">
            <v>0</v>
          </cell>
          <cell r="AX34">
            <v>0</v>
          </cell>
          <cell r="AZ34">
            <v>0</v>
          </cell>
          <cell r="BB34">
            <v>0</v>
          </cell>
          <cell r="BD34">
            <v>0</v>
          </cell>
          <cell r="BF34">
            <v>0</v>
          </cell>
          <cell r="BH34">
            <v>0</v>
          </cell>
          <cell r="BJ34">
            <v>0</v>
          </cell>
          <cell r="BN34">
            <v>0</v>
          </cell>
          <cell r="BP34">
            <v>0</v>
          </cell>
          <cell r="BR34">
            <v>0</v>
          </cell>
          <cell r="BT34">
            <v>0</v>
          </cell>
          <cell r="BV34">
            <v>0</v>
          </cell>
          <cell r="BX34">
            <v>0</v>
          </cell>
          <cell r="CB34">
            <v>0</v>
          </cell>
          <cell r="CD34">
            <v>0</v>
          </cell>
          <cell r="CG34" t="str">
            <v>DEF</v>
          </cell>
          <cell r="CO34" t="str">
            <v>DEF</v>
          </cell>
          <cell r="CP34">
            <v>0</v>
          </cell>
          <cell r="CR34">
            <v>0</v>
          </cell>
          <cell r="CT34">
            <v>0</v>
          </cell>
          <cell r="CV34">
            <v>0</v>
          </cell>
          <cell r="DJ34">
            <v>0</v>
          </cell>
          <cell r="DL34">
            <v>0</v>
          </cell>
        </row>
        <row r="35">
          <cell r="B35" t="str">
            <v>MIS</v>
          </cell>
          <cell r="D35" t="str">
            <v>MED/SURG INTENSIVE CARE</v>
          </cell>
          <cell r="F35" t="str">
            <v>D6</v>
          </cell>
          <cell r="H35">
            <v>6604755.8806300201</v>
          </cell>
          <cell r="J35">
            <v>374941.986379351</v>
          </cell>
          <cell r="L35">
            <v>6979697.8670093715</v>
          </cell>
          <cell r="N35">
            <v>61.857510388275443</v>
          </cell>
          <cell r="O35" t="str">
            <v>MIS</v>
          </cell>
          <cell r="P35">
            <v>6604.8</v>
          </cell>
          <cell r="R35">
            <v>374.9</v>
          </cell>
          <cell r="T35">
            <v>6979.7</v>
          </cell>
          <cell r="AD35">
            <v>6604.8</v>
          </cell>
          <cell r="AF35">
            <v>374.9</v>
          </cell>
          <cell r="AH35">
            <v>6979.7</v>
          </cell>
          <cell r="AJ35">
            <v>61.857510388275443</v>
          </cell>
          <cell r="AL35">
            <v>0</v>
          </cell>
          <cell r="AN35">
            <v>0</v>
          </cell>
          <cell r="AP35">
            <v>0</v>
          </cell>
          <cell r="AR35">
            <v>0</v>
          </cell>
          <cell r="AT35">
            <v>35.94155815041055</v>
          </cell>
          <cell r="AV35">
            <v>656.34268200164638</v>
          </cell>
          <cell r="AX35">
            <v>692.2842401520569</v>
          </cell>
          <cell r="AZ35">
            <v>0.27078873043231838</v>
          </cell>
          <cell r="BB35">
            <v>6640.741558150411</v>
          </cell>
          <cell r="BD35">
            <v>1031.2426820016462</v>
          </cell>
          <cell r="BF35">
            <v>7671.9842401520573</v>
          </cell>
          <cell r="BH35">
            <v>62.128299118707758</v>
          </cell>
          <cell r="BJ35">
            <v>0</v>
          </cell>
          <cell r="BN35">
            <v>0</v>
          </cell>
          <cell r="BP35">
            <v>0</v>
          </cell>
          <cell r="BR35">
            <v>6640.741558150411</v>
          </cell>
          <cell r="BT35">
            <v>1031.2426820016462</v>
          </cell>
          <cell r="BV35">
            <v>7671.9842401520573</v>
          </cell>
          <cell r="BX35">
            <v>62.128299118707758</v>
          </cell>
          <cell r="CB35">
            <v>66.761740000000003</v>
          </cell>
          <cell r="CD35">
            <v>66.761740000000003</v>
          </cell>
          <cell r="CG35" t="str">
            <v>MIS</v>
          </cell>
          <cell r="CO35" t="str">
            <v>MIS</v>
          </cell>
          <cell r="CP35">
            <v>6707.503298150411</v>
          </cell>
          <cell r="CR35">
            <v>1031.2426820016462</v>
          </cell>
          <cell r="CT35">
            <v>7738.7459801520572</v>
          </cell>
          <cell r="CV35">
            <v>62.128299118707758</v>
          </cell>
          <cell r="DJ35">
            <v>6707.503298150411</v>
          </cell>
          <cell r="DL35">
            <v>0</v>
          </cell>
        </row>
        <row r="36">
          <cell r="B36" t="str">
            <v>CCU</v>
          </cell>
          <cell r="D36" t="str">
            <v>CORONARY CARE</v>
          </cell>
          <cell r="F36" t="str">
            <v>D7</v>
          </cell>
          <cell r="H36">
            <v>0</v>
          </cell>
          <cell r="J36">
            <v>0</v>
          </cell>
          <cell r="L36">
            <v>0</v>
          </cell>
          <cell r="N36">
            <v>0</v>
          </cell>
          <cell r="O36" t="str">
            <v>CCU</v>
          </cell>
          <cell r="P36">
            <v>0</v>
          </cell>
          <cell r="R36">
            <v>0</v>
          </cell>
          <cell r="T36">
            <v>0</v>
          </cell>
          <cell r="AD36">
            <v>0</v>
          </cell>
          <cell r="AF36">
            <v>0</v>
          </cell>
          <cell r="AH36">
            <v>0</v>
          </cell>
          <cell r="AJ36">
            <v>0</v>
          </cell>
          <cell r="AL36">
            <v>0</v>
          </cell>
          <cell r="AN36">
            <v>0</v>
          </cell>
          <cell r="AP36">
            <v>0</v>
          </cell>
          <cell r="AR36">
            <v>0</v>
          </cell>
          <cell r="AT36">
            <v>0</v>
          </cell>
          <cell r="AV36">
            <v>0</v>
          </cell>
          <cell r="AX36">
            <v>0</v>
          </cell>
          <cell r="AZ36">
            <v>0</v>
          </cell>
          <cell r="BB36">
            <v>0</v>
          </cell>
          <cell r="BD36">
            <v>0</v>
          </cell>
          <cell r="BF36">
            <v>0</v>
          </cell>
          <cell r="BH36">
            <v>0</v>
          </cell>
          <cell r="BJ36">
            <v>0</v>
          </cell>
          <cell r="BN36">
            <v>0</v>
          </cell>
          <cell r="BP36">
            <v>0</v>
          </cell>
          <cell r="BR36">
            <v>0</v>
          </cell>
          <cell r="BT36">
            <v>0</v>
          </cell>
          <cell r="BV36">
            <v>0</v>
          </cell>
          <cell r="BX36">
            <v>0</v>
          </cell>
          <cell r="CB36">
            <v>0</v>
          </cell>
          <cell r="CD36">
            <v>0</v>
          </cell>
          <cell r="CG36" t="str">
            <v>CCU</v>
          </cell>
          <cell r="CO36" t="str">
            <v>CCU</v>
          </cell>
          <cell r="CP36">
            <v>0</v>
          </cell>
          <cell r="CR36">
            <v>0</v>
          </cell>
          <cell r="CT36">
            <v>0</v>
          </cell>
          <cell r="CV36">
            <v>0</v>
          </cell>
          <cell r="DJ36">
            <v>0</v>
          </cell>
          <cell r="DL36">
            <v>0</v>
          </cell>
        </row>
        <row r="37">
          <cell r="B37" t="str">
            <v>PIC</v>
          </cell>
          <cell r="D37" t="str">
            <v>PEDIATRIC INTENSIVE CARE</v>
          </cell>
          <cell r="F37" t="str">
            <v>D8</v>
          </cell>
          <cell r="H37">
            <v>0</v>
          </cell>
          <cell r="J37">
            <v>0</v>
          </cell>
          <cell r="L37">
            <v>0</v>
          </cell>
          <cell r="N37">
            <v>0</v>
          </cell>
          <cell r="O37" t="str">
            <v>PIC</v>
          </cell>
          <cell r="P37">
            <v>0</v>
          </cell>
          <cell r="R37">
            <v>0</v>
          </cell>
          <cell r="T37">
            <v>0</v>
          </cell>
          <cell r="AD37">
            <v>0</v>
          </cell>
          <cell r="AF37">
            <v>0</v>
          </cell>
          <cell r="AH37">
            <v>0</v>
          </cell>
          <cell r="AJ37">
            <v>0</v>
          </cell>
          <cell r="AL37">
            <v>0</v>
          </cell>
          <cell r="AN37">
            <v>0</v>
          </cell>
          <cell r="AP37">
            <v>0</v>
          </cell>
          <cell r="AR37">
            <v>0</v>
          </cell>
          <cell r="AT37">
            <v>0</v>
          </cell>
          <cell r="AV37">
            <v>0</v>
          </cell>
          <cell r="AX37">
            <v>0</v>
          </cell>
          <cell r="AZ37">
            <v>0</v>
          </cell>
          <cell r="BB37">
            <v>0</v>
          </cell>
          <cell r="BD37">
            <v>0</v>
          </cell>
          <cell r="BF37">
            <v>0</v>
          </cell>
          <cell r="BH37">
            <v>0</v>
          </cell>
          <cell r="BJ37">
            <v>0</v>
          </cell>
          <cell r="BN37">
            <v>0</v>
          </cell>
          <cell r="BP37">
            <v>0</v>
          </cell>
          <cell r="BR37">
            <v>0</v>
          </cell>
          <cell r="BT37">
            <v>0</v>
          </cell>
          <cell r="BV37">
            <v>0</v>
          </cell>
          <cell r="BX37">
            <v>0</v>
          </cell>
          <cell r="CB37">
            <v>0</v>
          </cell>
          <cell r="CD37">
            <v>0</v>
          </cell>
          <cell r="CG37" t="str">
            <v>PIC</v>
          </cell>
          <cell r="CO37" t="str">
            <v>PIC</v>
          </cell>
          <cell r="CP37">
            <v>0</v>
          </cell>
          <cell r="CR37">
            <v>0</v>
          </cell>
          <cell r="CT37">
            <v>0</v>
          </cell>
          <cell r="CV37">
            <v>0</v>
          </cell>
          <cell r="DJ37">
            <v>0</v>
          </cell>
          <cell r="DL37">
            <v>0</v>
          </cell>
        </row>
        <row r="38">
          <cell r="B38" t="str">
            <v>NEO</v>
          </cell>
          <cell r="D38" t="str">
            <v>NEONATAL INTENSIVE CARE</v>
          </cell>
          <cell r="F38" t="str">
            <v>D9</v>
          </cell>
          <cell r="H38">
            <v>3236550.14135399</v>
          </cell>
          <cell r="J38">
            <v>42146.126445004498</v>
          </cell>
          <cell r="L38">
            <v>3278696.2677989947</v>
          </cell>
          <cell r="N38">
            <v>30.997197011030998</v>
          </cell>
          <cell r="O38" t="str">
            <v>NEO</v>
          </cell>
          <cell r="P38">
            <v>3236.6</v>
          </cell>
          <cell r="R38">
            <v>42.1</v>
          </cell>
          <cell r="T38">
            <v>3278.7</v>
          </cell>
          <cell r="AD38">
            <v>3236.6</v>
          </cell>
          <cell r="AF38">
            <v>42.1</v>
          </cell>
          <cell r="AH38">
            <v>3278.7</v>
          </cell>
          <cell r="AJ38">
            <v>30.997197011030998</v>
          </cell>
          <cell r="AL38">
            <v>0</v>
          </cell>
          <cell r="AN38">
            <v>0</v>
          </cell>
          <cell r="AP38">
            <v>0</v>
          </cell>
          <cell r="AR38">
            <v>0</v>
          </cell>
          <cell r="AT38">
            <v>18.010546365003211</v>
          </cell>
          <cell r="AV38">
            <v>328.89754684678809</v>
          </cell>
          <cell r="AX38">
            <v>346.90809321179131</v>
          </cell>
          <cell r="AZ38">
            <v>0.13569397754437412</v>
          </cell>
          <cell r="BB38">
            <v>3254.6105463650033</v>
          </cell>
          <cell r="BD38">
            <v>370.99754684678811</v>
          </cell>
          <cell r="BF38">
            <v>3625.6080932117916</v>
          </cell>
          <cell r="BH38">
            <v>31.132890988575372</v>
          </cell>
          <cell r="BJ38">
            <v>44.982413067030862</v>
          </cell>
          <cell r="BN38">
            <v>44.982413067030862</v>
          </cell>
          <cell r="BP38">
            <v>0.18951933038563665</v>
          </cell>
          <cell r="BR38">
            <v>3299.5929594320341</v>
          </cell>
          <cell r="BT38">
            <v>370.99754684678811</v>
          </cell>
          <cell r="BV38">
            <v>3670.5905062788224</v>
          </cell>
          <cell r="BX38">
            <v>31.322410318961008</v>
          </cell>
          <cell r="CB38">
            <v>33.658389999999997</v>
          </cell>
          <cell r="CD38">
            <v>33.658389999999997</v>
          </cell>
          <cell r="CG38" t="str">
            <v>NEO</v>
          </cell>
          <cell r="CO38" t="str">
            <v>NEO</v>
          </cell>
          <cell r="CP38">
            <v>3333.2513494320342</v>
          </cell>
          <cell r="CR38">
            <v>370.99754684678811</v>
          </cell>
          <cell r="CT38">
            <v>3704.2488962788225</v>
          </cell>
          <cell r="CV38">
            <v>31.322410318961008</v>
          </cell>
          <cell r="DJ38">
            <v>3288.0652829593523</v>
          </cell>
          <cell r="DL38">
            <v>45.186066472681993</v>
          </cell>
        </row>
        <row r="39">
          <cell r="B39" t="str">
            <v>BUR</v>
          </cell>
          <cell r="D39" t="str">
            <v>BURN CARE</v>
          </cell>
          <cell r="F39" t="str">
            <v>D10</v>
          </cell>
          <cell r="H39">
            <v>0</v>
          </cell>
          <cell r="J39">
            <v>0</v>
          </cell>
          <cell r="L39">
            <v>0</v>
          </cell>
          <cell r="N39">
            <v>0</v>
          </cell>
          <cell r="O39" t="str">
            <v>BUR</v>
          </cell>
          <cell r="P39">
            <v>0</v>
          </cell>
          <cell r="R39">
            <v>0</v>
          </cell>
          <cell r="T39">
            <v>0</v>
          </cell>
          <cell r="AD39">
            <v>0</v>
          </cell>
          <cell r="AF39">
            <v>0</v>
          </cell>
          <cell r="AH39">
            <v>0</v>
          </cell>
          <cell r="AJ39">
            <v>0</v>
          </cell>
          <cell r="AL39">
            <v>0</v>
          </cell>
          <cell r="AN39">
            <v>0</v>
          </cell>
          <cell r="AP39">
            <v>0</v>
          </cell>
          <cell r="AR39">
            <v>0</v>
          </cell>
          <cell r="AT39">
            <v>0</v>
          </cell>
          <cell r="AV39">
            <v>0</v>
          </cell>
          <cell r="AX39">
            <v>0</v>
          </cell>
          <cell r="AZ39">
            <v>0</v>
          </cell>
          <cell r="BB39">
            <v>0</v>
          </cell>
          <cell r="BD39">
            <v>0</v>
          </cell>
          <cell r="BF39">
            <v>0</v>
          </cell>
          <cell r="BH39">
            <v>0</v>
          </cell>
          <cell r="BJ39">
            <v>0</v>
          </cell>
          <cell r="BN39">
            <v>0</v>
          </cell>
          <cell r="BP39">
            <v>0</v>
          </cell>
          <cell r="BR39">
            <v>0</v>
          </cell>
          <cell r="BT39">
            <v>0</v>
          </cell>
          <cell r="BV39">
            <v>0</v>
          </cell>
          <cell r="BX39">
            <v>0</v>
          </cell>
          <cell r="CB39">
            <v>0</v>
          </cell>
          <cell r="CD39">
            <v>0</v>
          </cell>
          <cell r="CG39" t="str">
            <v>BUR</v>
          </cell>
          <cell r="CO39" t="str">
            <v>BUR</v>
          </cell>
          <cell r="CP39">
            <v>0</v>
          </cell>
          <cell r="CR39">
            <v>0</v>
          </cell>
          <cell r="CT39">
            <v>0</v>
          </cell>
          <cell r="CV39">
            <v>0</v>
          </cell>
          <cell r="DJ39">
            <v>0</v>
          </cell>
          <cell r="DL39">
            <v>0</v>
          </cell>
        </row>
        <row r="40">
          <cell r="B40" t="str">
            <v>PSI</v>
          </cell>
          <cell r="D40" t="str">
            <v>PSYCHIATRIC - ICU</v>
          </cell>
          <cell r="F40" t="str">
            <v>D11</v>
          </cell>
          <cell r="H40">
            <v>0</v>
          </cell>
          <cell r="J40">
            <v>0</v>
          </cell>
          <cell r="L40">
            <v>0</v>
          </cell>
          <cell r="N40">
            <v>0</v>
          </cell>
          <cell r="O40" t="str">
            <v>PSI</v>
          </cell>
          <cell r="P40">
            <v>0</v>
          </cell>
          <cell r="R40">
            <v>0</v>
          </cell>
          <cell r="T40">
            <v>0</v>
          </cell>
          <cell r="AD40">
            <v>0</v>
          </cell>
          <cell r="AF40">
            <v>0</v>
          </cell>
          <cell r="AH40">
            <v>0</v>
          </cell>
          <cell r="AJ40">
            <v>0</v>
          </cell>
          <cell r="AL40">
            <v>0</v>
          </cell>
          <cell r="AN40">
            <v>0</v>
          </cell>
          <cell r="AP40">
            <v>0</v>
          </cell>
          <cell r="AR40">
            <v>0</v>
          </cell>
          <cell r="AT40">
            <v>0</v>
          </cell>
          <cell r="AV40">
            <v>0</v>
          </cell>
          <cell r="AX40">
            <v>0</v>
          </cell>
          <cell r="AZ40">
            <v>0</v>
          </cell>
          <cell r="BB40">
            <v>0</v>
          </cell>
          <cell r="BD40">
            <v>0</v>
          </cell>
          <cell r="BF40">
            <v>0</v>
          </cell>
          <cell r="BH40">
            <v>0</v>
          </cell>
          <cell r="BJ40">
            <v>0</v>
          </cell>
          <cell r="BN40">
            <v>0</v>
          </cell>
          <cell r="BP40">
            <v>0</v>
          </cell>
          <cell r="BR40">
            <v>0</v>
          </cell>
          <cell r="BT40">
            <v>0</v>
          </cell>
          <cell r="BV40">
            <v>0</v>
          </cell>
          <cell r="BX40">
            <v>0</v>
          </cell>
          <cell r="CB40">
            <v>0</v>
          </cell>
          <cell r="CD40">
            <v>0</v>
          </cell>
          <cell r="CG40" t="str">
            <v>PSI</v>
          </cell>
          <cell r="CO40" t="str">
            <v>PSI</v>
          </cell>
          <cell r="CP40">
            <v>0</v>
          </cell>
          <cell r="CR40">
            <v>0</v>
          </cell>
          <cell r="CT40">
            <v>0</v>
          </cell>
          <cell r="CV40">
            <v>0</v>
          </cell>
          <cell r="DJ40">
            <v>0</v>
          </cell>
          <cell r="DL40">
            <v>0</v>
          </cell>
        </row>
        <row r="41">
          <cell r="B41" t="str">
            <v>TRM</v>
          </cell>
          <cell r="D41" t="str">
            <v>SHOCK TRAUMA</v>
          </cell>
          <cell r="F41" t="str">
            <v>D12</v>
          </cell>
          <cell r="H41">
            <v>0</v>
          </cell>
          <cell r="J41">
            <v>0</v>
          </cell>
          <cell r="L41">
            <v>0</v>
          </cell>
          <cell r="N41">
            <v>0</v>
          </cell>
          <cell r="O41" t="str">
            <v>TRM</v>
          </cell>
          <cell r="P41">
            <v>0</v>
          </cell>
          <cell r="R41">
            <v>0</v>
          </cell>
          <cell r="T41">
            <v>0</v>
          </cell>
          <cell r="AD41">
            <v>0</v>
          </cell>
          <cell r="AF41">
            <v>0</v>
          </cell>
          <cell r="AH41">
            <v>0</v>
          </cell>
          <cell r="AJ41">
            <v>0</v>
          </cell>
          <cell r="AL41">
            <v>0</v>
          </cell>
          <cell r="AN41">
            <v>0</v>
          </cell>
          <cell r="AP41">
            <v>0</v>
          </cell>
          <cell r="AR41">
            <v>0</v>
          </cell>
          <cell r="AT41">
            <v>0</v>
          </cell>
          <cell r="AV41">
            <v>0</v>
          </cell>
          <cell r="AX41">
            <v>0</v>
          </cell>
          <cell r="AZ41">
            <v>0</v>
          </cell>
          <cell r="BB41">
            <v>0</v>
          </cell>
          <cell r="BD41">
            <v>0</v>
          </cell>
          <cell r="BF41">
            <v>0</v>
          </cell>
          <cell r="BH41">
            <v>0</v>
          </cell>
          <cell r="BJ41">
            <v>0</v>
          </cell>
          <cell r="BN41">
            <v>0</v>
          </cell>
          <cell r="BP41">
            <v>0</v>
          </cell>
          <cell r="BR41">
            <v>0</v>
          </cell>
          <cell r="BT41">
            <v>0</v>
          </cell>
          <cell r="BV41">
            <v>0</v>
          </cell>
          <cell r="BX41">
            <v>0</v>
          </cell>
          <cell r="CB41">
            <v>0</v>
          </cell>
          <cell r="CD41">
            <v>0</v>
          </cell>
          <cell r="CG41" t="str">
            <v>TRM</v>
          </cell>
          <cell r="CO41" t="str">
            <v>TRM</v>
          </cell>
          <cell r="CP41">
            <v>0</v>
          </cell>
          <cell r="CR41">
            <v>0</v>
          </cell>
          <cell r="CT41">
            <v>0</v>
          </cell>
          <cell r="CV41">
            <v>0</v>
          </cell>
          <cell r="DJ41">
            <v>0</v>
          </cell>
          <cell r="DL41">
            <v>0</v>
          </cell>
        </row>
        <row r="42">
          <cell r="B42" t="str">
            <v>ONC</v>
          </cell>
          <cell r="D42" t="str">
            <v>ONCOLOGY</v>
          </cell>
          <cell r="F42" t="str">
            <v>D13</v>
          </cell>
          <cell r="H42">
            <v>0</v>
          </cell>
          <cell r="J42">
            <v>0</v>
          </cell>
          <cell r="L42">
            <v>0</v>
          </cell>
          <cell r="N42">
            <v>0</v>
          </cell>
          <cell r="O42" t="str">
            <v>ONC</v>
          </cell>
          <cell r="P42">
            <v>0</v>
          </cell>
          <cell r="R42">
            <v>0</v>
          </cell>
          <cell r="T42">
            <v>0</v>
          </cell>
          <cell r="AD42">
            <v>0</v>
          </cell>
          <cell r="AF42">
            <v>0</v>
          </cell>
          <cell r="AH42">
            <v>0</v>
          </cell>
          <cell r="AJ42">
            <v>0</v>
          </cell>
          <cell r="AL42">
            <v>0</v>
          </cell>
          <cell r="AN42">
            <v>0</v>
          </cell>
          <cell r="AP42">
            <v>0</v>
          </cell>
          <cell r="AR42">
            <v>0</v>
          </cell>
          <cell r="AT42">
            <v>0</v>
          </cell>
          <cell r="AV42">
            <v>0</v>
          </cell>
          <cell r="AX42">
            <v>0</v>
          </cell>
          <cell r="AZ42">
            <v>0</v>
          </cell>
          <cell r="BB42">
            <v>0</v>
          </cell>
          <cell r="BD42">
            <v>0</v>
          </cell>
          <cell r="BF42">
            <v>0</v>
          </cell>
          <cell r="BH42">
            <v>0</v>
          </cell>
          <cell r="BJ42">
            <v>0</v>
          </cell>
          <cell r="BN42">
            <v>0</v>
          </cell>
          <cell r="BP42">
            <v>0</v>
          </cell>
          <cell r="BR42">
            <v>0</v>
          </cell>
          <cell r="BT42">
            <v>0</v>
          </cell>
          <cell r="BV42">
            <v>0</v>
          </cell>
          <cell r="BX42">
            <v>0</v>
          </cell>
          <cell r="CB42">
            <v>0</v>
          </cell>
          <cell r="CD42">
            <v>0</v>
          </cell>
          <cell r="CG42" t="str">
            <v>ONC</v>
          </cell>
          <cell r="CO42" t="str">
            <v>ONC</v>
          </cell>
          <cell r="CP42">
            <v>0</v>
          </cell>
          <cell r="CR42">
            <v>0</v>
          </cell>
          <cell r="CT42">
            <v>0</v>
          </cell>
          <cell r="CV42">
            <v>0</v>
          </cell>
          <cell r="DJ42">
            <v>0</v>
          </cell>
          <cell r="DL42">
            <v>0</v>
          </cell>
        </row>
        <row r="43">
          <cell r="B43" t="str">
            <v>NUR</v>
          </cell>
          <cell r="D43" t="str">
            <v>NEWBORN NURSERY</v>
          </cell>
          <cell r="F43" t="str">
            <v>D14</v>
          </cell>
          <cell r="H43">
            <v>1298395.8599503436</v>
          </cell>
          <cell r="J43">
            <v>14495.935667331438</v>
          </cell>
          <cell r="L43">
            <v>1312891.7956176749</v>
          </cell>
          <cell r="N43">
            <v>13.03726840642147</v>
          </cell>
          <cell r="O43" t="str">
            <v>NUR</v>
          </cell>
          <cell r="P43">
            <v>1298.4000000000001</v>
          </cell>
          <cell r="R43">
            <v>14.5</v>
          </cell>
          <cell r="T43">
            <v>1312.9</v>
          </cell>
          <cell r="AD43">
            <v>1298.4000000000001</v>
          </cell>
          <cell r="AF43">
            <v>14.5</v>
          </cell>
          <cell r="AH43">
            <v>1312.9</v>
          </cell>
          <cell r="AJ43">
            <v>13.03726840642147</v>
          </cell>
          <cell r="AL43">
            <v>0</v>
          </cell>
          <cell r="AN43">
            <v>0</v>
          </cell>
          <cell r="AP43">
            <v>0</v>
          </cell>
          <cell r="AR43">
            <v>0</v>
          </cell>
          <cell r="AT43">
            <v>7.5751471019551859</v>
          </cell>
          <cell r="AV43">
            <v>138.33268843402865</v>
          </cell>
          <cell r="AX43">
            <v>145.90783553598385</v>
          </cell>
          <cell r="AZ43">
            <v>5.7072218683236739E-2</v>
          </cell>
          <cell r="BB43">
            <v>1305.9751471019554</v>
          </cell>
          <cell r="BD43">
            <v>152.83268843402865</v>
          </cell>
          <cell r="BF43">
            <v>1458.8078355359839</v>
          </cell>
          <cell r="BH43">
            <v>13.094340625104707</v>
          </cell>
          <cell r="BJ43">
            <v>0</v>
          </cell>
          <cell r="BN43">
            <v>0</v>
          </cell>
          <cell r="BP43">
            <v>0</v>
          </cell>
          <cell r="BR43">
            <v>1305.9751471019554</v>
          </cell>
          <cell r="BT43">
            <v>152.83268843402865</v>
          </cell>
          <cell r="BV43">
            <v>1458.8078355359839</v>
          </cell>
          <cell r="BX43">
            <v>13.094340625104707</v>
          </cell>
          <cell r="CB43">
            <v>14.0709</v>
          </cell>
          <cell r="CD43">
            <v>14.0709</v>
          </cell>
          <cell r="CG43" t="str">
            <v>NUR</v>
          </cell>
          <cell r="CO43" t="str">
            <v>NUR</v>
          </cell>
          <cell r="CP43">
            <v>1320.0460471019553</v>
          </cell>
          <cell r="CR43">
            <v>152.83268843402865</v>
          </cell>
          <cell r="CT43">
            <v>1472.8787355359839</v>
          </cell>
          <cell r="CV43">
            <v>13.094340625104707</v>
          </cell>
          <cell r="DJ43">
            <v>1320.0460471019553</v>
          </cell>
          <cell r="DL43">
            <v>0</v>
          </cell>
        </row>
        <row r="44">
          <cell r="B44" t="str">
            <v>PRE</v>
          </cell>
          <cell r="D44" t="str">
            <v>PREMATURE NURSERY</v>
          </cell>
          <cell r="F44" t="str">
            <v>D15</v>
          </cell>
          <cell r="H44">
            <v>0</v>
          </cell>
          <cell r="J44">
            <v>0</v>
          </cell>
          <cell r="L44">
            <v>0</v>
          </cell>
          <cell r="N44">
            <v>0</v>
          </cell>
          <cell r="O44" t="str">
            <v>PRE</v>
          </cell>
          <cell r="P44">
            <v>0</v>
          </cell>
          <cell r="R44">
            <v>0</v>
          </cell>
          <cell r="T44">
            <v>0</v>
          </cell>
          <cell r="AD44">
            <v>0</v>
          </cell>
          <cell r="AF44">
            <v>0</v>
          </cell>
          <cell r="AH44">
            <v>0</v>
          </cell>
          <cell r="AJ44">
            <v>0</v>
          </cell>
          <cell r="AL44">
            <v>0</v>
          </cell>
          <cell r="AN44">
            <v>0</v>
          </cell>
          <cell r="AP44">
            <v>0</v>
          </cell>
          <cell r="AR44">
            <v>0</v>
          </cell>
          <cell r="AT44">
            <v>0</v>
          </cell>
          <cell r="AV44">
            <v>0</v>
          </cell>
          <cell r="AX44">
            <v>0</v>
          </cell>
          <cell r="AZ44">
            <v>0</v>
          </cell>
          <cell r="BB44">
            <v>0</v>
          </cell>
          <cell r="BD44">
            <v>0</v>
          </cell>
          <cell r="BF44">
            <v>0</v>
          </cell>
          <cell r="BH44">
            <v>0</v>
          </cell>
          <cell r="BJ44">
            <v>0</v>
          </cell>
          <cell r="BN44">
            <v>0</v>
          </cell>
          <cell r="BP44">
            <v>0</v>
          </cell>
          <cell r="BR44">
            <v>0</v>
          </cell>
          <cell r="BT44">
            <v>0</v>
          </cell>
          <cell r="BV44">
            <v>0</v>
          </cell>
          <cell r="BX44">
            <v>0</v>
          </cell>
          <cell r="CB44">
            <v>0</v>
          </cell>
          <cell r="CD44">
            <v>0</v>
          </cell>
          <cell r="CG44" t="str">
            <v>PRE</v>
          </cell>
          <cell r="CO44" t="str">
            <v>PRE</v>
          </cell>
          <cell r="CP44">
            <v>0</v>
          </cell>
          <cell r="CR44">
            <v>0</v>
          </cell>
          <cell r="CT44">
            <v>0</v>
          </cell>
          <cell r="CV44">
            <v>0</v>
          </cell>
          <cell r="DJ44">
            <v>0</v>
          </cell>
          <cell r="DL44">
            <v>0</v>
          </cell>
        </row>
        <row r="45">
          <cell r="B45" t="str">
            <v>ECF</v>
          </cell>
          <cell r="D45" t="str">
            <v>SKILLED NURSING CARE</v>
          </cell>
          <cell r="F45" t="str">
            <v>D16</v>
          </cell>
          <cell r="H45">
            <v>0</v>
          </cell>
          <cell r="J45">
            <v>0</v>
          </cell>
          <cell r="L45">
            <v>0</v>
          </cell>
          <cell r="N45">
            <v>0</v>
          </cell>
          <cell r="O45" t="str">
            <v>ECF</v>
          </cell>
          <cell r="P45">
            <v>0</v>
          </cell>
          <cell r="R45">
            <v>0</v>
          </cell>
          <cell r="T45">
            <v>0</v>
          </cell>
          <cell r="AD45">
            <v>0</v>
          </cell>
          <cell r="AF45">
            <v>0</v>
          </cell>
          <cell r="AH45">
            <v>0</v>
          </cell>
          <cell r="AJ45">
            <v>0</v>
          </cell>
          <cell r="AL45">
            <v>0</v>
          </cell>
          <cell r="AN45">
            <v>0</v>
          </cell>
          <cell r="AP45">
            <v>0</v>
          </cell>
          <cell r="AR45">
            <v>0</v>
          </cell>
          <cell r="AT45">
            <v>0</v>
          </cell>
          <cell r="AV45">
            <v>0</v>
          </cell>
          <cell r="AX45">
            <v>0</v>
          </cell>
          <cell r="AZ45">
            <v>0</v>
          </cell>
          <cell r="BB45">
            <v>0</v>
          </cell>
          <cell r="BD45">
            <v>0</v>
          </cell>
          <cell r="BF45">
            <v>0</v>
          </cell>
          <cell r="BH45">
            <v>0</v>
          </cell>
          <cell r="BJ45">
            <v>0</v>
          </cell>
          <cell r="BN45">
            <v>0</v>
          </cell>
          <cell r="BR45">
            <v>0</v>
          </cell>
          <cell r="BT45">
            <v>0</v>
          </cell>
          <cell r="BV45">
            <v>0</v>
          </cell>
          <cell r="BX45">
            <v>0</v>
          </cell>
          <cell r="CG45" t="str">
            <v>ECF</v>
          </cell>
          <cell r="CO45" t="str">
            <v>ECF</v>
          </cell>
          <cell r="CP45">
            <v>0</v>
          </cell>
          <cell r="CR45">
            <v>0</v>
          </cell>
          <cell r="CT45">
            <v>0</v>
          </cell>
          <cell r="CV45">
            <v>0</v>
          </cell>
          <cell r="DJ45">
            <v>0</v>
          </cell>
          <cell r="DL45">
            <v>0</v>
          </cell>
        </row>
        <row r="46">
          <cell r="B46" t="str">
            <v>CHR</v>
          </cell>
          <cell r="D46" t="str">
            <v>CHRONIC CARE</v>
          </cell>
          <cell r="F46" t="str">
            <v>D17</v>
          </cell>
          <cell r="H46">
            <v>0</v>
          </cell>
          <cell r="J46">
            <v>0</v>
          </cell>
          <cell r="L46">
            <v>0</v>
          </cell>
          <cell r="N46">
            <v>0</v>
          </cell>
          <cell r="O46" t="str">
            <v>CHR</v>
          </cell>
          <cell r="P46">
            <v>0</v>
          </cell>
          <cell r="R46">
            <v>0</v>
          </cell>
          <cell r="T46">
            <v>0</v>
          </cell>
          <cell r="AD46">
            <v>0</v>
          </cell>
          <cell r="AF46">
            <v>0</v>
          </cell>
          <cell r="AH46">
            <v>0</v>
          </cell>
          <cell r="AJ46">
            <v>0</v>
          </cell>
          <cell r="AL46">
            <v>0</v>
          </cell>
          <cell r="AN46">
            <v>0</v>
          </cell>
          <cell r="AP46">
            <v>0</v>
          </cell>
          <cell r="AR46">
            <v>0</v>
          </cell>
          <cell r="AT46">
            <v>0</v>
          </cell>
          <cell r="AV46">
            <v>0</v>
          </cell>
          <cell r="AX46">
            <v>0</v>
          </cell>
          <cell r="AZ46">
            <v>0</v>
          </cell>
          <cell r="BB46">
            <v>0</v>
          </cell>
          <cell r="BD46">
            <v>0</v>
          </cell>
          <cell r="BF46">
            <v>0</v>
          </cell>
          <cell r="BH46">
            <v>0</v>
          </cell>
          <cell r="BJ46">
            <v>0</v>
          </cell>
          <cell r="BN46">
            <v>0</v>
          </cell>
          <cell r="BP46">
            <v>0</v>
          </cell>
          <cell r="BR46">
            <v>0</v>
          </cell>
          <cell r="BT46">
            <v>0</v>
          </cell>
          <cell r="BV46">
            <v>0</v>
          </cell>
          <cell r="BX46">
            <v>0</v>
          </cell>
          <cell r="CB46">
            <v>0</v>
          </cell>
          <cell r="CD46">
            <v>0</v>
          </cell>
          <cell r="CG46" t="str">
            <v>CHR</v>
          </cell>
          <cell r="CO46" t="str">
            <v>CHR</v>
          </cell>
          <cell r="CP46">
            <v>0</v>
          </cell>
          <cell r="CR46">
            <v>0</v>
          </cell>
          <cell r="CT46">
            <v>0</v>
          </cell>
          <cell r="CV46">
            <v>0</v>
          </cell>
          <cell r="DJ46">
            <v>0</v>
          </cell>
          <cell r="DL46">
            <v>0</v>
          </cell>
        </row>
        <row r="47">
          <cell r="B47" t="str">
            <v>EMG</v>
          </cell>
          <cell r="D47" t="str">
            <v>EMERGENCY SERVICES</v>
          </cell>
          <cell r="F47" t="str">
            <v>D18</v>
          </cell>
          <cell r="H47">
            <v>6539782.7825975781</v>
          </cell>
          <cell r="J47">
            <v>350368.63648702687</v>
          </cell>
          <cell r="L47">
            <v>6890151.4190846048</v>
          </cell>
          <cell r="N47">
            <v>70.112212697118366</v>
          </cell>
          <cell r="O47" t="str">
            <v>EMG</v>
          </cell>
          <cell r="P47">
            <v>6539.8</v>
          </cell>
          <cell r="R47">
            <v>350.4</v>
          </cell>
          <cell r="T47">
            <v>6890.2</v>
          </cell>
          <cell r="AD47">
            <v>6539.8</v>
          </cell>
          <cell r="AF47">
            <v>350.4</v>
          </cell>
          <cell r="AH47">
            <v>6890.2</v>
          </cell>
          <cell r="AJ47">
            <v>70.112212697118366</v>
          </cell>
          <cell r="AL47">
            <v>0</v>
          </cell>
          <cell r="AN47">
            <v>0</v>
          </cell>
          <cell r="AP47">
            <v>0</v>
          </cell>
          <cell r="AR47">
            <v>0</v>
          </cell>
          <cell r="AT47">
            <v>40.737853073780769</v>
          </cell>
          <cell r="AV47">
            <v>743.92967699228325</v>
          </cell>
          <cell r="AX47">
            <v>784.66753006606405</v>
          </cell>
          <cell r="AZ47">
            <v>0.30692468780075433</v>
          </cell>
          <cell r="BB47">
            <v>6580.5378530737808</v>
          </cell>
          <cell r="BD47">
            <v>1094.3296769922831</v>
          </cell>
          <cell r="BF47">
            <v>7674.8675300660634</v>
          </cell>
          <cell r="BH47">
            <v>70.419137384919125</v>
          </cell>
          <cell r="BJ47">
            <v>1437.9977249329918</v>
          </cell>
          <cell r="BN47">
            <v>1437.9977249329918</v>
          </cell>
          <cell r="BP47">
            <v>6.1367525418436584</v>
          </cell>
          <cell r="BR47">
            <v>8018.535578006773</v>
          </cell>
          <cell r="BT47">
            <v>1094.3296769922831</v>
          </cell>
          <cell r="BV47">
            <v>9112.8652549990566</v>
          </cell>
          <cell r="BX47">
            <v>76.555889926762788</v>
          </cell>
          <cell r="CB47">
            <v>82.265320000000003</v>
          </cell>
          <cell r="CD47">
            <v>82.265320000000003</v>
          </cell>
          <cell r="CG47" t="str">
            <v>EMG</v>
          </cell>
          <cell r="CO47" t="str">
            <v>EMG</v>
          </cell>
          <cell r="CP47">
            <v>8100.8008980067734</v>
          </cell>
          <cell r="CR47">
            <v>1094.3296769922831</v>
          </cell>
          <cell r="CT47">
            <v>9195.130574999057</v>
          </cell>
          <cell r="CV47">
            <v>76.555889926762788</v>
          </cell>
          <cell r="DJ47">
            <v>6656.2087502005243</v>
          </cell>
          <cell r="DL47">
            <v>1444.5921478062487</v>
          </cell>
        </row>
        <row r="48">
          <cell r="B48" t="str">
            <v>CL</v>
          </cell>
          <cell r="D48" t="str">
            <v>CLINIC SERVICES</v>
          </cell>
          <cell r="F48" t="str">
            <v>D19</v>
          </cell>
          <cell r="H48">
            <v>4224439.4067137865</v>
          </cell>
          <cell r="J48">
            <v>433182.56899145694</v>
          </cell>
          <cell r="L48">
            <v>4657621.9757052436</v>
          </cell>
          <cell r="N48">
            <v>42.494115112846451</v>
          </cell>
          <cell r="O48" t="str">
            <v>CL</v>
          </cell>
          <cell r="P48">
            <v>4224.3999999999996</v>
          </cell>
          <cell r="R48">
            <v>433.2</v>
          </cell>
          <cell r="T48">
            <v>4657.5999999999995</v>
          </cell>
          <cell r="AD48">
            <v>4224.3999999999996</v>
          </cell>
          <cell r="AF48">
            <v>433.2</v>
          </cell>
          <cell r="AH48">
            <v>4657.5999999999995</v>
          </cell>
          <cell r="AJ48">
            <v>42.494115112846451</v>
          </cell>
          <cell r="AL48">
            <v>0</v>
          </cell>
          <cell r="AN48">
            <v>0</v>
          </cell>
          <cell r="AP48">
            <v>0</v>
          </cell>
          <cell r="AR48">
            <v>0</v>
          </cell>
          <cell r="AT48">
            <v>24.690691555347463</v>
          </cell>
          <cell r="AV48">
            <v>450.88625952425622</v>
          </cell>
          <cell r="AX48">
            <v>475.5769510796037</v>
          </cell>
          <cell r="AZ48">
            <v>0.18602312653749356</v>
          </cell>
          <cell r="BB48">
            <v>4249.0906915553469</v>
          </cell>
          <cell r="BD48">
            <v>884.08625952425621</v>
          </cell>
          <cell r="BF48">
            <v>5133.176951079603</v>
          </cell>
          <cell r="BH48">
            <v>42.680138239383943</v>
          </cell>
          <cell r="BJ48">
            <v>231.22183139652074</v>
          </cell>
          <cell r="BN48">
            <v>231.22183139652074</v>
          </cell>
          <cell r="BP48">
            <v>1.0677526270908371</v>
          </cell>
          <cell r="BR48">
            <v>4480.3125229518673</v>
          </cell>
          <cell r="BT48">
            <v>884.08625952425621</v>
          </cell>
          <cell r="BV48">
            <v>5364.3987824761234</v>
          </cell>
          <cell r="BX48">
            <v>43.747890866474783</v>
          </cell>
          <cell r="CB48">
            <v>47.010550000000002</v>
          </cell>
          <cell r="CD48">
            <v>47.010550000000002</v>
          </cell>
          <cell r="CG48" t="str">
            <v>CL</v>
          </cell>
          <cell r="CO48" t="str">
            <v>CL</v>
          </cell>
          <cell r="CP48">
            <v>4527.3230729518673</v>
          </cell>
          <cell r="CR48">
            <v>884.08625952425621</v>
          </cell>
          <cell r="CT48">
            <v>5411.4093324761234</v>
          </cell>
          <cell r="CV48">
            <v>43.747890866474783</v>
          </cell>
          <cell r="DJ48">
            <v>4294.9538573667769</v>
          </cell>
          <cell r="DL48">
            <v>232.36921558509087</v>
          </cell>
        </row>
        <row r="49">
          <cell r="B49" t="str">
            <v>PDC</v>
          </cell>
          <cell r="D49" t="str">
            <v>PSYCH DAY &amp; NIGHT</v>
          </cell>
          <cell r="F49" t="str">
            <v>D20</v>
          </cell>
          <cell r="H49">
            <v>475585.40277307318</v>
          </cell>
          <cell r="J49">
            <v>1623.4298114966482</v>
          </cell>
          <cell r="L49">
            <v>477208.83258456981</v>
          </cell>
          <cell r="N49">
            <v>4.0380179384947077</v>
          </cell>
          <cell r="O49" t="str">
            <v>PDC</v>
          </cell>
          <cell r="P49">
            <v>475.6</v>
          </cell>
          <cell r="R49">
            <v>1.6</v>
          </cell>
          <cell r="T49">
            <v>477.20000000000005</v>
          </cell>
          <cell r="AD49">
            <v>475.6</v>
          </cell>
          <cell r="AF49">
            <v>1.6</v>
          </cell>
          <cell r="AH49">
            <v>477.20000000000005</v>
          </cell>
          <cell r="AJ49">
            <v>4.0380179384947077</v>
          </cell>
          <cell r="AL49">
            <v>0</v>
          </cell>
          <cell r="AN49">
            <v>0</v>
          </cell>
          <cell r="AP49">
            <v>0</v>
          </cell>
          <cell r="AR49">
            <v>0</v>
          </cell>
          <cell r="AT49">
            <v>2.3462414771920259</v>
          </cell>
          <cell r="AV49">
            <v>42.845622254864004</v>
          </cell>
          <cell r="AX49">
            <v>45.191863732056028</v>
          </cell>
          <cell r="AZ49">
            <v>1.7676911730918343E-2</v>
          </cell>
          <cell r="BB49">
            <v>477.94624147719207</v>
          </cell>
          <cell r="BD49">
            <v>44.445622254864006</v>
          </cell>
          <cell r="BF49">
            <v>522.39186373205609</v>
          </cell>
          <cell r="BH49">
            <v>4.0556948502256258</v>
          </cell>
          <cell r="BJ49">
            <v>0</v>
          </cell>
          <cell r="BN49">
            <v>0</v>
          </cell>
          <cell r="BP49">
            <v>0</v>
          </cell>
          <cell r="BR49">
            <v>477.94624147719207</v>
          </cell>
          <cell r="BT49">
            <v>44.445622254864006</v>
          </cell>
          <cell r="BV49">
            <v>522.39186373205609</v>
          </cell>
          <cell r="BX49">
            <v>4.0556948502256258</v>
          </cell>
          <cell r="CB49">
            <v>4.3581599999999998</v>
          </cell>
          <cell r="CD49">
            <v>4.3581599999999998</v>
          </cell>
          <cell r="CG49" t="str">
            <v>PDC</v>
          </cell>
          <cell r="CO49" t="str">
            <v>PDC</v>
          </cell>
          <cell r="CP49">
            <v>482.30440147719207</v>
          </cell>
          <cell r="CR49">
            <v>44.445622254864006</v>
          </cell>
          <cell r="CT49">
            <v>526.75002373205609</v>
          </cell>
          <cell r="CV49">
            <v>4.0556948502256258</v>
          </cell>
          <cell r="DJ49">
            <v>482.30440147719207</v>
          </cell>
          <cell r="DL49">
            <v>0</v>
          </cell>
        </row>
        <row r="50">
          <cell r="B50" t="str">
            <v>AMS</v>
          </cell>
          <cell r="D50" t="str">
            <v>AMBULATORY SURGERY (PBP)</v>
          </cell>
          <cell r="F50" t="str">
            <v>D21</v>
          </cell>
          <cell r="H50">
            <v>0</v>
          </cell>
          <cell r="L50">
            <v>0</v>
          </cell>
          <cell r="N50">
            <v>0</v>
          </cell>
          <cell r="O50" t="str">
            <v>AMS</v>
          </cell>
          <cell r="P50">
            <v>0</v>
          </cell>
          <cell r="R50">
            <v>0</v>
          </cell>
          <cell r="T50">
            <v>0</v>
          </cell>
          <cell r="AD50">
            <v>0</v>
          </cell>
          <cell r="AF50">
            <v>0</v>
          </cell>
          <cell r="AH50">
            <v>0</v>
          </cell>
          <cell r="AJ50">
            <v>0</v>
          </cell>
          <cell r="AL50">
            <v>0</v>
          </cell>
          <cell r="AN50">
            <v>0</v>
          </cell>
          <cell r="AP50">
            <v>0</v>
          </cell>
          <cell r="AR50">
            <v>0</v>
          </cell>
          <cell r="AT50">
            <v>0</v>
          </cell>
          <cell r="AV50">
            <v>0</v>
          </cell>
          <cell r="AX50">
            <v>0</v>
          </cell>
          <cell r="AZ50">
            <v>0</v>
          </cell>
          <cell r="BB50">
            <v>0</v>
          </cell>
          <cell r="BD50">
            <v>0</v>
          </cell>
          <cell r="BF50">
            <v>0</v>
          </cell>
          <cell r="BH50">
            <v>0</v>
          </cell>
          <cell r="BJ50">
            <v>0</v>
          </cell>
          <cell r="BN50">
            <v>0</v>
          </cell>
          <cell r="BP50">
            <v>0</v>
          </cell>
          <cell r="BR50">
            <v>0</v>
          </cell>
          <cell r="BT50">
            <v>0</v>
          </cell>
          <cell r="BV50">
            <v>0</v>
          </cell>
          <cell r="BX50">
            <v>0</v>
          </cell>
          <cell r="CB50">
            <v>0</v>
          </cell>
          <cell r="CD50">
            <v>0</v>
          </cell>
          <cell r="CG50" t="str">
            <v>AMS</v>
          </cell>
          <cell r="CO50" t="str">
            <v>FSC</v>
          </cell>
          <cell r="CP50">
            <v>0</v>
          </cell>
          <cell r="CR50">
            <v>0</v>
          </cell>
          <cell r="CT50">
            <v>0</v>
          </cell>
          <cell r="CV50">
            <v>0</v>
          </cell>
          <cell r="DJ50">
            <v>0</v>
          </cell>
          <cell r="DL50">
            <v>0</v>
          </cell>
        </row>
        <row r="51">
          <cell r="B51" t="str">
            <v>SDS</v>
          </cell>
          <cell r="D51" t="str">
            <v>SAME DAY SURGERY</v>
          </cell>
          <cell r="F51" t="str">
            <v>D22</v>
          </cell>
          <cell r="H51">
            <v>1179842.8982121907</v>
          </cell>
          <cell r="J51">
            <v>971146.4227900788</v>
          </cell>
          <cell r="L51">
            <v>2150989.3210022696</v>
          </cell>
          <cell r="N51">
            <v>11.800157733703358</v>
          </cell>
          <cell r="O51" t="str">
            <v>SDS</v>
          </cell>
          <cell r="P51">
            <v>1179.8</v>
          </cell>
          <cell r="R51">
            <v>971.1</v>
          </cell>
          <cell r="T51">
            <v>2150.9</v>
          </cell>
          <cell r="AD51">
            <v>1179.8</v>
          </cell>
          <cell r="AF51">
            <v>971.1</v>
          </cell>
          <cell r="AH51">
            <v>2150.9</v>
          </cell>
          <cell r="AJ51">
            <v>11.800157733703358</v>
          </cell>
          <cell r="AL51">
            <v>0</v>
          </cell>
          <cell r="AN51">
            <v>0</v>
          </cell>
          <cell r="AP51">
            <v>0</v>
          </cell>
          <cell r="AR51">
            <v>0</v>
          </cell>
          <cell r="AT51">
            <v>6.856338910308029</v>
          </cell>
          <cell r="AV51">
            <v>125.20625428289658</v>
          </cell>
          <cell r="AX51">
            <v>132.06259319320461</v>
          </cell>
          <cell r="AZ51">
            <v>5.1656617144040226E-2</v>
          </cell>
          <cell r="BB51">
            <v>1186.656338910308</v>
          </cell>
          <cell r="BD51">
            <v>1096.3062542828966</v>
          </cell>
          <cell r="BF51">
            <v>2282.9625931932046</v>
          </cell>
          <cell r="BH51">
            <v>11.851814350847398</v>
          </cell>
          <cell r="BJ51">
            <v>0</v>
          </cell>
          <cell r="BN51">
            <v>0</v>
          </cell>
          <cell r="BP51">
            <v>0</v>
          </cell>
          <cell r="BR51">
            <v>1186.656338910308</v>
          </cell>
          <cell r="BT51">
            <v>1096.3062542828966</v>
          </cell>
          <cell r="BV51">
            <v>2282.9625931932046</v>
          </cell>
          <cell r="BX51">
            <v>11.851814350847398</v>
          </cell>
          <cell r="CB51">
            <v>12.735709999999999</v>
          </cell>
          <cell r="CD51">
            <v>12.735709999999999</v>
          </cell>
          <cell r="CG51" t="str">
            <v>SDS</v>
          </cell>
          <cell r="CO51" t="str">
            <v>SDS</v>
          </cell>
          <cell r="CP51">
            <v>1199.3920489103079</v>
          </cell>
          <cell r="CR51">
            <v>1096.3062542828966</v>
          </cell>
          <cell r="CT51">
            <v>2295.6983031932045</v>
          </cell>
          <cell r="CV51">
            <v>11.851814350847398</v>
          </cell>
          <cell r="DJ51">
            <v>1199.3920489103079</v>
          </cell>
          <cell r="DL51">
            <v>0</v>
          </cell>
        </row>
        <row r="52">
          <cell r="B52" t="str">
            <v>DEL</v>
          </cell>
          <cell r="D52" t="str">
            <v>LABOR &amp; DELIVERY</v>
          </cell>
          <cell r="F52" t="str">
            <v>D23</v>
          </cell>
          <cell r="H52">
            <v>3896951.8384159165</v>
          </cell>
          <cell r="J52">
            <v>163202.16096231854</v>
          </cell>
          <cell r="L52">
            <v>4060153.9993782351</v>
          </cell>
          <cell r="N52">
            <v>35.679111747108578</v>
          </cell>
          <cell r="O52" t="str">
            <v>DEL</v>
          </cell>
          <cell r="P52">
            <v>3897</v>
          </cell>
          <cell r="R52">
            <v>163.19999999999999</v>
          </cell>
          <cell r="T52">
            <v>4060.2</v>
          </cell>
          <cell r="AD52">
            <v>3897</v>
          </cell>
          <cell r="AF52">
            <v>163.19999999999999</v>
          </cell>
          <cell r="AH52">
            <v>4060.2</v>
          </cell>
          <cell r="AJ52">
            <v>35.679111747108578</v>
          </cell>
          <cell r="AL52">
            <v>0</v>
          </cell>
          <cell r="AN52">
            <v>0</v>
          </cell>
          <cell r="AP52">
            <v>0</v>
          </cell>
          <cell r="AR52">
            <v>0</v>
          </cell>
          <cell r="AT52">
            <v>20.730916287519385</v>
          </cell>
          <cell r="AV52">
            <v>378.57527321326398</v>
          </cell>
          <cell r="AX52">
            <v>399.30618950078338</v>
          </cell>
          <cell r="AZ52">
            <v>0.15618962535523581</v>
          </cell>
          <cell r="BB52">
            <v>3917.7309162875194</v>
          </cell>
          <cell r="BD52">
            <v>541.77527321326397</v>
          </cell>
          <cell r="BF52">
            <v>4459.5061895007839</v>
          </cell>
          <cell r="BH52">
            <v>35.835301372463817</v>
          </cell>
          <cell r="BJ52">
            <v>0</v>
          </cell>
          <cell r="BN52">
            <v>0</v>
          </cell>
          <cell r="BP52">
            <v>0</v>
          </cell>
          <cell r="BR52">
            <v>3917.7309162875194</v>
          </cell>
          <cell r="BT52">
            <v>541.77527321326397</v>
          </cell>
          <cell r="BV52">
            <v>4459.5061895007839</v>
          </cell>
          <cell r="BX52">
            <v>35.835301372463817</v>
          </cell>
          <cell r="CB52">
            <v>38.507849999999998</v>
          </cell>
          <cell r="CD52">
            <v>38.507849999999998</v>
          </cell>
          <cell r="CG52" t="str">
            <v>DEL</v>
          </cell>
          <cell r="CO52" t="str">
            <v>DEL</v>
          </cell>
          <cell r="CP52">
            <v>3956.2387662875194</v>
          </cell>
          <cell r="CR52">
            <v>541.77527321326397</v>
          </cell>
          <cell r="CT52">
            <v>4498.0140395007838</v>
          </cell>
          <cell r="CV52">
            <v>35.835301372463817</v>
          </cell>
          <cell r="DJ52">
            <v>3956.2387662875194</v>
          </cell>
          <cell r="DL52">
            <v>0</v>
          </cell>
        </row>
        <row r="53">
          <cell r="B53" t="str">
            <v>OR</v>
          </cell>
          <cell r="D53" t="str">
            <v>OPERATING ROOM</v>
          </cell>
          <cell r="F53" t="str">
            <v>D24</v>
          </cell>
          <cell r="H53">
            <v>12188690.118795445</v>
          </cell>
          <cell r="J53">
            <v>1084395.921549208</v>
          </cell>
          <cell r="L53">
            <v>13273086.040344654</v>
          </cell>
          <cell r="N53">
            <v>113.10909828406339</v>
          </cell>
          <cell r="O53" t="str">
            <v>OR</v>
          </cell>
          <cell r="P53">
            <v>12188.7</v>
          </cell>
          <cell r="R53">
            <v>1084.4000000000001</v>
          </cell>
          <cell r="T53">
            <v>13273.1</v>
          </cell>
          <cell r="AD53">
            <v>12188.7</v>
          </cell>
          <cell r="AF53">
            <v>1084.4000000000001</v>
          </cell>
          <cell r="AH53">
            <v>13273.1</v>
          </cell>
          <cell r="AJ53">
            <v>113.10909828406339</v>
          </cell>
          <cell r="AL53">
            <v>0</v>
          </cell>
          <cell r="AN53">
            <v>0</v>
          </cell>
          <cell r="AP53">
            <v>0</v>
          </cell>
          <cell r="AR53">
            <v>0</v>
          </cell>
          <cell r="AT53">
            <v>65.720673331329422</v>
          </cell>
          <cell r="AV53">
            <v>1200.1506116324595</v>
          </cell>
          <cell r="AX53">
            <v>1265.8712849637889</v>
          </cell>
          <cell r="AZ53">
            <v>0.49514875287465898</v>
          </cell>
          <cell r="BB53">
            <v>12254.420673331329</v>
          </cell>
          <cell r="BD53">
            <v>2284.5506116324595</v>
          </cell>
          <cell r="BF53">
            <v>14538.971284963789</v>
          </cell>
          <cell r="BH53">
            <v>113.60424703693805</v>
          </cell>
          <cell r="BJ53">
            <v>729.41424355090919</v>
          </cell>
          <cell r="BN53">
            <v>729.41424355090919</v>
          </cell>
          <cell r="BP53">
            <v>2.4486179836628605</v>
          </cell>
          <cell r="BR53">
            <v>12983.834916882239</v>
          </cell>
          <cell r="BT53">
            <v>2284.5506116324595</v>
          </cell>
          <cell r="BV53">
            <v>15268.385528514698</v>
          </cell>
          <cell r="BX53">
            <v>116.0528650206009</v>
          </cell>
          <cell r="CB53">
            <v>124.70793</v>
          </cell>
          <cell r="CD53">
            <v>124.70793</v>
          </cell>
          <cell r="CG53" t="str">
            <v>OR</v>
          </cell>
          <cell r="CO53" t="str">
            <v>OR</v>
          </cell>
          <cell r="CP53">
            <v>13108.542846882239</v>
          </cell>
          <cell r="CR53">
            <v>2284.5506116324595</v>
          </cell>
          <cell r="CT53">
            <v>15393.093458514699</v>
          </cell>
          <cell r="CV53">
            <v>116.0528650206009</v>
          </cell>
          <cell r="DJ53">
            <v>12376.497370745652</v>
          </cell>
          <cell r="DL53">
            <v>732.0454761365861</v>
          </cell>
        </row>
        <row r="54">
          <cell r="B54" t="str">
            <v>ORC</v>
          </cell>
          <cell r="D54" t="str">
            <v>OPERATING ROOM CLINIC</v>
          </cell>
          <cell r="F54" t="str">
            <v>D24a</v>
          </cell>
          <cell r="H54">
            <v>5628.1214925613449</v>
          </cell>
          <cell r="J54">
            <v>1166.121791641599</v>
          </cell>
          <cell r="L54">
            <v>6794.2432842029439</v>
          </cell>
          <cell r="N54">
            <v>5.8849474125397837E-2</v>
          </cell>
          <cell r="O54" t="str">
            <v>ORC</v>
          </cell>
          <cell r="P54">
            <v>5.6</v>
          </cell>
          <cell r="R54">
            <v>1.2</v>
          </cell>
          <cell r="T54">
            <v>6.8</v>
          </cell>
          <cell r="AD54">
            <v>5.6</v>
          </cell>
          <cell r="AF54">
            <v>1.2</v>
          </cell>
          <cell r="AH54">
            <v>6.8</v>
          </cell>
          <cell r="AJ54">
            <v>5.8849474125397837E-2</v>
          </cell>
          <cell r="AL54">
            <v>0</v>
          </cell>
          <cell r="AN54">
            <v>0</v>
          </cell>
          <cell r="AP54">
            <v>0</v>
          </cell>
          <cell r="AR54">
            <v>0</v>
          </cell>
          <cell r="AT54">
            <v>3.419377506664048E-2</v>
          </cell>
          <cell r="AV54">
            <v>0.6244257397266868</v>
          </cell>
          <cell r="AX54">
            <v>0.65861951479332725</v>
          </cell>
          <cell r="AZ54">
            <v>2.5762068801344029E-4</v>
          </cell>
          <cell r="BB54">
            <v>5.63419377506664</v>
          </cell>
          <cell r="BD54">
            <v>1.8244257397266868</v>
          </cell>
          <cell r="BF54">
            <v>7.4586195147933267</v>
          </cell>
          <cell r="BH54">
            <v>5.9107094813411275E-2</v>
          </cell>
          <cell r="BJ54">
            <v>0</v>
          </cell>
          <cell r="BN54">
            <v>0</v>
          </cell>
          <cell r="BP54">
            <v>0</v>
          </cell>
          <cell r="BR54">
            <v>5.63419377506664</v>
          </cell>
          <cell r="BT54">
            <v>1.8244257397266868</v>
          </cell>
          <cell r="BV54">
            <v>7.4586195147933267</v>
          </cell>
          <cell r="BX54">
            <v>5.9107094813411275E-2</v>
          </cell>
          <cell r="CB54">
            <v>6.3519999999999993E-2</v>
          </cell>
          <cell r="CD54">
            <v>6.3519999999999993E-2</v>
          </cell>
          <cell r="CG54" t="str">
            <v>ORC</v>
          </cell>
          <cell r="CO54" t="str">
            <v>OR</v>
          </cell>
          <cell r="CP54">
            <v>5.6977137750666396</v>
          </cell>
          <cell r="CR54">
            <v>1.8244257397266868</v>
          </cell>
          <cell r="CT54">
            <v>7.5221395147933263</v>
          </cell>
          <cell r="CV54">
            <v>5.9107094813411275E-2</v>
          </cell>
          <cell r="DJ54">
            <v>5.6977137750666396</v>
          </cell>
          <cell r="DL54">
            <v>0</v>
          </cell>
        </row>
        <row r="55">
          <cell r="B55" t="str">
            <v>ANS</v>
          </cell>
          <cell r="D55" t="str">
            <v>ANESTHESIOLOGY</v>
          </cell>
          <cell r="F55" t="str">
            <v>D25</v>
          </cell>
          <cell r="H55">
            <v>809958.36943964683</v>
          </cell>
          <cell r="J55">
            <v>321939.4740000001</v>
          </cell>
          <cell r="L55">
            <v>1131897.843439647</v>
          </cell>
          <cell r="N55">
            <v>11.131958403010033</v>
          </cell>
          <cell r="O55" t="str">
            <v>ANS</v>
          </cell>
          <cell r="P55">
            <v>810</v>
          </cell>
          <cell r="R55">
            <v>321.89999999999998</v>
          </cell>
          <cell r="T55">
            <v>1131.9000000000001</v>
          </cell>
          <cell r="AD55">
            <v>810</v>
          </cell>
          <cell r="AF55">
            <v>321.89999999999998</v>
          </cell>
          <cell r="AH55">
            <v>1131.9000000000001</v>
          </cell>
          <cell r="AJ55">
            <v>11.131958403010033</v>
          </cell>
          <cell r="AL55">
            <v>0</v>
          </cell>
          <cell r="AN55">
            <v>0</v>
          </cell>
          <cell r="AP55">
            <v>0</v>
          </cell>
          <cell r="AR55">
            <v>0</v>
          </cell>
          <cell r="AT55">
            <v>6.4680897720961621</v>
          </cell>
          <cell r="AV55">
            <v>118.11628674191245</v>
          </cell>
          <cell r="AX55">
            <v>124.58437651400861</v>
          </cell>
          <cell r="AZ55">
            <v>4.8731493787176741E-2</v>
          </cell>
          <cell r="BB55">
            <v>816.46808977209616</v>
          </cell>
          <cell r="BD55">
            <v>440.01628674191244</v>
          </cell>
          <cell r="BF55">
            <v>1256.4843765140085</v>
          </cell>
          <cell r="BH55">
            <v>11.18068989679721</v>
          </cell>
          <cell r="BJ55">
            <v>0</v>
          </cell>
          <cell r="BN55">
            <v>0</v>
          </cell>
          <cell r="BP55">
            <v>0</v>
          </cell>
          <cell r="BR55">
            <v>816.46808977209616</v>
          </cell>
          <cell r="BT55">
            <v>440.01628674191244</v>
          </cell>
          <cell r="BV55">
            <v>1256.4843765140085</v>
          </cell>
          <cell r="BX55">
            <v>11.18068989679721</v>
          </cell>
          <cell r="CB55">
            <v>12.014530000000001</v>
          </cell>
          <cell r="CD55">
            <v>12.014530000000001</v>
          </cell>
          <cell r="CG55" t="str">
            <v>ANS</v>
          </cell>
          <cell r="CO55" t="str">
            <v>ANS</v>
          </cell>
          <cell r="CP55">
            <v>828.4826197720962</v>
          </cell>
          <cell r="CR55">
            <v>440.01628674191244</v>
          </cell>
          <cell r="CT55">
            <v>1268.4989065140087</v>
          </cell>
          <cell r="CV55">
            <v>11.18068989679721</v>
          </cell>
          <cell r="DJ55">
            <v>828.4826197720962</v>
          </cell>
          <cell r="DL55">
            <v>0</v>
          </cell>
        </row>
        <row r="56">
          <cell r="B56" t="str">
            <v>MSS</v>
          </cell>
          <cell r="D56" t="str">
            <v>MEDICAL SUPPLIES SOLD</v>
          </cell>
          <cell r="F56" t="str">
            <v>D26</v>
          </cell>
          <cell r="H56">
            <v>0</v>
          </cell>
          <cell r="J56">
            <v>47322986.169999987</v>
          </cell>
          <cell r="L56">
            <v>47322986.169999987</v>
          </cell>
          <cell r="N56">
            <v>0</v>
          </cell>
          <cell r="O56" t="str">
            <v>MSS</v>
          </cell>
          <cell r="P56">
            <v>0</v>
          </cell>
          <cell r="R56">
            <v>47323</v>
          </cell>
          <cell r="T56">
            <v>47323</v>
          </cell>
          <cell r="AD56">
            <v>0</v>
          </cell>
          <cell r="AF56">
            <v>47323</v>
          </cell>
          <cell r="AH56">
            <v>47323</v>
          </cell>
          <cell r="AJ56">
            <v>0</v>
          </cell>
          <cell r="AL56">
            <v>0</v>
          </cell>
          <cell r="AN56">
            <v>0</v>
          </cell>
          <cell r="AP56">
            <v>0</v>
          </cell>
          <cell r="AR56">
            <v>0</v>
          </cell>
          <cell r="AT56">
            <v>0</v>
          </cell>
          <cell r="AV56">
            <v>0</v>
          </cell>
          <cell r="AX56">
            <v>0</v>
          </cell>
          <cell r="AZ56">
            <v>0</v>
          </cell>
          <cell r="BB56">
            <v>0</v>
          </cell>
          <cell r="BD56">
            <v>47323</v>
          </cell>
          <cell r="BF56">
            <v>47323</v>
          </cell>
          <cell r="BH56">
            <v>0</v>
          </cell>
          <cell r="BJ56">
            <v>0</v>
          </cell>
          <cell r="BN56">
            <v>0</v>
          </cell>
          <cell r="BR56">
            <v>0</v>
          </cell>
          <cell r="BT56">
            <v>47323</v>
          </cell>
          <cell r="BV56">
            <v>47323</v>
          </cell>
          <cell r="BX56">
            <v>0</v>
          </cell>
          <cell r="CD56">
            <v>0</v>
          </cell>
          <cell r="CG56" t="str">
            <v>MSS</v>
          </cell>
          <cell r="CO56" t="str">
            <v>MSS</v>
          </cell>
          <cell r="CP56">
            <v>0</v>
          </cell>
          <cell r="CR56">
            <v>47323</v>
          </cell>
          <cell r="CT56">
            <v>47323</v>
          </cell>
          <cell r="CV56">
            <v>0</v>
          </cell>
          <cell r="DJ56">
            <v>0</v>
          </cell>
          <cell r="DL56">
            <v>0</v>
          </cell>
        </row>
        <row r="57">
          <cell r="B57" t="str">
            <v>CDS</v>
          </cell>
          <cell r="D57" t="str">
            <v>DRUGS SOLD</v>
          </cell>
          <cell r="F57" t="str">
            <v>D27</v>
          </cell>
          <cell r="H57">
            <v>0</v>
          </cell>
          <cell r="J57">
            <v>22020247.089999996</v>
          </cell>
          <cell r="L57">
            <v>22020247.089999996</v>
          </cell>
          <cell r="N57">
            <v>0</v>
          </cell>
          <cell r="O57" t="str">
            <v>CDS</v>
          </cell>
          <cell r="P57">
            <v>0</v>
          </cell>
          <cell r="R57">
            <v>22020.2</v>
          </cell>
          <cell r="T57">
            <v>22020.2</v>
          </cell>
          <cell r="AD57">
            <v>0</v>
          </cell>
          <cell r="AF57">
            <v>22020.2</v>
          </cell>
          <cell r="AH57">
            <v>22020.2</v>
          </cell>
          <cell r="AJ57">
            <v>0</v>
          </cell>
          <cell r="AL57">
            <v>0</v>
          </cell>
          <cell r="AN57">
            <v>0</v>
          </cell>
          <cell r="AP57">
            <v>0</v>
          </cell>
          <cell r="AR57">
            <v>0</v>
          </cell>
          <cell r="AT57">
            <v>0</v>
          </cell>
          <cell r="AV57">
            <v>0</v>
          </cell>
          <cell r="AX57">
            <v>0</v>
          </cell>
          <cell r="AZ57">
            <v>0</v>
          </cell>
          <cell r="BB57">
            <v>0</v>
          </cell>
          <cell r="BD57">
            <v>22020.2</v>
          </cell>
          <cell r="BF57">
            <v>22020.2</v>
          </cell>
          <cell r="BH57">
            <v>0</v>
          </cell>
          <cell r="BJ57">
            <v>0</v>
          </cell>
          <cell r="BN57">
            <v>0</v>
          </cell>
          <cell r="BR57">
            <v>0</v>
          </cell>
          <cell r="BT57">
            <v>22020.2</v>
          </cell>
          <cell r="BV57">
            <v>22020.2</v>
          </cell>
          <cell r="BX57">
            <v>0</v>
          </cell>
          <cell r="CD57">
            <v>0</v>
          </cell>
          <cell r="CG57" t="str">
            <v>CDS</v>
          </cell>
          <cell r="CO57" t="str">
            <v>CDS</v>
          </cell>
          <cell r="CP57">
            <v>0</v>
          </cell>
          <cell r="CR57">
            <v>22020.2</v>
          </cell>
          <cell r="CT57">
            <v>22020.2</v>
          </cell>
          <cell r="CV57">
            <v>0</v>
          </cell>
          <cell r="DJ57">
            <v>0</v>
          </cell>
          <cell r="DL57">
            <v>0</v>
          </cell>
        </row>
        <row r="58">
          <cell r="B58" t="str">
            <v>LAB</v>
          </cell>
          <cell r="D58" t="str">
            <v>LABORATORY SERVICES</v>
          </cell>
          <cell r="F58" t="str">
            <v>D28</v>
          </cell>
          <cell r="H58">
            <v>4657537.300390657</v>
          </cell>
          <cell r="J58">
            <v>4626505.8683149256</v>
          </cell>
          <cell r="L58">
            <v>9284043.1687055826</v>
          </cell>
          <cell r="N58">
            <v>58.448611373904015</v>
          </cell>
          <cell r="O58" t="str">
            <v>LAB</v>
          </cell>
          <cell r="P58">
            <v>4657.5</v>
          </cell>
          <cell r="R58">
            <v>4626.5</v>
          </cell>
          <cell r="T58">
            <v>9284</v>
          </cell>
          <cell r="AD58">
            <v>4657.5</v>
          </cell>
          <cell r="AF58">
            <v>4626.5</v>
          </cell>
          <cell r="AH58">
            <v>9284</v>
          </cell>
          <cell r="AJ58">
            <v>58.448611373904015</v>
          </cell>
          <cell r="AL58">
            <v>0</v>
          </cell>
          <cell r="AN58">
            <v>0</v>
          </cell>
          <cell r="AP58">
            <v>0</v>
          </cell>
          <cell r="AR58">
            <v>0</v>
          </cell>
          <cell r="AT58">
            <v>33.960858613929837</v>
          </cell>
          <cell r="AV58">
            <v>620.17236237964312</v>
          </cell>
          <cell r="AX58">
            <v>654.13322099357299</v>
          </cell>
          <cell r="AZ58">
            <v>0.25586586285359691</v>
          </cell>
          <cell r="BB58">
            <v>4691.4608586139302</v>
          </cell>
          <cell r="BD58">
            <v>5246.6723623796433</v>
          </cell>
          <cell r="BF58">
            <v>9938.1332209935736</v>
          </cell>
          <cell r="BH58">
            <v>58.704477236757612</v>
          </cell>
          <cell r="BJ58">
            <v>4.5599999999999996</v>
          </cell>
          <cell r="BN58">
            <v>4.5599999999999996</v>
          </cell>
          <cell r="BP58">
            <v>2.7305389221556887E-2</v>
          </cell>
          <cell r="BR58">
            <v>4696.0208586139306</v>
          </cell>
          <cell r="BT58">
            <v>5246.6723623796433</v>
          </cell>
          <cell r="BV58">
            <v>9942.693220993573</v>
          </cell>
          <cell r="BX58">
            <v>58.731782625979172</v>
          </cell>
          <cell r="CB58">
            <v>63.111919999999998</v>
          </cell>
          <cell r="CD58">
            <v>63.111919999999998</v>
          </cell>
          <cell r="CG58" t="str">
            <v>LAB</v>
          </cell>
          <cell r="CO58" t="str">
            <v>LAB</v>
          </cell>
          <cell r="CP58">
            <v>4759.1327786139309</v>
          </cell>
          <cell r="CR58">
            <v>5246.6723623796433</v>
          </cell>
          <cell r="CT58">
            <v>10005.805140993574</v>
          </cell>
          <cell r="CV58">
            <v>58.731782625979172</v>
          </cell>
          <cell r="DJ58">
            <v>4754.5434368254973</v>
          </cell>
          <cell r="DL58">
            <v>4.589341788433261</v>
          </cell>
        </row>
        <row r="59">
          <cell r="H59" t="str">
            <v>XXXXXXXXX</v>
          </cell>
          <cell r="J59" t="str">
            <v>XXXXXXXXX</v>
          </cell>
          <cell r="L59">
            <v>0</v>
          </cell>
          <cell r="O59">
            <v>0</v>
          </cell>
          <cell r="P59">
            <v>0</v>
          </cell>
          <cell r="R59">
            <v>0</v>
          </cell>
          <cell r="T59">
            <v>0</v>
          </cell>
          <cell r="AD59">
            <v>0</v>
          </cell>
          <cell r="AF59">
            <v>0</v>
          </cell>
          <cell r="AH59">
            <v>0</v>
          </cell>
          <cell r="AJ59">
            <v>0</v>
          </cell>
          <cell r="AL59">
            <v>0</v>
          </cell>
          <cell r="AN59">
            <v>0</v>
          </cell>
          <cell r="AP59">
            <v>0</v>
          </cell>
          <cell r="AR59">
            <v>0</v>
          </cell>
          <cell r="AT59">
            <v>0</v>
          </cell>
          <cell r="AV59">
            <v>0</v>
          </cell>
          <cell r="AX59">
            <v>0</v>
          </cell>
          <cell r="AZ59">
            <v>0</v>
          </cell>
          <cell r="BB59">
            <v>0</v>
          </cell>
          <cell r="BD59">
            <v>0</v>
          </cell>
          <cell r="BF59">
            <v>0</v>
          </cell>
          <cell r="BH59">
            <v>0</v>
          </cell>
          <cell r="BJ59">
            <v>0</v>
          </cell>
          <cell r="BN59">
            <v>0</v>
          </cell>
          <cell r="BP59">
            <v>0</v>
          </cell>
          <cell r="BR59">
            <v>0</v>
          </cell>
          <cell r="BT59">
            <v>0</v>
          </cell>
          <cell r="BV59">
            <v>0</v>
          </cell>
          <cell r="BX59">
            <v>0</v>
          </cell>
          <cell r="CD59">
            <v>0</v>
          </cell>
          <cell r="CG59">
            <v>0</v>
          </cell>
          <cell r="CO59" t="str">
            <v>BB</v>
          </cell>
          <cell r="CP59">
            <v>0</v>
          </cell>
          <cell r="CR59">
            <v>0</v>
          </cell>
          <cell r="CT59">
            <v>0</v>
          </cell>
          <cell r="CV59">
            <v>0</v>
          </cell>
          <cell r="DJ59">
            <v>0</v>
          </cell>
          <cell r="DL59">
            <v>0</v>
          </cell>
        </row>
        <row r="60">
          <cell r="B60" t="str">
            <v>EKG</v>
          </cell>
          <cell r="D60" t="str">
            <v>ELECTROCARDIOLOGY</v>
          </cell>
          <cell r="F60" t="str">
            <v>D30</v>
          </cell>
          <cell r="H60">
            <v>716155.10063122213</v>
          </cell>
          <cell r="J60">
            <v>11352.883758226391</v>
          </cell>
          <cell r="L60">
            <v>727507.98438944854</v>
          </cell>
          <cell r="N60">
            <v>10.517716413012774</v>
          </cell>
          <cell r="O60" t="str">
            <v>EKG</v>
          </cell>
          <cell r="P60">
            <v>716.2</v>
          </cell>
          <cell r="R60">
            <v>11.4</v>
          </cell>
          <cell r="T60">
            <v>727.6</v>
          </cell>
          <cell r="AD60">
            <v>716.2</v>
          </cell>
          <cell r="AF60">
            <v>11.4</v>
          </cell>
          <cell r="AH60">
            <v>727.6</v>
          </cell>
          <cell r="AJ60">
            <v>10.517716413012774</v>
          </cell>
          <cell r="AL60">
            <v>0</v>
          </cell>
          <cell r="AN60">
            <v>0</v>
          </cell>
          <cell r="AP60">
            <v>0</v>
          </cell>
          <cell r="AR60">
            <v>0</v>
          </cell>
          <cell r="AT60">
            <v>6.1111918939996182</v>
          </cell>
          <cell r="AV60">
            <v>111.59883667671802</v>
          </cell>
          <cell r="AX60">
            <v>117.71002857071764</v>
          </cell>
          <cell r="AZ60">
            <v>4.6042575212770206E-2</v>
          </cell>
          <cell r="BB60">
            <v>722.31119189399965</v>
          </cell>
          <cell r="BD60">
            <v>122.99883667671803</v>
          </cell>
          <cell r="BF60">
            <v>845.31002857071769</v>
          </cell>
          <cell r="BH60">
            <v>10.563758988225544</v>
          </cell>
          <cell r="BJ60">
            <v>0</v>
          </cell>
          <cell r="BN60">
            <v>0</v>
          </cell>
          <cell r="BP60">
            <v>0</v>
          </cell>
          <cell r="BR60">
            <v>722.31119189399965</v>
          </cell>
          <cell r="BT60">
            <v>122.99883667671803</v>
          </cell>
          <cell r="BV60">
            <v>845.31002857071769</v>
          </cell>
          <cell r="BX60">
            <v>10.563758988225544</v>
          </cell>
          <cell r="CB60">
            <v>11.35159</v>
          </cell>
          <cell r="CD60">
            <v>11.35159</v>
          </cell>
          <cell r="CG60" t="str">
            <v>EKG</v>
          </cell>
          <cell r="CO60" t="str">
            <v>EKG</v>
          </cell>
          <cell r="CP60">
            <v>733.66278189399964</v>
          </cell>
          <cell r="CR60">
            <v>122.99883667671803</v>
          </cell>
          <cell r="CT60">
            <v>856.66161857071768</v>
          </cell>
          <cell r="CV60">
            <v>10.563758988225544</v>
          </cell>
          <cell r="DJ60">
            <v>733.66278189399964</v>
          </cell>
          <cell r="DL60">
            <v>0</v>
          </cell>
        </row>
        <row r="61">
          <cell r="B61" t="str">
            <v>IRC</v>
          </cell>
          <cell r="D61" t="str">
            <v>INVASIVE RADIOLOGY/CARDIOVASCULAR</v>
          </cell>
          <cell r="F61" t="str">
            <v>D31</v>
          </cell>
          <cell r="H61">
            <v>4953151.7226840975</v>
          </cell>
          <cell r="J61">
            <v>615914.75111824193</v>
          </cell>
          <cell r="L61">
            <v>5569066.4738023393</v>
          </cell>
          <cell r="N61">
            <v>40.55487400825006</v>
          </cell>
          <cell r="O61" t="str">
            <v>IRC</v>
          </cell>
          <cell r="P61">
            <v>4953.2</v>
          </cell>
          <cell r="R61">
            <v>615.9</v>
          </cell>
          <cell r="T61">
            <v>5569.0999999999995</v>
          </cell>
          <cell r="AD61">
            <v>4953.2</v>
          </cell>
          <cell r="AF61">
            <v>615.9</v>
          </cell>
          <cell r="AH61">
            <v>5569.0999999999995</v>
          </cell>
          <cell r="AJ61">
            <v>40.55487400825006</v>
          </cell>
          <cell r="AL61">
            <v>0</v>
          </cell>
          <cell r="AN61">
            <v>0</v>
          </cell>
          <cell r="AP61">
            <v>0</v>
          </cell>
          <cell r="AR61">
            <v>0</v>
          </cell>
          <cell r="AT61">
            <v>23.56391896959321</v>
          </cell>
          <cell r="AV61">
            <v>430.30982992582409</v>
          </cell>
          <cell r="AX61">
            <v>453.87374889541729</v>
          </cell>
          <cell r="AZ61">
            <v>0.17753386414365241</v>
          </cell>
          <cell r="BB61">
            <v>4976.7639189695929</v>
          </cell>
          <cell r="BD61">
            <v>1046.2098299258241</v>
          </cell>
          <cell r="BF61">
            <v>6022.973748895417</v>
          </cell>
          <cell r="BH61">
            <v>40.732407872393715</v>
          </cell>
          <cell r="BJ61">
            <v>0</v>
          </cell>
          <cell r="BN61">
            <v>0</v>
          </cell>
          <cell r="BP61">
            <v>0</v>
          </cell>
          <cell r="BR61">
            <v>4976.7639189695929</v>
          </cell>
          <cell r="BT61">
            <v>1046.2098299258241</v>
          </cell>
          <cell r="BV61">
            <v>6022.973748895417</v>
          </cell>
          <cell r="BX61">
            <v>40.732407872393715</v>
          </cell>
          <cell r="CB61">
            <v>43.77017</v>
          </cell>
          <cell r="CD61">
            <v>43.77017</v>
          </cell>
          <cell r="CG61" t="str">
            <v>IRC</v>
          </cell>
          <cell r="CO61" t="str">
            <v>IRC</v>
          </cell>
          <cell r="CP61">
            <v>5020.5340889695926</v>
          </cell>
          <cell r="CR61">
            <v>1046.2098299258241</v>
          </cell>
          <cell r="CT61">
            <v>6066.7439188954168</v>
          </cell>
          <cell r="CV61">
            <v>40.732407872393715</v>
          </cell>
          <cell r="DJ61">
            <v>5020.5340889695926</v>
          </cell>
          <cell r="DL61">
            <v>0</v>
          </cell>
        </row>
        <row r="62">
          <cell r="B62" t="str">
            <v>RAD</v>
          </cell>
          <cell r="D62" t="str">
            <v>RADIOLOGY DIAGNOSTIC</v>
          </cell>
          <cell r="F62" t="str">
            <v>D32</v>
          </cell>
          <cell r="H62">
            <v>3882803.6331418739</v>
          </cell>
          <cell r="J62">
            <v>351828.19049274933</v>
          </cell>
          <cell r="L62">
            <v>4234631.8236346235</v>
          </cell>
          <cell r="N62">
            <v>41.375440664238887</v>
          </cell>
          <cell r="O62" t="str">
            <v>RAD</v>
          </cell>
          <cell r="P62">
            <v>3882.8</v>
          </cell>
          <cell r="R62">
            <v>351.8</v>
          </cell>
          <cell r="T62">
            <v>4234.6000000000004</v>
          </cell>
          <cell r="AD62">
            <v>3882.8</v>
          </cell>
          <cell r="AF62">
            <v>351.8</v>
          </cell>
          <cell r="AH62">
            <v>4234.6000000000004</v>
          </cell>
          <cell r="AJ62">
            <v>41.375440664238887</v>
          </cell>
          <cell r="AL62">
            <v>0</v>
          </cell>
          <cell r="AN62">
            <v>0</v>
          </cell>
          <cell r="AP62">
            <v>0</v>
          </cell>
          <cell r="AR62">
            <v>0</v>
          </cell>
          <cell r="AT62">
            <v>24.040699299053419</v>
          </cell>
          <cell r="AV62">
            <v>439.01649976061447</v>
          </cell>
          <cell r="AX62">
            <v>463.05719905966788</v>
          </cell>
          <cell r="AZ62">
            <v>0.18112599388853823</v>
          </cell>
          <cell r="BB62">
            <v>3906.8406992990535</v>
          </cell>
          <cell r="BD62">
            <v>790.81649976061453</v>
          </cell>
          <cell r="BF62">
            <v>4697.6571990596676</v>
          </cell>
          <cell r="BH62">
            <v>41.556566658127423</v>
          </cell>
          <cell r="BJ62">
            <v>5.0039110754847789</v>
          </cell>
          <cell r="BN62">
            <v>5.0039110754847789</v>
          </cell>
          <cell r="BP62">
            <v>1.515877332773335E-2</v>
          </cell>
          <cell r="BR62">
            <v>3911.8446103745382</v>
          </cell>
          <cell r="BT62">
            <v>790.81649976061453</v>
          </cell>
          <cell r="BV62">
            <v>4702.6611101351527</v>
          </cell>
          <cell r="BX62">
            <v>41.571725431455157</v>
          </cell>
          <cell r="CB62">
            <v>44.672089999999997</v>
          </cell>
          <cell r="CD62">
            <v>44.672089999999997</v>
          </cell>
          <cell r="CG62" t="str">
            <v>RAD</v>
          </cell>
          <cell r="CO62" t="str">
            <v>RAD</v>
          </cell>
          <cell r="CP62">
            <v>3956.5167003745382</v>
          </cell>
          <cell r="CR62">
            <v>790.81649976061453</v>
          </cell>
          <cell r="CT62">
            <v>4747.3332001351528</v>
          </cell>
          <cell r="CV62">
            <v>41.571725431455157</v>
          </cell>
          <cell r="DJ62">
            <v>3951.4965000043621</v>
          </cell>
          <cell r="DL62">
            <v>5.020200370176255</v>
          </cell>
        </row>
        <row r="63">
          <cell r="B63" t="str">
            <v>CAT</v>
          </cell>
          <cell r="D63" t="str">
            <v>CT SCANNER</v>
          </cell>
          <cell r="F63" t="str">
            <v>D33</v>
          </cell>
          <cell r="H63">
            <v>857384.82322950312</v>
          </cell>
          <cell r="J63">
            <v>259702.59758257837</v>
          </cell>
          <cell r="L63">
            <v>1117087.4208120815</v>
          </cell>
          <cell r="N63">
            <v>8.7595071093120538</v>
          </cell>
          <cell r="O63" t="str">
            <v>CAT</v>
          </cell>
          <cell r="P63">
            <v>857.4</v>
          </cell>
          <cell r="R63">
            <v>259.7</v>
          </cell>
          <cell r="T63">
            <v>1117.0999999999999</v>
          </cell>
          <cell r="AD63">
            <v>857.4</v>
          </cell>
          <cell r="AF63">
            <v>259.7</v>
          </cell>
          <cell r="AH63">
            <v>1117.0999999999999</v>
          </cell>
          <cell r="AJ63">
            <v>8.7595071093120538</v>
          </cell>
          <cell r="AL63">
            <v>0</v>
          </cell>
          <cell r="AN63">
            <v>0</v>
          </cell>
          <cell r="AP63">
            <v>0</v>
          </cell>
          <cell r="AR63">
            <v>0</v>
          </cell>
          <cell r="AT63">
            <v>5.0896056463007469</v>
          </cell>
          <cell r="AV63">
            <v>92.943255443854412</v>
          </cell>
          <cell r="AX63">
            <v>98.032861090155166</v>
          </cell>
          <cell r="AZ63">
            <v>3.8345801414488637E-2</v>
          </cell>
          <cell r="BB63">
            <v>862.48960564630067</v>
          </cell>
          <cell r="BD63">
            <v>352.6432554438544</v>
          </cell>
          <cell r="BF63">
            <v>1215.1328610901551</v>
          </cell>
          <cell r="BH63">
            <v>8.797852910726542</v>
          </cell>
          <cell r="BJ63">
            <v>0</v>
          </cell>
          <cell r="BN63">
            <v>0</v>
          </cell>
          <cell r="BP63">
            <v>0</v>
          </cell>
          <cell r="BR63">
            <v>862.48960564630067</v>
          </cell>
          <cell r="BT63">
            <v>352.6432554438544</v>
          </cell>
          <cell r="BV63">
            <v>1215.1328610901551</v>
          </cell>
          <cell r="BX63">
            <v>8.797852910726542</v>
          </cell>
          <cell r="CB63">
            <v>9.4539799999999996</v>
          </cell>
          <cell r="CD63">
            <v>9.4539799999999996</v>
          </cell>
          <cell r="CG63" t="str">
            <v>CAT</v>
          </cell>
          <cell r="CO63" t="str">
            <v>CT</v>
          </cell>
          <cell r="CP63">
            <v>871.94358564630068</v>
          </cell>
          <cell r="CR63">
            <v>352.6432554438544</v>
          </cell>
          <cell r="CT63">
            <v>1224.5868410901551</v>
          </cell>
          <cell r="CV63">
            <v>8.797852910726542</v>
          </cell>
          <cell r="DJ63">
            <v>871.94358564630068</v>
          </cell>
          <cell r="DL63">
            <v>0</v>
          </cell>
        </row>
        <row r="64">
          <cell r="B64" t="str">
            <v>RAT</v>
          </cell>
          <cell r="D64" t="str">
            <v>RADIOLOGY THERAPEUTIC</v>
          </cell>
          <cell r="F64" t="str">
            <v>D34</v>
          </cell>
          <cell r="H64">
            <v>1380471.6973430191</v>
          </cell>
          <cell r="J64">
            <v>906812.43000000017</v>
          </cell>
          <cell r="L64">
            <v>2287284.1273430195</v>
          </cell>
          <cell r="N64">
            <v>5.5066105769230766</v>
          </cell>
          <cell r="O64" t="str">
            <v>RAT</v>
          </cell>
          <cell r="P64">
            <v>1380.5</v>
          </cell>
          <cell r="R64">
            <v>906.8</v>
          </cell>
          <cell r="T64">
            <v>2287.3000000000002</v>
          </cell>
          <cell r="AD64">
            <v>1380.5</v>
          </cell>
          <cell r="AF64">
            <v>906.8</v>
          </cell>
          <cell r="AH64">
            <v>2287.3000000000002</v>
          </cell>
          <cell r="AJ64">
            <v>5.5066105769230766</v>
          </cell>
          <cell r="AL64">
            <v>0</v>
          </cell>
          <cell r="AN64">
            <v>0</v>
          </cell>
          <cell r="AP64">
            <v>0</v>
          </cell>
          <cell r="AR64">
            <v>0</v>
          </cell>
          <cell r="AT64">
            <v>3.1995494648885812</v>
          </cell>
          <cell r="AV64">
            <v>58.428209155365074</v>
          </cell>
          <cell r="AX64">
            <v>61.627758620253658</v>
          </cell>
          <cell r="AZ64">
            <v>2.4105853561684997E-2</v>
          </cell>
          <cell r="BB64">
            <v>1383.6995494648886</v>
          </cell>
          <cell r="BD64">
            <v>965.22820915536499</v>
          </cell>
          <cell r="BF64">
            <v>2348.9277586202534</v>
          </cell>
          <cell r="BH64">
            <v>5.5307164304847616</v>
          </cell>
          <cell r="BJ64">
            <v>0</v>
          </cell>
          <cell r="BN64">
            <v>0</v>
          </cell>
          <cell r="BP64">
            <v>0</v>
          </cell>
          <cell r="BR64">
            <v>1383.6995494648886</v>
          </cell>
          <cell r="BT64">
            <v>965.22820915536499</v>
          </cell>
          <cell r="BV64">
            <v>2348.9277586202534</v>
          </cell>
          <cell r="BX64">
            <v>5.5307164304847616</v>
          </cell>
          <cell r="CB64">
            <v>5.9431900000000004</v>
          </cell>
          <cell r="CD64">
            <v>5.9431900000000004</v>
          </cell>
          <cell r="CG64" t="str">
            <v>RAT</v>
          </cell>
          <cell r="CO64" t="str">
            <v>RAT</v>
          </cell>
          <cell r="CP64">
            <v>1389.6427394648886</v>
          </cell>
          <cell r="CR64">
            <v>965.22820915536499</v>
          </cell>
          <cell r="CT64">
            <v>2354.8709486202533</v>
          </cell>
          <cell r="CV64">
            <v>5.5307164304847616</v>
          </cell>
          <cell r="DJ64">
            <v>1389.6427394648886</v>
          </cell>
          <cell r="DL64">
            <v>0</v>
          </cell>
        </row>
        <row r="65">
          <cell r="B65" t="str">
            <v>NUC</v>
          </cell>
          <cell r="D65" t="str">
            <v>NUCLEAR MEDICINE</v>
          </cell>
          <cell r="F65" t="str">
            <v>D35</v>
          </cell>
          <cell r="H65">
            <v>482740.75151204836</v>
          </cell>
          <cell r="J65">
            <v>2141852.3861803403</v>
          </cell>
          <cell r="L65">
            <v>2624593.1376923886</v>
          </cell>
          <cell r="N65">
            <v>5.9117765292077333</v>
          </cell>
          <cell r="O65" t="str">
            <v>NUC</v>
          </cell>
          <cell r="P65">
            <v>482.7</v>
          </cell>
          <cell r="R65">
            <v>2141.9</v>
          </cell>
          <cell r="T65">
            <v>2624.6</v>
          </cell>
          <cell r="AD65">
            <v>482.7</v>
          </cell>
          <cell r="AF65">
            <v>2141.9</v>
          </cell>
          <cell r="AH65">
            <v>2624.6</v>
          </cell>
          <cell r="AJ65">
            <v>5.9117765292077333</v>
          </cell>
          <cell r="AL65">
            <v>0</v>
          </cell>
          <cell r="AN65">
            <v>0</v>
          </cell>
          <cell r="AP65">
            <v>0</v>
          </cell>
          <cell r="AR65">
            <v>0</v>
          </cell>
          <cell r="AT65">
            <v>3.434966240364977</v>
          </cell>
          <cell r="AV65">
            <v>62.727245862614566</v>
          </cell>
          <cell r="AX65">
            <v>66.162212102979538</v>
          </cell>
          <cell r="AZ65">
            <v>2.587951650325658E-2</v>
          </cell>
          <cell r="BB65">
            <v>486.13496624036497</v>
          </cell>
          <cell r="BD65">
            <v>2204.6272458626145</v>
          </cell>
          <cell r="BF65">
            <v>2690.7622121029794</v>
          </cell>
          <cell r="BH65">
            <v>5.9376560457109901</v>
          </cell>
          <cell r="BJ65">
            <v>0</v>
          </cell>
          <cell r="BN65">
            <v>0</v>
          </cell>
          <cell r="BP65">
            <v>0</v>
          </cell>
          <cell r="BR65">
            <v>486.13496624036497</v>
          </cell>
          <cell r="BT65">
            <v>2204.6272458626145</v>
          </cell>
          <cell r="BV65">
            <v>2690.7622121029794</v>
          </cell>
          <cell r="BX65">
            <v>5.9376560457109901</v>
          </cell>
          <cell r="CB65">
            <v>6.3804800000000004</v>
          </cell>
          <cell r="CD65">
            <v>6.3804800000000004</v>
          </cell>
          <cell r="CG65" t="str">
            <v>NUC</v>
          </cell>
          <cell r="CO65" t="str">
            <v>NUC</v>
          </cell>
          <cell r="CP65">
            <v>492.51544624036495</v>
          </cell>
          <cell r="CR65">
            <v>2204.6272458626145</v>
          </cell>
          <cell r="CT65">
            <v>2697.1426921029793</v>
          </cell>
          <cell r="CV65">
            <v>5.9376560457109901</v>
          </cell>
          <cell r="DJ65">
            <v>492.51544624036495</v>
          </cell>
          <cell r="DL65">
            <v>0</v>
          </cell>
        </row>
        <row r="66">
          <cell r="B66" t="str">
            <v>RES</v>
          </cell>
          <cell r="D66" t="str">
            <v>RESPIRATORY THERAPY</v>
          </cell>
          <cell r="F66" t="str">
            <v>D36</v>
          </cell>
          <cell r="H66">
            <v>2365263.0104284957</v>
          </cell>
          <cell r="J66">
            <v>115744.93</v>
          </cell>
          <cell r="L66">
            <v>2481007.9404284959</v>
          </cell>
          <cell r="N66">
            <v>25.454692307692309</v>
          </cell>
          <cell r="O66" t="str">
            <v>RES</v>
          </cell>
          <cell r="P66">
            <v>2365.3000000000002</v>
          </cell>
          <cell r="R66">
            <v>115.7</v>
          </cell>
          <cell r="T66">
            <v>2481</v>
          </cell>
          <cell r="AD66">
            <v>2365.3000000000002</v>
          </cell>
          <cell r="AF66">
            <v>115.7</v>
          </cell>
          <cell r="AH66">
            <v>2481</v>
          </cell>
          <cell r="AJ66">
            <v>25.454692307692309</v>
          </cell>
          <cell r="AL66">
            <v>0</v>
          </cell>
          <cell r="AN66">
            <v>0</v>
          </cell>
          <cell r="AP66">
            <v>0</v>
          </cell>
          <cell r="AR66">
            <v>0</v>
          </cell>
          <cell r="AT66">
            <v>14.790141052154906</v>
          </cell>
          <cell r="AV66">
            <v>270.0884809926672</v>
          </cell>
          <cell r="AX66">
            <v>284.87862204482212</v>
          </cell>
          <cell r="AZ66">
            <v>0.11143099310462679</v>
          </cell>
          <cell r="BB66">
            <v>2380.0901410521551</v>
          </cell>
          <cell r="BD66">
            <v>385.78848099266719</v>
          </cell>
          <cell r="BF66">
            <v>2765.8786220448224</v>
          </cell>
          <cell r="BH66">
            <v>25.566123300796935</v>
          </cell>
          <cell r="BJ66">
            <v>0</v>
          </cell>
          <cell r="BN66">
            <v>0</v>
          </cell>
          <cell r="BP66">
            <v>0</v>
          </cell>
          <cell r="BR66">
            <v>2380.0901410521551</v>
          </cell>
          <cell r="BT66">
            <v>385.78848099266719</v>
          </cell>
          <cell r="BV66">
            <v>2765.8786220448224</v>
          </cell>
          <cell r="BX66">
            <v>25.566123300796935</v>
          </cell>
          <cell r="CB66">
            <v>27.472809999999999</v>
          </cell>
          <cell r="CD66">
            <v>27.472809999999999</v>
          </cell>
          <cell r="CG66" t="str">
            <v>RES</v>
          </cell>
          <cell r="CO66" t="str">
            <v>RES</v>
          </cell>
          <cell r="CP66">
            <v>2407.5629510521553</v>
          </cell>
          <cell r="CR66">
            <v>385.78848099266719</v>
          </cell>
          <cell r="CT66">
            <v>2793.3514320448226</v>
          </cell>
          <cell r="CV66">
            <v>25.566123300796935</v>
          </cell>
          <cell r="DJ66">
            <v>2407.5629510521553</v>
          </cell>
          <cell r="DL66">
            <v>0</v>
          </cell>
        </row>
        <row r="67">
          <cell r="B67" t="str">
            <v>PUL</v>
          </cell>
          <cell r="D67" t="str">
            <v>PULMONARY FUNCTION</v>
          </cell>
          <cell r="F67" t="str">
            <v>D37</v>
          </cell>
          <cell r="H67">
            <v>121368.30246640104</v>
          </cell>
          <cell r="J67">
            <v>6940.1097150610585</v>
          </cell>
          <cell r="L67">
            <v>128308.4121814621</v>
          </cell>
          <cell r="N67">
            <v>1.2094179618128336</v>
          </cell>
          <cell r="O67" t="str">
            <v>PUL</v>
          </cell>
          <cell r="P67">
            <v>121.4</v>
          </cell>
          <cell r="R67">
            <v>6.9</v>
          </cell>
          <cell r="T67">
            <v>128.30000000000001</v>
          </cell>
          <cell r="AD67">
            <v>121.4</v>
          </cell>
          <cell r="AF67">
            <v>6.9</v>
          </cell>
          <cell r="AH67">
            <v>128.30000000000001</v>
          </cell>
          <cell r="AJ67">
            <v>1.2094179618128336</v>
          </cell>
          <cell r="AL67">
            <v>0</v>
          </cell>
          <cell r="AN67">
            <v>0</v>
          </cell>
          <cell r="AP67">
            <v>0</v>
          </cell>
          <cell r="AR67">
            <v>0</v>
          </cell>
          <cell r="AT67">
            <v>0.70271767696111498</v>
          </cell>
          <cell r="AV67">
            <v>12.832599044717719</v>
          </cell>
          <cell r="AX67">
            <v>13.535316721678834</v>
          </cell>
          <cell r="AZ67">
            <v>5.2943733490996344E-3</v>
          </cell>
          <cell r="BB67">
            <v>122.10271767696112</v>
          </cell>
          <cell r="BD67">
            <v>19.73259904471772</v>
          </cell>
          <cell r="BF67">
            <v>141.83531672167885</v>
          </cell>
          <cell r="BH67">
            <v>1.2147123351619331</v>
          </cell>
          <cell r="BJ67">
            <v>0</v>
          </cell>
          <cell r="BN67">
            <v>0</v>
          </cell>
          <cell r="BP67">
            <v>0</v>
          </cell>
          <cell r="BR67">
            <v>122.10271767696112</v>
          </cell>
          <cell r="BT67">
            <v>19.73259904471772</v>
          </cell>
          <cell r="BV67">
            <v>141.83531672167885</v>
          </cell>
          <cell r="BX67">
            <v>1.2147123351619331</v>
          </cell>
          <cell r="CB67">
            <v>1.3052999999999999</v>
          </cell>
          <cell r="CD67">
            <v>1.3052999999999999</v>
          </cell>
          <cell r="CG67" t="str">
            <v>PUL</v>
          </cell>
          <cell r="CO67" t="str">
            <v>PUL</v>
          </cell>
          <cell r="CP67">
            <v>123.40801767696112</v>
          </cell>
          <cell r="CR67">
            <v>19.73259904471772</v>
          </cell>
          <cell r="CT67">
            <v>143.14061672167884</v>
          </cell>
          <cell r="CV67">
            <v>1.2147123351619331</v>
          </cell>
          <cell r="DJ67">
            <v>123.40801767696112</v>
          </cell>
          <cell r="DL67">
            <v>0</v>
          </cell>
        </row>
        <row r="68">
          <cell r="B68" t="str">
            <v>EEG</v>
          </cell>
          <cell r="D68" t="str">
            <v>ELECTROENCEPHALOGRAPHY</v>
          </cell>
          <cell r="F68" t="str">
            <v>D38</v>
          </cell>
          <cell r="H68">
            <v>331175.98710951238</v>
          </cell>
          <cell r="J68">
            <v>16024.740000000003</v>
          </cell>
          <cell r="L68">
            <v>347200.72710951237</v>
          </cell>
          <cell r="N68">
            <v>3.3504035087719295</v>
          </cell>
          <cell r="O68" t="str">
            <v>EEG</v>
          </cell>
          <cell r="P68">
            <v>331.2</v>
          </cell>
          <cell r="R68">
            <v>16</v>
          </cell>
          <cell r="T68">
            <v>347.2</v>
          </cell>
          <cell r="AD68">
            <v>331.2</v>
          </cell>
          <cell r="AF68">
            <v>16</v>
          </cell>
          <cell r="AH68">
            <v>347.2</v>
          </cell>
          <cell r="AJ68">
            <v>3.3504035087719295</v>
          </cell>
          <cell r="AL68">
            <v>0</v>
          </cell>
          <cell r="AN68">
            <v>0</v>
          </cell>
          <cell r="AP68">
            <v>0</v>
          </cell>
          <cell r="AR68">
            <v>0</v>
          </cell>
          <cell r="AT68">
            <v>1.9467114305442559</v>
          </cell>
          <cell r="AV68">
            <v>35.549649685738061</v>
          </cell>
          <cell r="AX68">
            <v>37.496361116282316</v>
          </cell>
          <cell r="AZ68">
            <v>1.4666796430725692E-2</v>
          </cell>
          <cell r="BB68">
            <v>333.14671143054426</v>
          </cell>
          <cell r="BD68">
            <v>51.549649685738061</v>
          </cell>
          <cell r="BF68">
            <v>384.69636111628233</v>
          </cell>
          <cell r="BH68">
            <v>3.3650703052026554</v>
          </cell>
          <cell r="BJ68">
            <v>0</v>
          </cell>
          <cell r="BN68">
            <v>0</v>
          </cell>
          <cell r="BP68">
            <v>0</v>
          </cell>
          <cell r="BR68">
            <v>333.14671143054426</v>
          </cell>
          <cell r="BT68">
            <v>51.549649685738061</v>
          </cell>
          <cell r="BV68">
            <v>384.69636111628233</v>
          </cell>
          <cell r="BX68">
            <v>3.3650703052026554</v>
          </cell>
          <cell r="CB68">
            <v>3.6160299999999999</v>
          </cell>
          <cell r="CD68">
            <v>3.6160299999999999</v>
          </cell>
          <cell r="CG68" t="str">
            <v>EEG</v>
          </cell>
          <cell r="CO68" t="str">
            <v>EEG</v>
          </cell>
          <cell r="CP68">
            <v>336.76274143054428</v>
          </cell>
          <cell r="CR68">
            <v>51.549649685738061</v>
          </cell>
          <cell r="CT68">
            <v>388.31239111628236</v>
          </cell>
          <cell r="CV68">
            <v>3.3650703052026554</v>
          </cell>
          <cell r="DJ68">
            <v>336.76274143054428</v>
          </cell>
          <cell r="DL68">
            <v>0</v>
          </cell>
        </row>
        <row r="69">
          <cell r="B69" t="str">
            <v>PTH</v>
          </cell>
          <cell r="D69" t="str">
            <v>PHYSICAL THERAPY</v>
          </cell>
          <cell r="F69" t="str">
            <v>D39</v>
          </cell>
          <cell r="H69">
            <v>1557235.7452897704</v>
          </cell>
          <cell r="J69">
            <v>76249.032891193056</v>
          </cell>
          <cell r="L69">
            <v>1633484.7781809634</v>
          </cell>
          <cell r="N69">
            <v>13.375576654680829</v>
          </cell>
          <cell r="O69" t="str">
            <v>PTH</v>
          </cell>
          <cell r="P69">
            <v>1557.2</v>
          </cell>
          <cell r="R69">
            <v>76.2</v>
          </cell>
          <cell r="T69">
            <v>1633.4</v>
          </cell>
          <cell r="AD69">
            <v>1557.2</v>
          </cell>
          <cell r="AF69">
            <v>76.2</v>
          </cell>
          <cell r="AH69">
            <v>1633.4</v>
          </cell>
          <cell r="AJ69">
            <v>13.375576654680829</v>
          </cell>
          <cell r="AL69">
            <v>0</v>
          </cell>
          <cell r="AN69">
            <v>0</v>
          </cell>
          <cell r="AP69">
            <v>0</v>
          </cell>
          <cell r="AR69">
            <v>0</v>
          </cell>
          <cell r="AT69">
            <v>7.7717170172533292</v>
          </cell>
          <cell r="AV69">
            <v>141.92232761627281</v>
          </cell>
          <cell r="AX69">
            <v>149.69404463352615</v>
          </cell>
          <cell r="AZ69">
            <v>5.8553203942195653E-2</v>
          </cell>
          <cell r="BB69">
            <v>1564.9717170172535</v>
          </cell>
          <cell r="BD69">
            <v>218.1223276162728</v>
          </cell>
          <cell r="BF69">
            <v>1783.0940446335262</v>
          </cell>
          <cell r="BH69">
            <v>13.434129858623026</v>
          </cell>
          <cell r="BJ69">
            <v>0</v>
          </cell>
          <cell r="BN69">
            <v>0</v>
          </cell>
          <cell r="BP69">
            <v>0</v>
          </cell>
          <cell r="BR69">
            <v>1564.9717170172535</v>
          </cell>
          <cell r="BT69">
            <v>218.1223276162728</v>
          </cell>
          <cell r="BV69">
            <v>1783.0940446335262</v>
          </cell>
          <cell r="BX69">
            <v>13.434129858623026</v>
          </cell>
          <cell r="CB69">
            <v>14.436030000000001</v>
          </cell>
          <cell r="CD69">
            <v>14.436030000000001</v>
          </cell>
          <cell r="CG69" t="str">
            <v>PTH</v>
          </cell>
          <cell r="CO69" t="str">
            <v>PTH</v>
          </cell>
          <cell r="CP69">
            <v>1579.4077470172535</v>
          </cell>
          <cell r="CR69">
            <v>218.1223276162728</v>
          </cell>
          <cell r="CT69">
            <v>1797.5300746335263</v>
          </cell>
          <cell r="CV69">
            <v>13.434129858623026</v>
          </cell>
          <cell r="DJ69">
            <v>1579.4077470172535</v>
          </cell>
          <cell r="DL69">
            <v>0</v>
          </cell>
        </row>
        <row r="70">
          <cell r="B70" t="str">
            <v>OTH</v>
          </cell>
          <cell r="D70" t="str">
            <v>OCCUPATIONAL THERAPY</v>
          </cell>
          <cell r="F70" t="str">
            <v>D40</v>
          </cell>
          <cell r="H70">
            <v>1398910.1875309795</v>
          </cell>
          <cell r="J70">
            <v>58523.497203321684</v>
          </cell>
          <cell r="L70">
            <v>1457433.6847343012</v>
          </cell>
          <cell r="N70">
            <v>13.911778846153846</v>
          </cell>
          <cell r="O70" t="str">
            <v>OTH</v>
          </cell>
          <cell r="P70">
            <v>1398.9</v>
          </cell>
          <cell r="R70">
            <v>58.5</v>
          </cell>
          <cell r="T70">
            <v>1457.4</v>
          </cell>
          <cell r="AD70">
            <v>1398.9</v>
          </cell>
          <cell r="AF70">
            <v>58.5</v>
          </cell>
          <cell r="AH70">
            <v>1457.4</v>
          </cell>
          <cell r="AJ70">
            <v>13.911778846153846</v>
          </cell>
          <cell r="AL70">
            <v>0</v>
          </cell>
          <cell r="AN70">
            <v>0</v>
          </cell>
          <cell r="AP70">
            <v>0</v>
          </cell>
          <cell r="AR70">
            <v>0</v>
          </cell>
          <cell r="AT70">
            <v>8.0832708144274523</v>
          </cell>
          <cell r="AV70">
            <v>147.61173189778208</v>
          </cell>
          <cell r="AX70">
            <v>155.69500271220954</v>
          </cell>
          <cell r="AZ70">
            <v>6.0900493863380804E-2</v>
          </cell>
          <cell r="BB70">
            <v>1406.9832708144274</v>
          </cell>
          <cell r="BD70">
            <v>206.11173189778208</v>
          </cell>
          <cell r="BF70">
            <v>1613.0950027122094</v>
          </cell>
          <cell r="BH70">
            <v>13.972679340017226</v>
          </cell>
          <cell r="BJ70">
            <v>0</v>
          </cell>
          <cell r="BN70">
            <v>0</v>
          </cell>
          <cell r="BP70">
            <v>0</v>
          </cell>
          <cell r="BR70">
            <v>1406.9832708144274</v>
          </cell>
          <cell r="BT70">
            <v>206.11173189778208</v>
          </cell>
          <cell r="BV70">
            <v>1613.0950027122094</v>
          </cell>
          <cell r="BX70">
            <v>13.972679340017226</v>
          </cell>
          <cell r="CB70">
            <v>15.01474</v>
          </cell>
          <cell r="CD70">
            <v>15.01474</v>
          </cell>
          <cell r="CG70" t="str">
            <v>OTH</v>
          </cell>
          <cell r="CO70" t="str">
            <v>OTH</v>
          </cell>
          <cell r="CP70">
            <v>1421.9980108144275</v>
          </cell>
          <cell r="CR70">
            <v>206.11173189778208</v>
          </cell>
          <cell r="CT70">
            <v>1628.1097427122095</v>
          </cell>
          <cell r="CV70">
            <v>13.972679340017226</v>
          </cell>
          <cell r="DJ70">
            <v>1421.9980108144275</v>
          </cell>
          <cell r="DL70">
            <v>0</v>
          </cell>
        </row>
        <row r="71">
          <cell r="B71" t="str">
            <v>STH</v>
          </cell>
          <cell r="D71" t="str">
            <v>SPEECH LANGUAGE PATHOLOGY</v>
          </cell>
          <cell r="F71" t="str">
            <v>D41</v>
          </cell>
          <cell r="H71">
            <v>213999.58535357102</v>
          </cell>
          <cell r="J71">
            <v>1664.1</v>
          </cell>
          <cell r="L71">
            <v>215663.68535357103</v>
          </cell>
          <cell r="N71">
            <v>1.4227163461538461</v>
          </cell>
          <cell r="O71" t="str">
            <v>STH</v>
          </cell>
          <cell r="P71">
            <v>214</v>
          </cell>
          <cell r="R71">
            <v>1.7</v>
          </cell>
          <cell r="T71">
            <v>215.7</v>
          </cell>
          <cell r="AD71">
            <v>214</v>
          </cell>
          <cell r="AF71">
            <v>1.7</v>
          </cell>
          <cell r="AH71">
            <v>215.7</v>
          </cell>
          <cell r="AJ71">
            <v>1.4227163461538461</v>
          </cell>
          <cell r="AL71">
            <v>0</v>
          </cell>
          <cell r="AN71">
            <v>0</v>
          </cell>
          <cell r="AP71">
            <v>0</v>
          </cell>
          <cell r="AR71">
            <v>0</v>
          </cell>
          <cell r="AT71">
            <v>0.82665212301399404</v>
          </cell>
          <cell r="AV71">
            <v>15.095813855114187</v>
          </cell>
          <cell r="AX71">
            <v>15.922465978128182</v>
          </cell>
          <cell r="AZ71">
            <v>6.2281128147913421E-3</v>
          </cell>
          <cell r="BB71">
            <v>214.82665212301399</v>
          </cell>
          <cell r="BD71">
            <v>16.795813855114186</v>
          </cell>
          <cell r="BF71">
            <v>231.62246597812816</v>
          </cell>
          <cell r="BH71">
            <v>1.4289444589686375</v>
          </cell>
          <cell r="BJ71">
            <v>0</v>
          </cell>
          <cell r="BN71">
            <v>0</v>
          </cell>
          <cell r="BP71">
            <v>0</v>
          </cell>
          <cell r="BR71">
            <v>214.82665212301399</v>
          </cell>
          <cell r="BT71">
            <v>16.795813855114186</v>
          </cell>
          <cell r="BV71">
            <v>231.62246597812816</v>
          </cell>
          <cell r="BX71">
            <v>1.4289444589686375</v>
          </cell>
          <cell r="CB71">
            <v>1.5355099999999999</v>
          </cell>
          <cell r="CD71">
            <v>1.5355099999999999</v>
          </cell>
          <cell r="CG71" t="str">
            <v>STH</v>
          </cell>
          <cell r="CO71" t="str">
            <v>STH</v>
          </cell>
          <cell r="CP71">
            <v>216.36216212301397</v>
          </cell>
          <cell r="CR71">
            <v>16.795813855114186</v>
          </cell>
          <cell r="CT71">
            <v>233.15797597812815</v>
          </cell>
          <cell r="CV71">
            <v>1.4289444589686375</v>
          </cell>
          <cell r="DJ71">
            <v>216.36216212301397</v>
          </cell>
          <cell r="DL71">
            <v>0</v>
          </cell>
        </row>
        <row r="72">
          <cell r="B72" t="str">
            <v>REC</v>
          </cell>
          <cell r="D72" t="str">
            <v>RECREATIONAL THERAPY</v>
          </cell>
          <cell r="F72" t="str">
            <v>D42</v>
          </cell>
          <cell r="H72">
            <v>0</v>
          </cell>
          <cell r="J72">
            <v>0</v>
          </cell>
          <cell r="L72">
            <v>0</v>
          </cell>
          <cell r="N72">
            <v>0</v>
          </cell>
          <cell r="O72" t="str">
            <v>REC</v>
          </cell>
          <cell r="P72">
            <v>0</v>
          </cell>
          <cell r="R72">
            <v>0</v>
          </cell>
          <cell r="T72">
            <v>0</v>
          </cell>
          <cell r="AD72">
            <v>0</v>
          </cell>
          <cell r="AF72">
            <v>0</v>
          </cell>
          <cell r="AH72">
            <v>0</v>
          </cell>
          <cell r="AJ72">
            <v>0</v>
          </cell>
          <cell r="AL72">
            <v>0</v>
          </cell>
          <cell r="AN72">
            <v>0</v>
          </cell>
          <cell r="AP72">
            <v>0</v>
          </cell>
          <cell r="AR72">
            <v>0</v>
          </cell>
          <cell r="AT72">
            <v>0</v>
          </cell>
          <cell r="AV72">
            <v>0</v>
          </cell>
          <cell r="AX72">
            <v>0</v>
          </cell>
          <cell r="AZ72">
            <v>0</v>
          </cell>
          <cell r="BB72">
            <v>0</v>
          </cell>
          <cell r="BD72">
            <v>0</v>
          </cell>
          <cell r="BF72">
            <v>0</v>
          </cell>
          <cell r="BH72">
            <v>0</v>
          </cell>
          <cell r="BJ72">
            <v>0</v>
          </cell>
          <cell r="BN72">
            <v>0</v>
          </cell>
          <cell r="BP72">
            <v>0</v>
          </cell>
          <cell r="BR72">
            <v>0</v>
          </cell>
          <cell r="BT72">
            <v>0</v>
          </cell>
          <cell r="BV72">
            <v>0</v>
          </cell>
          <cell r="BX72">
            <v>0</v>
          </cell>
          <cell r="CB72">
            <v>0</v>
          </cell>
          <cell r="CD72">
            <v>0</v>
          </cell>
          <cell r="CG72" t="str">
            <v>REC</v>
          </cell>
          <cell r="CO72" t="str">
            <v>REC</v>
          </cell>
          <cell r="CP72">
            <v>0</v>
          </cell>
          <cell r="CR72">
            <v>0</v>
          </cell>
          <cell r="CT72">
            <v>0</v>
          </cell>
          <cell r="CV72">
            <v>0</v>
          </cell>
          <cell r="DJ72">
            <v>0</v>
          </cell>
          <cell r="DL72">
            <v>0</v>
          </cell>
        </row>
        <row r="73">
          <cell r="B73" t="str">
            <v>AUD</v>
          </cell>
          <cell r="D73" t="str">
            <v>AUDIOLOGY</v>
          </cell>
          <cell r="F73" t="str">
            <v>D43</v>
          </cell>
          <cell r="H73">
            <v>0</v>
          </cell>
          <cell r="J73">
            <v>91450</v>
          </cell>
          <cell r="L73">
            <v>91450</v>
          </cell>
          <cell r="N73">
            <v>0</v>
          </cell>
          <cell r="O73" t="str">
            <v>AUD</v>
          </cell>
          <cell r="P73">
            <v>0</v>
          </cell>
          <cell r="R73">
            <v>91.5</v>
          </cell>
          <cell r="T73">
            <v>91.5</v>
          </cell>
          <cell r="AD73">
            <v>0</v>
          </cell>
          <cell r="AF73">
            <v>91.5</v>
          </cell>
          <cell r="AH73">
            <v>91.5</v>
          </cell>
          <cell r="AJ73">
            <v>0</v>
          </cell>
          <cell r="AL73">
            <v>0</v>
          </cell>
          <cell r="AN73">
            <v>0</v>
          </cell>
          <cell r="AP73">
            <v>0</v>
          </cell>
          <cell r="AR73">
            <v>0</v>
          </cell>
          <cell r="AT73">
            <v>0</v>
          </cell>
          <cell r="AV73">
            <v>0</v>
          </cell>
          <cell r="AX73">
            <v>0</v>
          </cell>
          <cell r="AZ73">
            <v>0</v>
          </cell>
          <cell r="BB73">
            <v>0</v>
          </cell>
          <cell r="BD73">
            <v>91.5</v>
          </cell>
          <cell r="BF73">
            <v>91.5</v>
          </cell>
          <cell r="BH73">
            <v>0</v>
          </cell>
          <cell r="BJ73">
            <v>0</v>
          </cell>
          <cell r="BN73">
            <v>0</v>
          </cell>
          <cell r="BP73">
            <v>0</v>
          </cell>
          <cell r="BR73">
            <v>0</v>
          </cell>
          <cell r="BT73">
            <v>91.5</v>
          </cell>
          <cell r="BV73">
            <v>91.5</v>
          </cell>
          <cell r="BX73">
            <v>0</v>
          </cell>
          <cell r="CB73">
            <v>0</v>
          </cell>
          <cell r="CD73">
            <v>0</v>
          </cell>
          <cell r="CG73" t="str">
            <v>AUD</v>
          </cell>
          <cell r="CO73" t="str">
            <v>AUD</v>
          </cell>
          <cell r="CP73">
            <v>0</v>
          </cell>
          <cell r="CR73">
            <v>91.5</v>
          </cell>
          <cell r="CT73">
            <v>91.5</v>
          </cell>
          <cell r="CV73">
            <v>0</v>
          </cell>
          <cell r="DJ73">
            <v>0</v>
          </cell>
          <cell r="DL73">
            <v>0</v>
          </cell>
        </row>
        <row r="74">
          <cell r="B74" t="str">
            <v>OPM</v>
          </cell>
          <cell r="D74" t="str">
            <v>OTHER PHYSICAL MEDICINE</v>
          </cell>
          <cell r="F74" t="str">
            <v>D44</v>
          </cell>
          <cell r="H74">
            <v>0</v>
          </cell>
          <cell r="J74">
            <v>0</v>
          </cell>
          <cell r="L74">
            <v>0</v>
          </cell>
          <cell r="N74">
            <v>0</v>
          </cell>
          <cell r="O74" t="str">
            <v>OPM</v>
          </cell>
          <cell r="P74">
            <v>0</v>
          </cell>
          <cell r="R74">
            <v>0</v>
          </cell>
          <cell r="T74">
            <v>0</v>
          </cell>
          <cell r="AD74">
            <v>0</v>
          </cell>
          <cell r="AF74">
            <v>0</v>
          </cell>
          <cell r="AH74">
            <v>0</v>
          </cell>
          <cell r="AJ74">
            <v>0</v>
          </cell>
          <cell r="AL74">
            <v>0</v>
          </cell>
          <cell r="AN74">
            <v>0</v>
          </cell>
          <cell r="AP74">
            <v>0</v>
          </cell>
          <cell r="AR74">
            <v>0</v>
          </cell>
          <cell r="AT74">
            <v>0</v>
          </cell>
          <cell r="AV74">
            <v>0</v>
          </cell>
          <cell r="AX74">
            <v>0</v>
          </cell>
          <cell r="AZ74">
            <v>0</v>
          </cell>
          <cell r="BB74">
            <v>0</v>
          </cell>
          <cell r="BD74">
            <v>0</v>
          </cell>
          <cell r="BF74">
            <v>0</v>
          </cell>
          <cell r="BH74">
            <v>0</v>
          </cell>
          <cell r="BJ74">
            <v>0</v>
          </cell>
          <cell r="BN74">
            <v>0</v>
          </cell>
          <cell r="BP74">
            <v>0</v>
          </cell>
          <cell r="BR74">
            <v>0</v>
          </cell>
          <cell r="BT74">
            <v>0</v>
          </cell>
          <cell r="BV74">
            <v>0</v>
          </cell>
          <cell r="BX74">
            <v>0</v>
          </cell>
          <cell r="CB74">
            <v>0</v>
          </cell>
          <cell r="CD74">
            <v>0</v>
          </cell>
          <cell r="CG74" t="str">
            <v>OPM</v>
          </cell>
          <cell r="CO74" t="str">
            <v>OPM</v>
          </cell>
          <cell r="CP74">
            <v>0</v>
          </cell>
          <cell r="CR74">
            <v>0</v>
          </cell>
          <cell r="CT74">
            <v>0</v>
          </cell>
          <cell r="CV74">
            <v>0</v>
          </cell>
          <cell r="DJ74">
            <v>0</v>
          </cell>
          <cell r="DL74">
            <v>0</v>
          </cell>
        </row>
        <row r="75">
          <cell r="B75" t="str">
            <v>RDL</v>
          </cell>
          <cell r="D75" t="str">
            <v>RENAL DIALYSIS</v>
          </cell>
          <cell r="F75" t="str">
            <v>D45</v>
          </cell>
          <cell r="H75">
            <v>0</v>
          </cell>
          <cell r="J75">
            <v>616572.1100000001</v>
          </cell>
          <cell r="L75">
            <v>616572.1100000001</v>
          </cell>
          <cell r="N75">
            <v>0</v>
          </cell>
          <cell r="O75" t="str">
            <v>RDL</v>
          </cell>
          <cell r="P75">
            <v>0</v>
          </cell>
          <cell r="R75">
            <v>616.6</v>
          </cell>
          <cell r="T75">
            <v>616.6</v>
          </cell>
          <cell r="AD75">
            <v>0</v>
          </cell>
          <cell r="AF75">
            <v>616.6</v>
          </cell>
          <cell r="AH75">
            <v>616.6</v>
          </cell>
          <cell r="AJ75">
            <v>0</v>
          </cell>
          <cell r="AL75">
            <v>0</v>
          </cell>
          <cell r="AN75">
            <v>0</v>
          </cell>
          <cell r="AP75">
            <v>0</v>
          </cell>
          <cell r="AR75">
            <v>0</v>
          </cell>
          <cell r="AT75">
            <v>0</v>
          </cell>
          <cell r="AV75">
            <v>0</v>
          </cell>
          <cell r="AX75">
            <v>0</v>
          </cell>
          <cell r="AZ75">
            <v>0</v>
          </cell>
          <cell r="BB75">
            <v>0</v>
          </cell>
          <cell r="BD75">
            <v>616.6</v>
          </cell>
          <cell r="BF75">
            <v>616.6</v>
          </cell>
          <cell r="BH75">
            <v>0</v>
          </cell>
          <cell r="BJ75">
            <v>0</v>
          </cell>
          <cell r="BN75">
            <v>0</v>
          </cell>
          <cell r="BP75">
            <v>0</v>
          </cell>
          <cell r="BR75">
            <v>0</v>
          </cell>
          <cell r="BT75">
            <v>616.6</v>
          </cell>
          <cell r="BV75">
            <v>616.6</v>
          </cell>
          <cell r="BX75">
            <v>0</v>
          </cell>
          <cell r="CB75">
            <v>0</v>
          </cell>
          <cell r="CD75">
            <v>0</v>
          </cell>
          <cell r="CG75" t="str">
            <v>RDL</v>
          </cell>
          <cell r="CO75" t="str">
            <v>RDL</v>
          </cell>
          <cell r="CP75">
            <v>0</v>
          </cell>
          <cell r="CR75">
            <v>616.6</v>
          </cell>
          <cell r="CT75">
            <v>616.6</v>
          </cell>
          <cell r="CV75">
            <v>0</v>
          </cell>
          <cell r="DJ75">
            <v>0</v>
          </cell>
          <cell r="DL75">
            <v>0</v>
          </cell>
        </row>
        <row r="76">
          <cell r="B76" t="str">
            <v>OA</v>
          </cell>
          <cell r="D76" t="str">
            <v>ORGAN ACQUISITION</v>
          </cell>
          <cell r="F76" t="str">
            <v>D46</v>
          </cell>
          <cell r="H76">
            <v>0</v>
          </cell>
          <cell r="J76">
            <v>0</v>
          </cell>
          <cell r="L76">
            <v>0</v>
          </cell>
          <cell r="N76">
            <v>0</v>
          </cell>
          <cell r="O76" t="str">
            <v>OA</v>
          </cell>
          <cell r="P76">
            <v>0</v>
          </cell>
          <cell r="R76">
            <v>0</v>
          </cell>
          <cell r="T76">
            <v>0</v>
          </cell>
          <cell r="AD76">
            <v>0</v>
          </cell>
          <cell r="AF76">
            <v>0</v>
          </cell>
          <cell r="AH76">
            <v>0</v>
          </cell>
          <cell r="AJ76">
            <v>0</v>
          </cell>
          <cell r="AL76">
            <v>0</v>
          </cell>
          <cell r="AN76">
            <v>0</v>
          </cell>
          <cell r="AP76">
            <v>0</v>
          </cell>
          <cell r="AR76">
            <v>0</v>
          </cell>
          <cell r="AT76">
            <v>0</v>
          </cell>
          <cell r="AV76">
            <v>0</v>
          </cell>
          <cell r="AX76">
            <v>0</v>
          </cell>
          <cell r="AZ76">
            <v>0</v>
          </cell>
          <cell r="BB76">
            <v>0</v>
          </cell>
          <cell r="BD76">
            <v>0</v>
          </cell>
          <cell r="BF76">
            <v>0</v>
          </cell>
          <cell r="BH76">
            <v>0</v>
          </cell>
          <cell r="BJ76">
            <v>0</v>
          </cell>
          <cell r="BN76">
            <v>0</v>
          </cell>
          <cell r="BP76">
            <v>0</v>
          </cell>
          <cell r="BR76">
            <v>0</v>
          </cell>
          <cell r="BT76">
            <v>0</v>
          </cell>
          <cell r="BV76">
            <v>0</v>
          </cell>
          <cell r="BX76">
            <v>0</v>
          </cell>
          <cell r="CB76">
            <v>0</v>
          </cell>
          <cell r="CD76">
            <v>0</v>
          </cell>
          <cell r="CG76" t="str">
            <v>OA</v>
          </cell>
          <cell r="CO76" t="str">
            <v>OA</v>
          </cell>
          <cell r="CP76">
            <v>0</v>
          </cell>
          <cell r="CR76">
            <v>0</v>
          </cell>
          <cell r="CT76">
            <v>0</v>
          </cell>
          <cell r="CV76">
            <v>0</v>
          </cell>
          <cell r="DJ76">
            <v>0</v>
          </cell>
          <cell r="DL76">
            <v>0</v>
          </cell>
        </row>
        <row r="77">
          <cell r="B77" t="str">
            <v>AOR</v>
          </cell>
          <cell r="D77" t="str">
            <v>AMBULATORY SURGERY SVCS</v>
          </cell>
          <cell r="F77" t="str">
            <v>D47</v>
          </cell>
          <cell r="H77">
            <v>0</v>
          </cell>
          <cell r="J77">
            <v>0</v>
          </cell>
          <cell r="L77">
            <v>0</v>
          </cell>
          <cell r="N77">
            <v>0</v>
          </cell>
          <cell r="O77" t="str">
            <v>AOR</v>
          </cell>
          <cell r="P77">
            <v>0</v>
          </cell>
          <cell r="R77">
            <v>0</v>
          </cell>
          <cell r="T77">
            <v>0</v>
          </cell>
          <cell r="AD77">
            <v>0</v>
          </cell>
          <cell r="AF77">
            <v>0</v>
          </cell>
          <cell r="AH77">
            <v>0</v>
          </cell>
          <cell r="AJ77">
            <v>0</v>
          </cell>
          <cell r="AL77">
            <v>0</v>
          </cell>
          <cell r="AN77">
            <v>0</v>
          </cell>
          <cell r="AP77">
            <v>0</v>
          </cell>
          <cell r="AR77">
            <v>0</v>
          </cell>
          <cell r="AT77">
            <v>0</v>
          </cell>
          <cell r="AV77">
            <v>0</v>
          </cell>
          <cell r="AX77">
            <v>0</v>
          </cell>
          <cell r="AZ77">
            <v>0</v>
          </cell>
          <cell r="BB77">
            <v>0</v>
          </cell>
          <cell r="BD77">
            <v>0</v>
          </cell>
          <cell r="BF77">
            <v>0</v>
          </cell>
          <cell r="BH77">
            <v>0</v>
          </cell>
          <cell r="BJ77">
            <v>0</v>
          </cell>
          <cell r="BN77">
            <v>0</v>
          </cell>
          <cell r="BP77">
            <v>0</v>
          </cell>
          <cell r="BR77">
            <v>0</v>
          </cell>
          <cell r="BT77">
            <v>0</v>
          </cell>
          <cell r="BV77">
            <v>0</v>
          </cell>
          <cell r="BX77">
            <v>0</v>
          </cell>
          <cell r="CB77">
            <v>0</v>
          </cell>
          <cell r="CD77">
            <v>0</v>
          </cell>
          <cell r="CG77" t="str">
            <v>AOR</v>
          </cell>
          <cell r="CO77" t="str">
            <v>AOR</v>
          </cell>
          <cell r="CP77">
            <v>0</v>
          </cell>
          <cell r="CR77">
            <v>0</v>
          </cell>
          <cell r="CT77">
            <v>0</v>
          </cell>
          <cell r="CV77">
            <v>0</v>
          </cell>
          <cell r="DJ77">
            <v>0</v>
          </cell>
          <cell r="DL77">
            <v>0</v>
          </cell>
        </row>
        <row r="78">
          <cell r="B78" t="str">
            <v>LEU</v>
          </cell>
          <cell r="D78" t="str">
            <v>LEUKOPHERESIS</v>
          </cell>
          <cell r="F78" t="str">
            <v>D48</v>
          </cell>
          <cell r="H78">
            <v>0</v>
          </cell>
          <cell r="J78">
            <v>0</v>
          </cell>
          <cell r="L78">
            <v>0</v>
          </cell>
          <cell r="N78">
            <v>0</v>
          </cell>
          <cell r="O78" t="str">
            <v>LEU</v>
          </cell>
          <cell r="P78">
            <v>0</v>
          </cell>
          <cell r="R78">
            <v>0</v>
          </cell>
          <cell r="T78">
            <v>0</v>
          </cell>
          <cell r="AD78">
            <v>0</v>
          </cell>
          <cell r="AF78">
            <v>0</v>
          </cell>
          <cell r="AH78">
            <v>0</v>
          </cell>
          <cell r="AJ78">
            <v>0</v>
          </cell>
          <cell r="AL78">
            <v>0</v>
          </cell>
          <cell r="AN78">
            <v>0</v>
          </cell>
          <cell r="AP78">
            <v>0</v>
          </cell>
          <cell r="AR78">
            <v>0</v>
          </cell>
          <cell r="AT78">
            <v>0</v>
          </cell>
          <cell r="AV78">
            <v>0</v>
          </cell>
          <cell r="AX78">
            <v>0</v>
          </cell>
          <cell r="AZ78">
            <v>0</v>
          </cell>
          <cell r="BB78">
            <v>0</v>
          </cell>
          <cell r="BD78">
            <v>0</v>
          </cell>
          <cell r="BF78">
            <v>0</v>
          </cell>
          <cell r="BH78">
            <v>0</v>
          </cell>
          <cell r="BJ78">
            <v>0</v>
          </cell>
          <cell r="BN78">
            <v>0</v>
          </cell>
          <cell r="BP78">
            <v>0</v>
          </cell>
          <cell r="BR78">
            <v>0</v>
          </cell>
          <cell r="BT78">
            <v>0</v>
          </cell>
          <cell r="BV78">
            <v>0</v>
          </cell>
          <cell r="BX78">
            <v>0</v>
          </cell>
          <cell r="CB78">
            <v>0</v>
          </cell>
          <cell r="CD78">
            <v>0</v>
          </cell>
          <cell r="CG78" t="str">
            <v>LEU</v>
          </cell>
          <cell r="CO78" t="str">
            <v>LEU</v>
          </cell>
          <cell r="CP78">
            <v>0</v>
          </cell>
          <cell r="CR78">
            <v>0</v>
          </cell>
          <cell r="CT78">
            <v>0</v>
          </cell>
          <cell r="CV78">
            <v>0</v>
          </cell>
          <cell r="DJ78">
            <v>0</v>
          </cell>
          <cell r="DL78">
            <v>0</v>
          </cell>
        </row>
        <row r="79">
          <cell r="B79" t="str">
            <v>HYP</v>
          </cell>
          <cell r="D79" t="str">
            <v>HYPERBARIC CHAMBER</v>
          </cell>
          <cell r="F79" t="str">
            <v>D49</v>
          </cell>
          <cell r="H79">
            <v>0</v>
          </cell>
          <cell r="J79">
            <v>0</v>
          </cell>
          <cell r="L79">
            <v>0</v>
          </cell>
          <cell r="N79">
            <v>0</v>
          </cell>
          <cell r="O79" t="str">
            <v>HYP</v>
          </cell>
          <cell r="P79">
            <v>0</v>
          </cell>
          <cell r="R79">
            <v>0</v>
          </cell>
          <cell r="T79">
            <v>0</v>
          </cell>
          <cell r="AD79">
            <v>0</v>
          </cell>
          <cell r="AF79">
            <v>0</v>
          </cell>
          <cell r="AH79">
            <v>0</v>
          </cell>
          <cell r="AJ79">
            <v>0</v>
          </cell>
          <cell r="AL79">
            <v>0</v>
          </cell>
          <cell r="AN79">
            <v>0</v>
          </cell>
          <cell r="AP79">
            <v>0</v>
          </cell>
          <cell r="AR79">
            <v>0</v>
          </cell>
          <cell r="AT79">
            <v>0</v>
          </cell>
          <cell r="AV79">
            <v>0</v>
          </cell>
          <cell r="AX79">
            <v>0</v>
          </cell>
          <cell r="AZ79">
            <v>0</v>
          </cell>
          <cell r="BB79">
            <v>0</v>
          </cell>
          <cell r="BD79">
            <v>0</v>
          </cell>
          <cell r="BF79">
            <v>0</v>
          </cell>
          <cell r="BH79">
            <v>0</v>
          </cell>
          <cell r="BJ79">
            <v>0</v>
          </cell>
          <cell r="BN79">
            <v>0</v>
          </cell>
          <cell r="BP79">
            <v>0</v>
          </cell>
          <cell r="BR79">
            <v>0</v>
          </cell>
          <cell r="BT79">
            <v>0</v>
          </cell>
          <cell r="BV79">
            <v>0</v>
          </cell>
          <cell r="BX79">
            <v>0</v>
          </cell>
          <cell r="CB79">
            <v>0</v>
          </cell>
          <cell r="CD79">
            <v>0</v>
          </cell>
          <cell r="CG79" t="str">
            <v>HYP</v>
          </cell>
          <cell r="CO79" t="str">
            <v>HYP</v>
          </cell>
          <cell r="CP79">
            <v>0</v>
          </cell>
          <cell r="CR79">
            <v>0</v>
          </cell>
          <cell r="CT79">
            <v>0</v>
          </cell>
          <cell r="CV79">
            <v>0</v>
          </cell>
          <cell r="DJ79">
            <v>0</v>
          </cell>
          <cell r="DL79">
            <v>0</v>
          </cell>
        </row>
        <row r="80">
          <cell r="B80" t="str">
            <v>FSE</v>
          </cell>
          <cell r="D80" t="str">
            <v>FREE STANDING EMERGENCY</v>
          </cell>
          <cell r="F80" t="str">
            <v>D50</v>
          </cell>
          <cell r="H80">
            <v>0</v>
          </cell>
          <cell r="J80">
            <v>0</v>
          </cell>
          <cell r="L80">
            <v>0</v>
          </cell>
          <cell r="N80">
            <v>0</v>
          </cell>
          <cell r="O80" t="str">
            <v>FSE</v>
          </cell>
          <cell r="P80">
            <v>0</v>
          </cell>
          <cell r="R80">
            <v>0</v>
          </cell>
          <cell r="T80">
            <v>0</v>
          </cell>
          <cell r="AD80">
            <v>0</v>
          </cell>
          <cell r="AF80">
            <v>0</v>
          </cell>
          <cell r="AH80">
            <v>0</v>
          </cell>
          <cell r="AJ80">
            <v>0</v>
          </cell>
          <cell r="AL80">
            <v>0</v>
          </cell>
          <cell r="AN80">
            <v>0</v>
          </cell>
          <cell r="AP80">
            <v>0</v>
          </cell>
          <cell r="AR80">
            <v>0</v>
          </cell>
          <cell r="AT80">
            <v>0</v>
          </cell>
          <cell r="AV80">
            <v>0</v>
          </cell>
          <cell r="AX80">
            <v>0</v>
          </cell>
          <cell r="AZ80">
            <v>0</v>
          </cell>
          <cell r="BB80">
            <v>0</v>
          </cell>
          <cell r="BD80">
            <v>0</v>
          </cell>
          <cell r="BF80">
            <v>0</v>
          </cell>
          <cell r="BH80">
            <v>0</v>
          </cell>
          <cell r="BJ80">
            <v>0</v>
          </cell>
          <cell r="BN80">
            <v>0</v>
          </cell>
          <cell r="BP80">
            <v>0</v>
          </cell>
          <cell r="BR80">
            <v>0</v>
          </cell>
          <cell r="BT80">
            <v>0</v>
          </cell>
          <cell r="BV80">
            <v>0</v>
          </cell>
          <cell r="BX80">
            <v>0</v>
          </cell>
          <cell r="CB80">
            <v>0</v>
          </cell>
          <cell r="CD80">
            <v>0</v>
          </cell>
          <cell r="CG80" t="str">
            <v>FSE</v>
          </cell>
          <cell r="CO80" t="str">
            <v>FSE</v>
          </cell>
          <cell r="CP80">
            <v>0</v>
          </cell>
          <cell r="CR80">
            <v>0</v>
          </cell>
          <cell r="CT80">
            <v>0</v>
          </cell>
          <cell r="CV80">
            <v>0</v>
          </cell>
          <cell r="DJ80">
            <v>0</v>
          </cell>
          <cell r="DL80">
            <v>0</v>
          </cell>
        </row>
        <row r="81">
          <cell r="B81" t="str">
            <v>MRI</v>
          </cell>
          <cell r="D81" t="str">
            <v>MAGNETIC RESONANCE IMAGING</v>
          </cell>
          <cell r="F81" t="str">
            <v>D51</v>
          </cell>
          <cell r="H81">
            <v>14561.57342486169</v>
          </cell>
          <cell r="J81">
            <v>1281756.9993351423</v>
          </cell>
          <cell r="L81">
            <v>1296318.5727600041</v>
          </cell>
          <cell r="N81">
            <v>0.3801421157356325</v>
          </cell>
          <cell r="O81" t="str">
            <v>MRI</v>
          </cell>
          <cell r="P81">
            <v>14.6</v>
          </cell>
          <cell r="R81">
            <v>1281.8</v>
          </cell>
          <cell r="T81">
            <v>1296.3999999999999</v>
          </cell>
          <cell r="AD81">
            <v>14.6</v>
          </cell>
          <cell r="AF81">
            <v>1281.8</v>
          </cell>
          <cell r="AH81">
            <v>1296.3999999999999</v>
          </cell>
          <cell r="AJ81">
            <v>0.3801421157356325</v>
          </cell>
          <cell r="AL81">
            <v>0</v>
          </cell>
          <cell r="AN81">
            <v>0</v>
          </cell>
          <cell r="AP81">
            <v>0</v>
          </cell>
          <cell r="AR81">
            <v>0</v>
          </cell>
          <cell r="AT81">
            <v>0.22087697795095901</v>
          </cell>
          <cell r="AV81">
            <v>4.0335198461365254</v>
          </cell>
          <cell r="AX81">
            <v>4.2543968240874843</v>
          </cell>
          <cell r="AZ81">
            <v>1.6641180716419266E-3</v>
          </cell>
          <cell r="BB81">
            <v>14.820876977950959</v>
          </cell>
          <cell r="BD81">
            <v>1285.8335198461364</v>
          </cell>
          <cell r="BF81">
            <v>1300.6543968240874</v>
          </cell>
          <cell r="BH81">
            <v>0.38180623380727441</v>
          </cell>
          <cell r="BJ81">
            <v>0</v>
          </cell>
          <cell r="BN81">
            <v>0</v>
          </cell>
          <cell r="BP81">
            <v>0</v>
          </cell>
          <cell r="BR81">
            <v>14.820876977950959</v>
          </cell>
          <cell r="BT81">
            <v>1285.8335198461364</v>
          </cell>
          <cell r="BV81">
            <v>1300.6543968240874</v>
          </cell>
          <cell r="BX81">
            <v>0.38180623380727441</v>
          </cell>
          <cell r="CB81">
            <v>0.41027999999999998</v>
          </cell>
          <cell r="CD81">
            <v>0.41027999999999998</v>
          </cell>
          <cell r="CG81" t="str">
            <v>MRI</v>
          </cell>
          <cell r="CO81" t="str">
            <v>MRI</v>
          </cell>
          <cell r="CP81">
            <v>15.23115697795096</v>
          </cell>
          <cell r="CR81">
            <v>1285.8335198461364</v>
          </cell>
          <cell r="CT81">
            <v>1301.0646768240874</v>
          </cell>
          <cell r="CV81">
            <v>0.38180623380727441</v>
          </cell>
          <cell r="DJ81">
            <v>15.23115697795096</v>
          </cell>
          <cell r="DL81">
            <v>0</v>
          </cell>
        </row>
        <row r="82">
          <cell r="B82" t="str">
            <v>ADD</v>
          </cell>
          <cell r="D82" t="str">
            <v>ADOLESCENT DUAL DIAGNOSED</v>
          </cell>
          <cell r="F82" t="str">
            <v>D52</v>
          </cell>
          <cell r="H82">
            <v>0</v>
          </cell>
          <cell r="J82">
            <v>0</v>
          </cell>
          <cell r="L82">
            <v>0</v>
          </cell>
          <cell r="N82">
            <v>0</v>
          </cell>
          <cell r="O82" t="str">
            <v>ADD</v>
          </cell>
          <cell r="P82">
            <v>0</v>
          </cell>
          <cell r="R82">
            <v>0</v>
          </cell>
          <cell r="T82">
            <v>0</v>
          </cell>
          <cell r="AD82">
            <v>0</v>
          </cell>
          <cell r="AF82">
            <v>0</v>
          </cell>
          <cell r="AH82">
            <v>0</v>
          </cell>
          <cell r="AJ82">
            <v>0</v>
          </cell>
          <cell r="AL82">
            <v>0</v>
          </cell>
          <cell r="AN82">
            <v>0</v>
          </cell>
          <cell r="AP82">
            <v>0</v>
          </cell>
          <cell r="AR82">
            <v>0</v>
          </cell>
          <cell r="AT82">
            <v>0</v>
          </cell>
          <cell r="AV82">
            <v>0</v>
          </cell>
          <cell r="AX82">
            <v>0</v>
          </cell>
          <cell r="AZ82">
            <v>0</v>
          </cell>
          <cell r="BB82">
            <v>0</v>
          </cell>
          <cell r="BD82">
            <v>0</v>
          </cell>
          <cell r="BF82">
            <v>0</v>
          </cell>
          <cell r="BH82">
            <v>0</v>
          </cell>
          <cell r="BJ82">
            <v>0</v>
          </cell>
          <cell r="BN82">
            <v>0</v>
          </cell>
          <cell r="BP82">
            <v>0</v>
          </cell>
          <cell r="BR82">
            <v>0</v>
          </cell>
          <cell r="BT82">
            <v>0</v>
          </cell>
          <cell r="BV82">
            <v>0</v>
          </cell>
          <cell r="BX82">
            <v>0</v>
          </cell>
          <cell r="CB82">
            <v>0</v>
          </cell>
          <cell r="CD82">
            <v>0</v>
          </cell>
          <cell r="CG82" t="str">
            <v>ADD</v>
          </cell>
          <cell r="CO82" t="str">
            <v>CNA</v>
          </cell>
          <cell r="CP82">
            <v>0</v>
          </cell>
          <cell r="CR82">
            <v>0</v>
          </cell>
          <cell r="CT82">
            <v>0</v>
          </cell>
          <cell r="CV82">
            <v>0</v>
          </cell>
          <cell r="DJ82">
            <v>0</v>
          </cell>
          <cell r="DL82">
            <v>0</v>
          </cell>
        </row>
        <row r="83">
          <cell r="B83" t="str">
            <v>LIT</v>
          </cell>
          <cell r="D83" t="str">
            <v>LITHOTRIPSY</v>
          </cell>
          <cell r="F83" t="str">
            <v>D53</v>
          </cell>
          <cell r="H83">
            <v>0</v>
          </cell>
          <cell r="J83">
            <v>34290</v>
          </cell>
          <cell r="L83">
            <v>34290</v>
          </cell>
          <cell r="N83">
            <v>0</v>
          </cell>
          <cell r="O83" t="str">
            <v>LIT</v>
          </cell>
          <cell r="P83">
            <v>0</v>
          </cell>
          <cell r="R83">
            <v>34.299999999999997</v>
          </cell>
          <cell r="T83">
            <v>34.299999999999997</v>
          </cell>
          <cell r="AD83">
            <v>0</v>
          </cell>
          <cell r="AF83">
            <v>34.299999999999997</v>
          </cell>
          <cell r="AH83">
            <v>34.299999999999997</v>
          </cell>
          <cell r="AJ83">
            <v>0</v>
          </cell>
          <cell r="AL83">
            <v>0</v>
          </cell>
          <cell r="AN83">
            <v>0</v>
          </cell>
          <cell r="AP83">
            <v>0</v>
          </cell>
          <cell r="AR83">
            <v>0</v>
          </cell>
          <cell r="AT83">
            <v>0</v>
          </cell>
          <cell r="AV83">
            <v>0</v>
          </cell>
          <cell r="AX83">
            <v>0</v>
          </cell>
          <cell r="AZ83">
            <v>0</v>
          </cell>
          <cell r="BB83">
            <v>0</v>
          </cell>
          <cell r="BD83">
            <v>34.299999999999997</v>
          </cell>
          <cell r="BF83">
            <v>34.299999999999997</v>
          </cell>
          <cell r="BH83">
            <v>0</v>
          </cell>
          <cell r="BJ83">
            <v>0</v>
          </cell>
          <cell r="BN83">
            <v>0</v>
          </cell>
          <cell r="BP83">
            <v>0</v>
          </cell>
          <cell r="BR83">
            <v>0</v>
          </cell>
          <cell r="BT83">
            <v>34.299999999999997</v>
          </cell>
          <cell r="BV83">
            <v>34.299999999999997</v>
          </cell>
          <cell r="BX83">
            <v>0</v>
          </cell>
          <cell r="CB83">
            <v>0</v>
          </cell>
          <cell r="CD83">
            <v>0</v>
          </cell>
          <cell r="CG83" t="str">
            <v>LIT</v>
          </cell>
          <cell r="CO83" t="str">
            <v>LIT</v>
          </cell>
          <cell r="CP83">
            <v>0</v>
          </cell>
          <cell r="CR83">
            <v>34.299999999999997</v>
          </cell>
          <cell r="CT83">
            <v>34.299999999999997</v>
          </cell>
          <cell r="CV83">
            <v>0</v>
          </cell>
          <cell r="DJ83">
            <v>0</v>
          </cell>
          <cell r="DL83">
            <v>0</v>
          </cell>
        </row>
        <row r="84">
          <cell r="B84" t="str">
            <v>RHB</v>
          </cell>
          <cell r="D84" t="str">
            <v>REHABILITATION</v>
          </cell>
          <cell r="F84" t="str">
            <v>D54</v>
          </cell>
          <cell r="H84">
            <v>0</v>
          </cell>
          <cell r="J84">
            <v>0</v>
          </cell>
          <cell r="L84">
            <v>0</v>
          </cell>
          <cell r="N84">
            <v>0</v>
          </cell>
          <cell r="O84" t="str">
            <v>RHB</v>
          </cell>
          <cell r="P84">
            <v>0</v>
          </cell>
          <cell r="R84">
            <v>0</v>
          </cell>
          <cell r="T84">
            <v>0</v>
          </cell>
          <cell r="AD84">
            <v>0</v>
          </cell>
          <cell r="AF84">
            <v>0</v>
          </cell>
          <cell r="AH84">
            <v>0</v>
          </cell>
          <cell r="AJ84">
            <v>0</v>
          </cell>
          <cell r="AL84">
            <v>0</v>
          </cell>
          <cell r="AN84">
            <v>0</v>
          </cell>
          <cell r="AP84">
            <v>0</v>
          </cell>
          <cell r="AR84">
            <v>0</v>
          </cell>
          <cell r="AT84">
            <v>0</v>
          </cell>
          <cell r="AV84">
            <v>0</v>
          </cell>
          <cell r="AX84">
            <v>0</v>
          </cell>
          <cell r="AZ84">
            <v>0</v>
          </cell>
          <cell r="BB84">
            <v>0</v>
          </cell>
          <cell r="BD84">
            <v>0</v>
          </cell>
          <cell r="BF84">
            <v>0</v>
          </cell>
          <cell r="BH84">
            <v>0</v>
          </cell>
          <cell r="BJ84">
            <v>0</v>
          </cell>
          <cell r="BN84">
            <v>0</v>
          </cell>
          <cell r="BP84">
            <v>0</v>
          </cell>
          <cell r="BR84">
            <v>0</v>
          </cell>
          <cell r="BT84">
            <v>0</v>
          </cell>
          <cell r="BV84">
            <v>0</v>
          </cell>
          <cell r="BX84">
            <v>0</v>
          </cell>
          <cell r="CB84">
            <v>0</v>
          </cell>
          <cell r="CD84">
            <v>0</v>
          </cell>
          <cell r="CG84" t="str">
            <v>RHB</v>
          </cell>
          <cell r="CO84" t="str">
            <v>RHB</v>
          </cell>
          <cell r="CP84">
            <v>0</v>
          </cell>
          <cell r="CR84">
            <v>0</v>
          </cell>
          <cell r="CT84">
            <v>0</v>
          </cell>
          <cell r="CV84">
            <v>0</v>
          </cell>
          <cell r="DJ84">
            <v>0</v>
          </cell>
          <cell r="DL84">
            <v>0</v>
          </cell>
        </row>
        <row r="85">
          <cell r="B85" t="str">
            <v>OBV</v>
          </cell>
          <cell r="D85" t="str">
            <v>OBSERVATION</v>
          </cell>
          <cell r="F85" t="str">
            <v>D55</v>
          </cell>
          <cell r="H85">
            <v>1217904.5933518717</v>
          </cell>
          <cell r="J85">
            <v>239800.22724056267</v>
          </cell>
          <cell r="L85">
            <v>1457704.8205924344</v>
          </cell>
          <cell r="N85">
            <v>14.611376337452585</v>
          </cell>
          <cell r="O85" t="str">
            <v>OBV</v>
          </cell>
          <cell r="P85">
            <v>1217.9000000000001</v>
          </cell>
          <cell r="R85">
            <v>239.8</v>
          </cell>
          <cell r="T85">
            <v>1457.7</v>
          </cell>
          <cell r="AD85">
            <v>1217.9000000000001</v>
          </cell>
          <cell r="AF85">
            <v>239.8</v>
          </cell>
          <cell r="AH85">
            <v>1457.7</v>
          </cell>
          <cell r="AJ85">
            <v>14.611376337452585</v>
          </cell>
          <cell r="AL85">
            <v>0</v>
          </cell>
          <cell r="AN85">
            <v>0</v>
          </cell>
          <cell r="AP85">
            <v>0</v>
          </cell>
          <cell r="AR85">
            <v>0</v>
          </cell>
          <cell r="AT85">
            <v>8.489763474050573</v>
          </cell>
          <cell r="AV85">
            <v>155.03485143295933</v>
          </cell>
          <cell r="AX85">
            <v>163.52461490700989</v>
          </cell>
          <cell r="AZ85">
            <v>6.3963066464400448E-2</v>
          </cell>
          <cell r="BB85">
            <v>1226.3897634740506</v>
          </cell>
          <cell r="BD85">
            <v>394.83485143295934</v>
          </cell>
          <cell r="BF85">
            <v>1621.2246149070099</v>
          </cell>
          <cell r="BH85">
            <v>14.675339403916986</v>
          </cell>
          <cell r="BJ85">
            <v>0</v>
          </cell>
          <cell r="BN85">
            <v>0</v>
          </cell>
          <cell r="BR85">
            <v>1226.3897634740506</v>
          </cell>
          <cell r="BT85">
            <v>394.83485143295934</v>
          </cell>
          <cell r="BV85">
            <v>1621.2246149070099</v>
          </cell>
          <cell r="BX85">
            <v>14.675339403916986</v>
          </cell>
          <cell r="CB85">
            <v>15.76981</v>
          </cell>
          <cell r="CD85">
            <v>15.76981</v>
          </cell>
          <cell r="CG85" t="str">
            <v>OBV</v>
          </cell>
          <cell r="CO85" t="str">
            <v>OBV</v>
          </cell>
          <cell r="CP85">
            <v>1242.1595734740506</v>
          </cell>
          <cell r="CR85">
            <v>394.83485143295934</v>
          </cell>
          <cell r="CT85">
            <v>1636.9944249070099</v>
          </cell>
          <cell r="CV85">
            <v>14.675339403916986</v>
          </cell>
          <cell r="DJ85">
            <v>1242.1595734740506</v>
          </cell>
          <cell r="DL85">
            <v>0</v>
          </cell>
        </row>
        <row r="86">
          <cell r="B86" t="str">
            <v>AMR</v>
          </cell>
          <cell r="D86" t="str">
            <v>AMBULANCE REBUNDLED SVCS</v>
          </cell>
          <cell r="F86" t="str">
            <v>D56</v>
          </cell>
          <cell r="H86">
            <v>0</v>
          </cell>
          <cell r="J86">
            <v>154917.03</v>
          </cell>
          <cell r="L86">
            <v>154917.03</v>
          </cell>
          <cell r="N86">
            <v>0</v>
          </cell>
          <cell r="O86" t="str">
            <v>AMR</v>
          </cell>
          <cell r="P86">
            <v>0</v>
          </cell>
          <cell r="R86">
            <v>154.9</v>
          </cell>
          <cell r="T86">
            <v>154.9</v>
          </cell>
          <cell r="AD86">
            <v>0</v>
          </cell>
          <cell r="AF86">
            <v>154.9</v>
          </cell>
          <cell r="AH86">
            <v>154.9</v>
          </cell>
          <cell r="AJ86">
            <v>0</v>
          </cell>
          <cell r="AL86">
            <v>0</v>
          </cell>
          <cell r="AN86">
            <v>0</v>
          </cell>
          <cell r="AP86">
            <v>0</v>
          </cell>
          <cell r="AR86">
            <v>0</v>
          </cell>
          <cell r="AT86">
            <v>0</v>
          </cell>
          <cell r="AV86">
            <v>0</v>
          </cell>
          <cell r="AX86">
            <v>0</v>
          </cell>
          <cell r="AZ86">
            <v>0</v>
          </cell>
          <cell r="BB86">
            <v>0</v>
          </cell>
          <cell r="BD86">
            <v>154.9</v>
          </cell>
          <cell r="BF86">
            <v>154.9</v>
          </cell>
          <cell r="BH86">
            <v>0</v>
          </cell>
          <cell r="BJ86">
            <v>0</v>
          </cell>
          <cell r="BN86">
            <v>0</v>
          </cell>
          <cell r="BR86">
            <v>0</v>
          </cell>
          <cell r="BT86">
            <v>154.9</v>
          </cell>
          <cell r="BV86">
            <v>154.9</v>
          </cell>
          <cell r="BX86">
            <v>0</v>
          </cell>
          <cell r="CB86">
            <v>0</v>
          </cell>
          <cell r="CD86">
            <v>0</v>
          </cell>
          <cell r="CG86" t="str">
            <v>AMR</v>
          </cell>
          <cell r="CO86" t="str">
            <v>AMR</v>
          </cell>
          <cell r="CP86">
            <v>0</v>
          </cell>
          <cell r="CR86">
            <v>154.9</v>
          </cell>
          <cell r="CT86">
            <v>154.9</v>
          </cell>
          <cell r="CV86">
            <v>0</v>
          </cell>
          <cell r="DJ86">
            <v>0</v>
          </cell>
          <cell r="DL86">
            <v>0</v>
          </cell>
        </row>
        <row r="87">
          <cell r="B87" t="str">
            <v>TMT</v>
          </cell>
          <cell r="D87" t="str">
            <v>TRANSURETHAL MICROWAVE THERMOTHERAPY</v>
          </cell>
          <cell r="F87" t="str">
            <v>D57</v>
          </cell>
          <cell r="H87">
            <v>0</v>
          </cell>
          <cell r="J87">
            <v>0</v>
          </cell>
          <cell r="L87">
            <v>0</v>
          </cell>
          <cell r="N87">
            <v>0</v>
          </cell>
          <cell r="O87" t="str">
            <v>TMT</v>
          </cell>
          <cell r="P87">
            <v>0</v>
          </cell>
          <cell r="R87">
            <v>0</v>
          </cell>
          <cell r="T87">
            <v>0</v>
          </cell>
          <cell r="AD87">
            <v>0</v>
          </cell>
          <cell r="AF87">
            <v>0</v>
          </cell>
          <cell r="AH87">
            <v>0</v>
          </cell>
          <cell r="AJ87">
            <v>0</v>
          </cell>
          <cell r="AL87">
            <v>0</v>
          </cell>
          <cell r="AN87">
            <v>0</v>
          </cell>
          <cell r="AP87">
            <v>0</v>
          </cell>
          <cell r="AR87">
            <v>0</v>
          </cell>
          <cell r="AT87">
            <v>0</v>
          </cell>
          <cell r="AV87">
            <v>0</v>
          </cell>
          <cell r="AX87">
            <v>0</v>
          </cell>
          <cell r="AZ87">
            <v>0</v>
          </cell>
          <cell r="BB87">
            <v>0</v>
          </cell>
          <cell r="BD87">
            <v>0</v>
          </cell>
          <cell r="BF87">
            <v>0</v>
          </cell>
          <cell r="BH87">
            <v>0</v>
          </cell>
          <cell r="BJ87">
            <v>0</v>
          </cell>
          <cell r="BN87">
            <v>0</v>
          </cell>
          <cell r="BR87">
            <v>0</v>
          </cell>
          <cell r="BT87">
            <v>0</v>
          </cell>
          <cell r="BV87">
            <v>0</v>
          </cell>
          <cell r="BX87">
            <v>0</v>
          </cell>
          <cell r="CB87">
            <v>0</v>
          </cell>
          <cell r="CD87">
            <v>0</v>
          </cell>
          <cell r="CG87" t="str">
            <v>TMT</v>
          </cell>
          <cell r="CO87" t="str">
            <v>AMR</v>
          </cell>
          <cell r="CP87">
            <v>0</v>
          </cell>
          <cell r="CR87">
            <v>0</v>
          </cell>
          <cell r="CT87">
            <v>0</v>
          </cell>
          <cell r="CV87">
            <v>0</v>
          </cell>
          <cell r="DJ87">
            <v>0</v>
          </cell>
          <cell r="DL87">
            <v>0</v>
          </cell>
        </row>
        <row r="88">
          <cell r="B88" t="str">
            <v>OCL</v>
          </cell>
          <cell r="D88" t="str">
            <v>ONCOLOGY O/P CLINIC</v>
          </cell>
          <cell r="F88" t="str">
            <v>D58</v>
          </cell>
          <cell r="H88">
            <v>0</v>
          </cell>
          <cell r="J88">
            <v>0</v>
          </cell>
          <cell r="L88">
            <v>0</v>
          </cell>
          <cell r="N88">
            <v>0</v>
          </cell>
          <cell r="P88">
            <v>0</v>
          </cell>
          <cell r="R88">
            <v>0</v>
          </cell>
          <cell r="T88">
            <v>0</v>
          </cell>
          <cell r="AD88">
            <v>0</v>
          </cell>
          <cell r="AF88">
            <v>0</v>
          </cell>
          <cell r="AH88">
            <v>0</v>
          </cell>
          <cell r="AJ88">
            <v>0</v>
          </cell>
          <cell r="AL88">
            <v>0</v>
          </cell>
          <cell r="AN88">
            <v>0</v>
          </cell>
          <cell r="AP88">
            <v>0</v>
          </cell>
          <cell r="AR88">
            <v>0</v>
          </cell>
          <cell r="AT88">
            <v>0</v>
          </cell>
          <cell r="AV88">
            <v>0</v>
          </cell>
          <cell r="AX88">
            <v>0</v>
          </cell>
          <cell r="AZ88">
            <v>0</v>
          </cell>
          <cell r="BB88">
            <v>0</v>
          </cell>
          <cell r="BD88">
            <v>0</v>
          </cell>
          <cell r="BF88">
            <v>0</v>
          </cell>
          <cell r="BH88">
            <v>0</v>
          </cell>
          <cell r="BJ88">
            <v>0</v>
          </cell>
          <cell r="BN88">
            <v>0</v>
          </cell>
          <cell r="BR88">
            <v>0</v>
          </cell>
          <cell r="BT88">
            <v>0</v>
          </cell>
          <cell r="BV88">
            <v>0</v>
          </cell>
          <cell r="BX88">
            <v>0</v>
          </cell>
          <cell r="CB88">
            <v>0</v>
          </cell>
          <cell r="CD88">
            <v>0</v>
          </cell>
          <cell r="CP88">
            <v>0</v>
          </cell>
          <cell r="CR88">
            <v>0</v>
          </cell>
          <cell r="CT88">
            <v>0</v>
          </cell>
          <cell r="CV88">
            <v>0</v>
          </cell>
          <cell r="DJ88">
            <v>0</v>
          </cell>
          <cell r="DL88">
            <v>0</v>
          </cell>
        </row>
        <row r="89">
          <cell r="B89" t="str">
            <v>TNA</v>
          </cell>
          <cell r="D89" t="str">
            <v>TRANSURETHAL NEEDLE ABLATION</v>
          </cell>
          <cell r="F89" t="str">
            <v>D59</v>
          </cell>
          <cell r="H89">
            <v>0</v>
          </cell>
          <cell r="J89">
            <v>0</v>
          </cell>
          <cell r="L89">
            <v>0</v>
          </cell>
          <cell r="N89">
            <v>0</v>
          </cell>
          <cell r="P89">
            <v>0</v>
          </cell>
          <cell r="R89">
            <v>0</v>
          </cell>
          <cell r="T89">
            <v>0</v>
          </cell>
          <cell r="AD89">
            <v>0</v>
          </cell>
          <cell r="AF89">
            <v>0</v>
          </cell>
          <cell r="AH89">
            <v>0</v>
          </cell>
          <cell r="AJ89">
            <v>0</v>
          </cell>
          <cell r="AL89">
            <v>0</v>
          </cell>
          <cell r="AN89">
            <v>0</v>
          </cell>
          <cell r="AP89">
            <v>0</v>
          </cell>
          <cell r="AR89">
            <v>0</v>
          </cell>
          <cell r="AT89">
            <v>0</v>
          </cell>
          <cell r="AV89">
            <v>0</v>
          </cell>
          <cell r="AX89">
            <v>0</v>
          </cell>
          <cell r="AZ89">
            <v>0</v>
          </cell>
          <cell r="BB89">
            <v>0</v>
          </cell>
          <cell r="BD89">
            <v>0</v>
          </cell>
          <cell r="BF89">
            <v>0</v>
          </cell>
          <cell r="BH89">
            <v>0</v>
          </cell>
          <cell r="BJ89">
            <v>0</v>
          </cell>
          <cell r="BN89">
            <v>0</v>
          </cell>
          <cell r="BR89">
            <v>0</v>
          </cell>
          <cell r="BT89">
            <v>0</v>
          </cell>
          <cell r="BV89">
            <v>0</v>
          </cell>
          <cell r="BX89">
            <v>0</v>
          </cell>
          <cell r="CB89">
            <v>0</v>
          </cell>
          <cell r="CD89">
            <v>0</v>
          </cell>
          <cell r="CP89">
            <v>0</v>
          </cell>
          <cell r="CR89">
            <v>0</v>
          </cell>
          <cell r="CT89">
            <v>0</v>
          </cell>
          <cell r="CV89">
            <v>0</v>
          </cell>
          <cell r="DJ89">
            <v>0</v>
          </cell>
          <cell r="DL89">
            <v>0</v>
          </cell>
        </row>
        <row r="90">
          <cell r="B90" t="str">
            <v>PAD</v>
          </cell>
          <cell r="D90" t="str">
            <v>PSYCH ADULT</v>
          </cell>
          <cell r="F90" t="str">
            <v>D70</v>
          </cell>
          <cell r="H90">
            <v>0</v>
          </cell>
          <cell r="J90">
            <v>0</v>
          </cell>
          <cell r="L90">
            <v>0</v>
          </cell>
          <cell r="N90">
            <v>0</v>
          </cell>
          <cell r="O90" t="str">
            <v>PAD</v>
          </cell>
          <cell r="P90">
            <v>0</v>
          </cell>
          <cell r="R90">
            <v>0</v>
          </cell>
          <cell r="T90">
            <v>0</v>
          </cell>
          <cell r="AD90">
            <v>0</v>
          </cell>
          <cell r="AF90">
            <v>0</v>
          </cell>
          <cell r="AH90">
            <v>0</v>
          </cell>
          <cell r="AJ90">
            <v>0</v>
          </cell>
          <cell r="AL90">
            <v>0</v>
          </cell>
          <cell r="AN90">
            <v>0</v>
          </cell>
          <cell r="AP90">
            <v>0</v>
          </cell>
          <cell r="AR90">
            <v>0</v>
          </cell>
          <cell r="AT90">
            <v>0</v>
          </cell>
          <cell r="AV90">
            <v>0</v>
          </cell>
          <cell r="AX90">
            <v>0</v>
          </cell>
          <cell r="AZ90">
            <v>0</v>
          </cell>
          <cell r="BB90">
            <v>0</v>
          </cell>
          <cell r="BD90">
            <v>0</v>
          </cell>
          <cell r="BF90">
            <v>0</v>
          </cell>
          <cell r="BH90">
            <v>0</v>
          </cell>
          <cell r="BJ90">
            <v>0</v>
          </cell>
          <cell r="BN90">
            <v>0</v>
          </cell>
          <cell r="BP90">
            <v>0</v>
          </cell>
          <cell r="BR90">
            <v>0</v>
          </cell>
          <cell r="BT90">
            <v>0</v>
          </cell>
          <cell r="BV90">
            <v>0</v>
          </cell>
          <cell r="BX90">
            <v>0</v>
          </cell>
          <cell r="CB90">
            <v>0</v>
          </cell>
          <cell r="CD90">
            <v>0</v>
          </cell>
          <cell r="CG90" t="str">
            <v>PAD</v>
          </cell>
          <cell r="CO90" t="str">
            <v>PAD</v>
          </cell>
          <cell r="CP90">
            <v>0</v>
          </cell>
          <cell r="CR90">
            <v>0</v>
          </cell>
          <cell r="CT90">
            <v>0</v>
          </cell>
          <cell r="CV90">
            <v>0</v>
          </cell>
          <cell r="DJ90">
            <v>0</v>
          </cell>
          <cell r="DL90">
            <v>0</v>
          </cell>
        </row>
        <row r="91">
          <cell r="B91" t="str">
            <v>PCD</v>
          </cell>
          <cell r="D91" t="str">
            <v>PSYCH CHILD/ADOLESCENT</v>
          </cell>
          <cell r="F91" t="str">
            <v>D71</v>
          </cell>
          <cell r="H91">
            <v>0</v>
          </cell>
          <cell r="J91">
            <v>0</v>
          </cell>
          <cell r="L91">
            <v>0</v>
          </cell>
          <cell r="N91">
            <v>0</v>
          </cell>
          <cell r="O91" t="str">
            <v>PCD</v>
          </cell>
          <cell r="P91">
            <v>0</v>
          </cell>
          <cell r="R91">
            <v>0</v>
          </cell>
          <cell r="T91">
            <v>0</v>
          </cell>
          <cell r="AD91">
            <v>0</v>
          </cell>
          <cell r="AF91">
            <v>0</v>
          </cell>
          <cell r="AH91">
            <v>0</v>
          </cell>
          <cell r="AJ91">
            <v>0</v>
          </cell>
          <cell r="AL91">
            <v>0</v>
          </cell>
          <cell r="AN91">
            <v>0</v>
          </cell>
          <cell r="AP91">
            <v>0</v>
          </cell>
          <cell r="AR91">
            <v>0</v>
          </cell>
          <cell r="AT91">
            <v>0</v>
          </cell>
          <cell r="AV91">
            <v>0</v>
          </cell>
          <cell r="AX91">
            <v>0</v>
          </cell>
          <cell r="AZ91">
            <v>0</v>
          </cell>
          <cell r="BB91">
            <v>0</v>
          </cell>
          <cell r="BD91">
            <v>0</v>
          </cell>
          <cell r="BF91">
            <v>0</v>
          </cell>
          <cell r="BH91">
            <v>0</v>
          </cell>
          <cell r="BJ91">
            <v>0</v>
          </cell>
          <cell r="BN91">
            <v>0</v>
          </cell>
          <cell r="BP91">
            <v>0</v>
          </cell>
          <cell r="BR91">
            <v>0</v>
          </cell>
          <cell r="BT91">
            <v>0</v>
          </cell>
          <cell r="BV91">
            <v>0</v>
          </cell>
          <cell r="BX91">
            <v>0</v>
          </cell>
          <cell r="CB91">
            <v>0</v>
          </cell>
          <cell r="CD91">
            <v>0</v>
          </cell>
          <cell r="CG91" t="str">
            <v>PCD</v>
          </cell>
          <cell r="CO91" t="str">
            <v>PCD</v>
          </cell>
          <cell r="CP91">
            <v>0</v>
          </cell>
          <cell r="CR91">
            <v>0</v>
          </cell>
          <cell r="CT91">
            <v>0</v>
          </cell>
          <cell r="CV91">
            <v>0</v>
          </cell>
          <cell r="DJ91">
            <v>0</v>
          </cell>
          <cell r="DL91">
            <v>0</v>
          </cell>
        </row>
        <row r="92">
          <cell r="B92" t="str">
            <v>PSG</v>
          </cell>
          <cell r="D92" t="str">
            <v>PSYCH GERIATRIC</v>
          </cell>
          <cell r="F92" t="str">
            <v>D73</v>
          </cell>
          <cell r="H92">
            <v>0</v>
          </cell>
          <cell r="J92">
            <v>0</v>
          </cell>
          <cell r="L92">
            <v>0</v>
          </cell>
          <cell r="N92">
            <v>0</v>
          </cell>
          <cell r="O92" t="str">
            <v>PSG</v>
          </cell>
          <cell r="P92">
            <v>0</v>
          </cell>
          <cell r="R92">
            <v>0</v>
          </cell>
          <cell r="T92">
            <v>0</v>
          </cell>
          <cell r="AD92">
            <v>0</v>
          </cell>
          <cell r="AF92">
            <v>0</v>
          </cell>
          <cell r="AH92">
            <v>0</v>
          </cell>
          <cell r="AJ92">
            <v>0</v>
          </cell>
          <cell r="AL92">
            <v>0</v>
          </cell>
          <cell r="AN92">
            <v>0</v>
          </cell>
          <cell r="AP92">
            <v>0</v>
          </cell>
          <cell r="AR92">
            <v>0</v>
          </cell>
          <cell r="AT92">
            <v>0</v>
          </cell>
          <cell r="AV92">
            <v>0</v>
          </cell>
          <cell r="AX92">
            <v>0</v>
          </cell>
          <cell r="AZ92">
            <v>0</v>
          </cell>
          <cell r="BB92">
            <v>0</v>
          </cell>
          <cell r="BD92">
            <v>0</v>
          </cell>
          <cell r="BF92">
            <v>0</v>
          </cell>
          <cell r="BH92">
            <v>0</v>
          </cell>
          <cell r="BJ92">
            <v>0</v>
          </cell>
          <cell r="BN92">
            <v>0</v>
          </cell>
          <cell r="BP92">
            <v>0</v>
          </cell>
          <cell r="BR92">
            <v>0</v>
          </cell>
          <cell r="BT92">
            <v>0</v>
          </cell>
          <cell r="BV92">
            <v>0</v>
          </cell>
          <cell r="BX92">
            <v>0</v>
          </cell>
          <cell r="CB92">
            <v>0</v>
          </cell>
          <cell r="CD92">
            <v>0</v>
          </cell>
          <cell r="CG92" t="str">
            <v>PSG</v>
          </cell>
          <cell r="CO92" t="str">
            <v>PSG</v>
          </cell>
          <cell r="CP92">
            <v>0</v>
          </cell>
          <cell r="CR92">
            <v>0</v>
          </cell>
          <cell r="CT92">
            <v>0</v>
          </cell>
          <cell r="CV92">
            <v>0</v>
          </cell>
          <cell r="DJ92">
            <v>0</v>
          </cell>
          <cell r="DL92">
            <v>0</v>
          </cell>
        </row>
        <row r="93">
          <cell r="B93" t="str">
            <v>ITH</v>
          </cell>
          <cell r="D93" t="str">
            <v>INDIVIDUAL THERAPIES</v>
          </cell>
          <cell r="F93" t="str">
            <v>D74</v>
          </cell>
          <cell r="H93">
            <v>0</v>
          </cell>
          <cell r="J93">
            <v>0</v>
          </cell>
          <cell r="L93">
            <v>0</v>
          </cell>
          <cell r="N93">
            <v>0</v>
          </cell>
          <cell r="O93" t="str">
            <v>ITH</v>
          </cell>
          <cell r="P93">
            <v>0</v>
          </cell>
          <cell r="R93">
            <v>0</v>
          </cell>
          <cell r="T93">
            <v>0</v>
          </cell>
          <cell r="AD93">
            <v>0</v>
          </cell>
          <cell r="AF93">
            <v>0</v>
          </cell>
          <cell r="AH93">
            <v>0</v>
          </cell>
          <cell r="AJ93">
            <v>0</v>
          </cell>
          <cell r="AL93">
            <v>0</v>
          </cell>
          <cell r="AN93">
            <v>0</v>
          </cell>
          <cell r="AP93">
            <v>0</v>
          </cell>
          <cell r="AR93">
            <v>0</v>
          </cell>
          <cell r="AT93">
            <v>0</v>
          </cell>
          <cell r="AV93">
            <v>0</v>
          </cell>
          <cell r="AX93">
            <v>0</v>
          </cell>
          <cell r="AZ93">
            <v>0</v>
          </cell>
          <cell r="BB93">
            <v>0</v>
          </cell>
          <cell r="BD93">
            <v>0</v>
          </cell>
          <cell r="BF93">
            <v>0</v>
          </cell>
          <cell r="BH93">
            <v>0</v>
          </cell>
          <cell r="BJ93">
            <v>0</v>
          </cell>
          <cell r="BN93">
            <v>0</v>
          </cell>
          <cell r="BP93">
            <v>0</v>
          </cell>
          <cell r="BR93">
            <v>0</v>
          </cell>
          <cell r="BT93">
            <v>0</v>
          </cell>
          <cell r="BV93">
            <v>0</v>
          </cell>
          <cell r="BX93">
            <v>0</v>
          </cell>
          <cell r="CB93">
            <v>0</v>
          </cell>
          <cell r="CD93">
            <v>0</v>
          </cell>
          <cell r="CG93" t="str">
            <v>ITH</v>
          </cell>
          <cell r="CO93" t="str">
            <v>ITH</v>
          </cell>
          <cell r="CP93">
            <v>0</v>
          </cell>
          <cell r="CR93">
            <v>0</v>
          </cell>
          <cell r="CT93">
            <v>0</v>
          </cell>
          <cell r="CV93">
            <v>0</v>
          </cell>
          <cell r="DJ93">
            <v>0</v>
          </cell>
          <cell r="DL93">
            <v>0</v>
          </cell>
        </row>
        <row r="94">
          <cell r="B94" t="str">
            <v>GTH</v>
          </cell>
          <cell r="D94" t="str">
            <v>GROUP THERAPIES</v>
          </cell>
          <cell r="F94" t="str">
            <v>D75</v>
          </cell>
          <cell r="H94">
            <v>0</v>
          </cell>
          <cell r="J94">
            <v>0</v>
          </cell>
          <cell r="L94">
            <v>0</v>
          </cell>
          <cell r="N94">
            <v>0</v>
          </cell>
          <cell r="O94" t="str">
            <v>GTH</v>
          </cell>
          <cell r="P94">
            <v>0</v>
          </cell>
          <cell r="R94">
            <v>0</v>
          </cell>
          <cell r="T94">
            <v>0</v>
          </cell>
          <cell r="AD94">
            <v>0</v>
          </cell>
          <cell r="AF94">
            <v>0</v>
          </cell>
          <cell r="AH94">
            <v>0</v>
          </cell>
          <cell r="AJ94">
            <v>0</v>
          </cell>
          <cell r="AL94">
            <v>0</v>
          </cell>
          <cell r="AN94">
            <v>0</v>
          </cell>
          <cell r="AP94">
            <v>0</v>
          </cell>
          <cell r="AR94">
            <v>0</v>
          </cell>
          <cell r="AT94">
            <v>0</v>
          </cell>
          <cell r="AV94">
            <v>0</v>
          </cell>
          <cell r="AX94">
            <v>0</v>
          </cell>
          <cell r="AZ94">
            <v>0</v>
          </cell>
          <cell r="BB94">
            <v>0</v>
          </cell>
          <cell r="BD94">
            <v>0</v>
          </cell>
          <cell r="BF94">
            <v>0</v>
          </cell>
          <cell r="BH94">
            <v>0</v>
          </cell>
          <cell r="BJ94">
            <v>0</v>
          </cell>
          <cell r="BN94">
            <v>0</v>
          </cell>
          <cell r="BP94">
            <v>0</v>
          </cell>
          <cell r="BR94">
            <v>0</v>
          </cell>
          <cell r="BT94">
            <v>0</v>
          </cell>
          <cell r="BV94">
            <v>0</v>
          </cell>
          <cell r="BX94">
            <v>0</v>
          </cell>
          <cell r="CB94">
            <v>0</v>
          </cell>
          <cell r="CD94">
            <v>0</v>
          </cell>
          <cell r="CG94" t="str">
            <v>GTH</v>
          </cell>
          <cell r="CO94" t="str">
            <v>GTH</v>
          </cell>
          <cell r="CP94">
            <v>0</v>
          </cell>
          <cell r="CR94">
            <v>0</v>
          </cell>
          <cell r="CT94">
            <v>0</v>
          </cell>
          <cell r="CV94">
            <v>0</v>
          </cell>
          <cell r="DJ94">
            <v>0</v>
          </cell>
          <cell r="DL94">
            <v>0</v>
          </cell>
        </row>
        <row r="95">
          <cell r="B95" t="str">
            <v>FTH</v>
          </cell>
          <cell r="D95" t="str">
            <v>FAMILY THERAPIES</v>
          </cell>
          <cell r="F95" t="str">
            <v>D76</v>
          </cell>
          <cell r="H95">
            <v>0</v>
          </cell>
          <cell r="J95">
            <v>0</v>
          </cell>
          <cell r="L95">
            <v>0</v>
          </cell>
          <cell r="N95">
            <v>0</v>
          </cell>
          <cell r="O95" t="str">
            <v>FTH</v>
          </cell>
          <cell r="P95">
            <v>0</v>
          </cell>
          <cell r="R95">
            <v>0</v>
          </cell>
          <cell r="T95">
            <v>0</v>
          </cell>
          <cell r="AD95">
            <v>0</v>
          </cell>
          <cell r="AF95">
            <v>0</v>
          </cell>
          <cell r="AH95">
            <v>0</v>
          </cell>
          <cell r="AJ95">
            <v>0</v>
          </cell>
          <cell r="AL95">
            <v>0</v>
          </cell>
          <cell r="AN95">
            <v>0</v>
          </cell>
          <cell r="AP95">
            <v>0</v>
          </cell>
          <cell r="AR95">
            <v>0</v>
          </cell>
          <cell r="AT95">
            <v>0</v>
          </cell>
          <cell r="AV95">
            <v>0</v>
          </cell>
          <cell r="AX95">
            <v>0</v>
          </cell>
          <cell r="AZ95">
            <v>0</v>
          </cell>
          <cell r="BB95">
            <v>0</v>
          </cell>
          <cell r="BD95">
            <v>0</v>
          </cell>
          <cell r="BF95">
            <v>0</v>
          </cell>
          <cell r="BH95">
            <v>0</v>
          </cell>
          <cell r="BJ95">
            <v>0</v>
          </cell>
          <cell r="BN95">
            <v>0</v>
          </cell>
          <cell r="BP95">
            <v>0</v>
          </cell>
          <cell r="BR95">
            <v>0</v>
          </cell>
          <cell r="BT95">
            <v>0</v>
          </cell>
          <cell r="BV95">
            <v>0</v>
          </cell>
          <cell r="BX95">
            <v>0</v>
          </cell>
          <cell r="CB95">
            <v>0</v>
          </cell>
          <cell r="CD95">
            <v>0</v>
          </cell>
          <cell r="CG95" t="str">
            <v>FTH</v>
          </cell>
          <cell r="CO95" t="str">
            <v>FTH</v>
          </cell>
          <cell r="CP95">
            <v>0</v>
          </cell>
          <cell r="CR95">
            <v>0</v>
          </cell>
          <cell r="CT95">
            <v>0</v>
          </cell>
          <cell r="CV95">
            <v>0</v>
          </cell>
          <cell r="DJ95">
            <v>0</v>
          </cell>
          <cell r="DL95">
            <v>0</v>
          </cell>
        </row>
        <row r="96">
          <cell r="B96" t="str">
            <v>PST</v>
          </cell>
          <cell r="D96" t="str">
            <v>PSYCHOLOGICAL TESTING</v>
          </cell>
          <cell r="F96" t="str">
            <v>D77</v>
          </cell>
          <cell r="H96">
            <v>0</v>
          </cell>
          <cell r="J96">
            <v>0</v>
          </cell>
          <cell r="L96">
            <v>0</v>
          </cell>
          <cell r="N96">
            <v>0</v>
          </cell>
          <cell r="O96" t="str">
            <v>PST</v>
          </cell>
          <cell r="P96">
            <v>0</v>
          </cell>
          <cell r="R96">
            <v>0</v>
          </cell>
          <cell r="T96">
            <v>0</v>
          </cell>
          <cell r="AD96">
            <v>0</v>
          </cell>
          <cell r="AF96">
            <v>0</v>
          </cell>
          <cell r="AH96">
            <v>0</v>
          </cell>
          <cell r="AJ96">
            <v>0</v>
          </cell>
          <cell r="AL96">
            <v>0</v>
          </cell>
          <cell r="AN96">
            <v>0</v>
          </cell>
          <cell r="AP96">
            <v>0</v>
          </cell>
          <cell r="AR96">
            <v>0</v>
          </cell>
          <cell r="AT96">
            <v>0</v>
          </cell>
          <cell r="AV96">
            <v>0</v>
          </cell>
          <cell r="AX96">
            <v>0</v>
          </cell>
          <cell r="AZ96">
            <v>0</v>
          </cell>
          <cell r="BB96">
            <v>0</v>
          </cell>
          <cell r="BD96">
            <v>0</v>
          </cell>
          <cell r="BF96">
            <v>0</v>
          </cell>
          <cell r="BH96">
            <v>0</v>
          </cell>
          <cell r="BJ96">
            <v>0</v>
          </cell>
          <cell r="BN96">
            <v>0</v>
          </cell>
          <cell r="BP96">
            <v>0</v>
          </cell>
          <cell r="BR96">
            <v>0</v>
          </cell>
          <cell r="BT96">
            <v>0</v>
          </cell>
          <cell r="BV96">
            <v>0</v>
          </cell>
          <cell r="BX96">
            <v>0</v>
          </cell>
          <cell r="CB96">
            <v>0</v>
          </cell>
          <cell r="CD96">
            <v>0</v>
          </cell>
          <cell r="CG96" t="str">
            <v>PST</v>
          </cell>
          <cell r="CO96" t="str">
            <v>PST</v>
          </cell>
          <cell r="CP96">
            <v>0</v>
          </cell>
          <cell r="CR96">
            <v>0</v>
          </cell>
          <cell r="CT96">
            <v>0</v>
          </cell>
          <cell r="CV96">
            <v>0</v>
          </cell>
          <cell r="DJ96">
            <v>0</v>
          </cell>
          <cell r="DL96">
            <v>0</v>
          </cell>
        </row>
        <row r="97">
          <cell r="B97" t="str">
            <v>PSE</v>
          </cell>
          <cell r="D97" t="str">
            <v>EDUCATION</v>
          </cell>
          <cell r="F97" t="str">
            <v>D78</v>
          </cell>
          <cell r="H97">
            <v>0</v>
          </cell>
          <cell r="J97">
            <v>0</v>
          </cell>
          <cell r="L97">
            <v>0</v>
          </cell>
          <cell r="N97">
            <v>0</v>
          </cell>
          <cell r="O97" t="str">
            <v>PSE</v>
          </cell>
          <cell r="P97">
            <v>0</v>
          </cell>
          <cell r="R97">
            <v>0</v>
          </cell>
          <cell r="T97">
            <v>0</v>
          </cell>
          <cell r="AD97">
            <v>0</v>
          </cell>
          <cell r="AF97">
            <v>0</v>
          </cell>
          <cell r="AH97">
            <v>0</v>
          </cell>
          <cell r="AJ97">
            <v>0</v>
          </cell>
          <cell r="AL97">
            <v>0</v>
          </cell>
          <cell r="AN97">
            <v>0</v>
          </cell>
          <cell r="AP97">
            <v>0</v>
          </cell>
          <cell r="AR97">
            <v>0</v>
          </cell>
          <cell r="AT97">
            <v>0</v>
          </cell>
          <cell r="AV97">
            <v>0</v>
          </cell>
          <cell r="AX97">
            <v>0</v>
          </cell>
          <cell r="AZ97">
            <v>0</v>
          </cell>
          <cell r="BB97">
            <v>0</v>
          </cell>
          <cell r="BD97">
            <v>0</v>
          </cell>
          <cell r="BF97">
            <v>0</v>
          </cell>
          <cell r="BH97">
            <v>0</v>
          </cell>
          <cell r="BJ97">
            <v>0</v>
          </cell>
          <cell r="BN97">
            <v>0</v>
          </cell>
          <cell r="BP97">
            <v>0</v>
          </cell>
          <cell r="BR97">
            <v>0</v>
          </cell>
          <cell r="BT97">
            <v>0</v>
          </cell>
          <cell r="BV97">
            <v>0</v>
          </cell>
          <cell r="BX97">
            <v>0</v>
          </cell>
          <cell r="CB97">
            <v>0</v>
          </cell>
          <cell r="CD97">
            <v>0</v>
          </cell>
          <cell r="CG97" t="str">
            <v>PSE</v>
          </cell>
          <cell r="CO97" t="str">
            <v>PSE</v>
          </cell>
          <cell r="CP97">
            <v>0</v>
          </cell>
          <cell r="CR97">
            <v>0</v>
          </cell>
          <cell r="CT97">
            <v>0</v>
          </cell>
          <cell r="CV97">
            <v>0</v>
          </cell>
          <cell r="DJ97">
            <v>0</v>
          </cell>
          <cell r="DL97">
            <v>0</v>
          </cell>
        </row>
        <row r="98">
          <cell r="B98" t="str">
            <v>OPT</v>
          </cell>
          <cell r="D98" t="str">
            <v>OTHER THERAPIES</v>
          </cell>
          <cell r="F98" t="str">
            <v>D79</v>
          </cell>
          <cell r="H98">
            <v>0</v>
          </cell>
          <cell r="J98">
            <v>0</v>
          </cell>
          <cell r="L98">
            <v>0</v>
          </cell>
          <cell r="N98">
            <v>0</v>
          </cell>
          <cell r="O98" t="str">
            <v>OPT</v>
          </cell>
          <cell r="P98">
            <v>0</v>
          </cell>
          <cell r="R98">
            <v>0</v>
          </cell>
          <cell r="T98">
            <v>0</v>
          </cell>
          <cell r="AD98">
            <v>0</v>
          </cell>
          <cell r="AF98">
            <v>0</v>
          </cell>
          <cell r="AH98">
            <v>0</v>
          </cell>
          <cell r="AJ98">
            <v>0</v>
          </cell>
          <cell r="AL98">
            <v>0</v>
          </cell>
          <cell r="AN98">
            <v>0</v>
          </cell>
          <cell r="AP98">
            <v>0</v>
          </cell>
          <cell r="AR98">
            <v>0</v>
          </cell>
          <cell r="AT98">
            <v>0</v>
          </cell>
          <cell r="AV98">
            <v>0</v>
          </cell>
          <cell r="AX98">
            <v>0</v>
          </cell>
          <cell r="AZ98">
            <v>0</v>
          </cell>
          <cell r="BB98">
            <v>0</v>
          </cell>
          <cell r="BD98">
            <v>0</v>
          </cell>
          <cell r="BF98">
            <v>0</v>
          </cell>
          <cell r="BH98">
            <v>0</v>
          </cell>
          <cell r="BJ98">
            <v>0</v>
          </cell>
          <cell r="BN98">
            <v>0</v>
          </cell>
          <cell r="BP98">
            <v>0</v>
          </cell>
          <cell r="BR98">
            <v>0</v>
          </cell>
          <cell r="BT98">
            <v>0</v>
          </cell>
          <cell r="BV98">
            <v>0</v>
          </cell>
          <cell r="BX98">
            <v>0</v>
          </cell>
          <cell r="CB98">
            <v>0</v>
          </cell>
          <cell r="CD98">
            <v>0</v>
          </cell>
          <cell r="CG98" t="str">
            <v>OPT</v>
          </cell>
          <cell r="CO98" t="str">
            <v>OPT</v>
          </cell>
          <cell r="CP98">
            <v>0</v>
          </cell>
          <cell r="CR98">
            <v>0</v>
          </cell>
          <cell r="CT98">
            <v>0</v>
          </cell>
          <cell r="CV98">
            <v>0</v>
          </cell>
          <cell r="DJ98">
            <v>0</v>
          </cell>
          <cell r="DL98">
            <v>0</v>
          </cell>
        </row>
        <row r="99">
          <cell r="B99" t="str">
            <v>ETH</v>
          </cell>
          <cell r="D99" t="str">
            <v>ELECTROCONVULSIVE THERAPY</v>
          </cell>
          <cell r="F99" t="str">
            <v>D80</v>
          </cell>
          <cell r="H99">
            <v>0</v>
          </cell>
          <cell r="J99">
            <v>0</v>
          </cell>
          <cell r="L99">
            <v>0</v>
          </cell>
          <cell r="N99">
            <v>0</v>
          </cell>
          <cell r="O99" t="str">
            <v>ETH</v>
          </cell>
          <cell r="P99">
            <v>0</v>
          </cell>
          <cell r="R99">
            <v>0</v>
          </cell>
          <cell r="T99">
            <v>0</v>
          </cell>
          <cell r="AD99">
            <v>0</v>
          </cell>
          <cell r="AF99">
            <v>0</v>
          </cell>
          <cell r="AH99">
            <v>0</v>
          </cell>
          <cell r="AJ99">
            <v>0</v>
          </cell>
          <cell r="AL99">
            <v>0</v>
          </cell>
          <cell r="AN99">
            <v>0</v>
          </cell>
          <cell r="AP99">
            <v>0</v>
          </cell>
          <cell r="AR99">
            <v>0</v>
          </cell>
          <cell r="AT99">
            <v>0</v>
          </cell>
          <cell r="AV99">
            <v>0</v>
          </cell>
          <cell r="AX99">
            <v>0</v>
          </cell>
          <cell r="AZ99">
            <v>0</v>
          </cell>
          <cell r="BB99">
            <v>0</v>
          </cell>
          <cell r="BD99">
            <v>0</v>
          </cell>
          <cell r="BF99">
            <v>0</v>
          </cell>
          <cell r="BH99">
            <v>0</v>
          </cell>
          <cell r="BJ99">
            <v>0</v>
          </cell>
          <cell r="BN99">
            <v>0</v>
          </cell>
          <cell r="BP99">
            <v>0</v>
          </cell>
          <cell r="BR99">
            <v>0</v>
          </cell>
          <cell r="BT99">
            <v>0</v>
          </cell>
          <cell r="BV99">
            <v>0</v>
          </cell>
          <cell r="BX99">
            <v>0</v>
          </cell>
          <cell r="CB99">
            <v>0</v>
          </cell>
          <cell r="CD99">
            <v>0</v>
          </cell>
          <cell r="CG99" t="str">
            <v>ETH</v>
          </cell>
          <cell r="CO99" t="str">
            <v>ETH</v>
          </cell>
          <cell r="CP99">
            <v>0</v>
          </cell>
          <cell r="CR99">
            <v>0</v>
          </cell>
          <cell r="CT99">
            <v>0</v>
          </cell>
          <cell r="CV99">
            <v>0</v>
          </cell>
          <cell r="DJ99">
            <v>0</v>
          </cell>
          <cell r="DL99">
            <v>0</v>
          </cell>
        </row>
        <row r="100">
          <cell r="B100" t="str">
            <v>ATH</v>
          </cell>
          <cell r="D100" t="str">
            <v>ACTIVITY THERAPIES</v>
          </cell>
          <cell r="F100" t="str">
            <v>D81</v>
          </cell>
          <cell r="H100">
            <v>0</v>
          </cell>
          <cell r="J100">
            <v>0</v>
          </cell>
          <cell r="L100">
            <v>0</v>
          </cell>
          <cell r="N100">
            <v>0</v>
          </cell>
          <cell r="O100" t="str">
            <v>ATH</v>
          </cell>
          <cell r="P100">
            <v>0</v>
          </cell>
          <cell r="R100">
            <v>0</v>
          </cell>
          <cell r="T100">
            <v>0</v>
          </cell>
          <cell r="AD100">
            <v>0</v>
          </cell>
          <cell r="AF100">
            <v>0</v>
          </cell>
          <cell r="AH100">
            <v>0</v>
          </cell>
          <cell r="AJ100">
            <v>0</v>
          </cell>
          <cell r="AL100">
            <v>0</v>
          </cell>
          <cell r="AN100">
            <v>0</v>
          </cell>
          <cell r="AP100">
            <v>0</v>
          </cell>
          <cell r="AR100">
            <v>0</v>
          </cell>
          <cell r="AT100">
            <v>0</v>
          </cell>
          <cell r="AV100">
            <v>0</v>
          </cell>
          <cell r="AX100">
            <v>0</v>
          </cell>
          <cell r="AZ100">
            <v>0</v>
          </cell>
          <cell r="BB100">
            <v>0</v>
          </cell>
          <cell r="BD100">
            <v>0</v>
          </cell>
          <cell r="BF100">
            <v>0</v>
          </cell>
          <cell r="BH100">
            <v>0</v>
          </cell>
          <cell r="BJ100">
            <v>0</v>
          </cell>
          <cell r="BN100">
            <v>0</v>
          </cell>
          <cell r="BP100">
            <v>0</v>
          </cell>
          <cell r="BR100">
            <v>0</v>
          </cell>
          <cell r="BT100">
            <v>0</v>
          </cell>
          <cell r="BV100">
            <v>0</v>
          </cell>
          <cell r="BX100">
            <v>0</v>
          </cell>
          <cell r="CB100">
            <v>0</v>
          </cell>
          <cell r="CD100">
            <v>0</v>
          </cell>
          <cell r="CG100" t="str">
            <v>ATH</v>
          </cell>
          <cell r="CO100" t="str">
            <v>ATH</v>
          </cell>
          <cell r="CP100">
            <v>0</v>
          </cell>
          <cell r="CR100">
            <v>0</v>
          </cell>
          <cell r="CT100">
            <v>0</v>
          </cell>
          <cell r="CV100">
            <v>0</v>
          </cell>
          <cell r="DJ100">
            <v>0</v>
          </cell>
          <cell r="DL100">
            <v>0</v>
          </cell>
        </row>
        <row r="101">
          <cell r="B101" t="str">
            <v>EDP</v>
          </cell>
          <cell r="D101" t="str">
            <v>DATA PROCESSING</v>
          </cell>
          <cell r="F101" t="str">
            <v>DP1</v>
          </cell>
          <cell r="H101">
            <v>698159.54838663258</v>
          </cell>
          <cell r="J101">
            <v>12750129.065400634</v>
          </cell>
          <cell r="L101">
            <v>13448288.613787267</v>
          </cell>
          <cell r="N101">
            <v>5.2603365384615381</v>
          </cell>
          <cell r="O101" t="str">
            <v>EDP</v>
          </cell>
          <cell r="P101">
            <v>698.2</v>
          </cell>
          <cell r="R101">
            <v>12750.1</v>
          </cell>
          <cell r="T101">
            <v>13448.300000000001</v>
          </cell>
          <cell r="X101">
            <v>0</v>
          </cell>
          <cell r="Z101">
            <v>0</v>
          </cell>
          <cell r="AD101">
            <v>698.2</v>
          </cell>
          <cell r="AF101">
            <v>12750.1</v>
          </cell>
          <cell r="AH101">
            <v>13448.300000000001</v>
          </cell>
          <cell r="AJ101">
            <v>5.2603365384615381</v>
          </cell>
          <cell r="AL101">
            <v>0</v>
          </cell>
          <cell r="AN101">
            <v>0</v>
          </cell>
          <cell r="AP101">
            <v>0</v>
          </cell>
          <cell r="AR101">
            <v>0</v>
          </cell>
          <cell r="AT101">
            <v>-698.20000000000039</v>
          </cell>
          <cell r="AV101">
            <v>-12750.099999999997</v>
          </cell>
          <cell r="AX101">
            <v>-13448.299999999997</v>
          </cell>
          <cell r="AZ101">
            <v>-5.2603365384615381</v>
          </cell>
          <cell r="BB101">
            <v>0</v>
          </cell>
          <cell r="BD101">
            <v>0</v>
          </cell>
          <cell r="BF101">
            <v>0</v>
          </cell>
          <cell r="BH101">
            <v>0</v>
          </cell>
          <cell r="BN101">
            <v>0</v>
          </cell>
          <cell r="BR101">
            <v>0</v>
          </cell>
          <cell r="BT101">
            <v>0</v>
          </cell>
          <cell r="BV101">
            <v>0</v>
          </cell>
          <cell r="BX101">
            <v>0</v>
          </cell>
          <cell r="CD101">
            <v>0</v>
          </cell>
          <cell r="CG101" t="str">
            <v>EDP</v>
          </cell>
          <cell r="CO101" t="str">
            <v>EDP</v>
          </cell>
          <cell r="CP101">
            <v>0</v>
          </cell>
          <cell r="CR101">
            <v>0</v>
          </cell>
          <cell r="CT101">
            <v>0</v>
          </cell>
          <cell r="CV101">
            <v>0</v>
          </cell>
        </row>
        <row r="102">
          <cell r="B102" t="str">
            <v>AMB</v>
          </cell>
          <cell r="D102" t="str">
            <v>AMBULANCE SERVICE</v>
          </cell>
          <cell r="F102" t="str">
            <v>E1</v>
          </cell>
          <cell r="H102">
            <v>0</v>
          </cell>
          <cell r="J102">
            <v>0</v>
          </cell>
          <cell r="L102">
            <v>0</v>
          </cell>
          <cell r="N102">
            <v>0</v>
          </cell>
          <cell r="O102" t="str">
            <v>AMB</v>
          </cell>
          <cell r="P102">
            <v>0</v>
          </cell>
          <cell r="R102">
            <v>0</v>
          </cell>
          <cell r="T102">
            <v>0</v>
          </cell>
          <cell r="AD102">
            <v>0</v>
          </cell>
          <cell r="AF102">
            <v>0</v>
          </cell>
          <cell r="AH102">
            <v>0</v>
          </cell>
          <cell r="AJ102">
            <v>0</v>
          </cell>
          <cell r="AL102">
            <v>0</v>
          </cell>
          <cell r="AN102">
            <v>0</v>
          </cell>
          <cell r="AP102">
            <v>0</v>
          </cell>
          <cell r="AR102">
            <v>0</v>
          </cell>
          <cell r="AT102">
            <v>0</v>
          </cell>
          <cell r="AV102">
            <v>0</v>
          </cell>
          <cell r="AX102">
            <v>0</v>
          </cell>
          <cell r="AZ102">
            <v>0</v>
          </cell>
          <cell r="BB102">
            <v>0</v>
          </cell>
          <cell r="BD102">
            <v>0</v>
          </cell>
          <cell r="BF102">
            <v>0</v>
          </cell>
          <cell r="BH102">
            <v>0</v>
          </cell>
          <cell r="BN102">
            <v>0</v>
          </cell>
          <cell r="BR102">
            <v>0</v>
          </cell>
          <cell r="BT102">
            <v>0</v>
          </cell>
          <cell r="BV102">
            <v>0</v>
          </cell>
          <cell r="BX102">
            <v>0</v>
          </cell>
          <cell r="CB102">
            <v>0</v>
          </cell>
          <cell r="CD102">
            <v>0</v>
          </cell>
          <cell r="CG102" t="str">
            <v>AMB</v>
          </cell>
          <cell r="CH102">
            <v>0</v>
          </cell>
          <cell r="CJ102">
            <v>0</v>
          </cell>
          <cell r="CL102">
            <v>0</v>
          </cell>
          <cell r="CN102">
            <v>0</v>
          </cell>
          <cell r="CO102" t="str">
            <v>AMB</v>
          </cell>
          <cell r="CP102">
            <v>0</v>
          </cell>
          <cell r="CR102">
            <v>0</v>
          </cell>
          <cell r="CT102">
            <v>0</v>
          </cell>
          <cell r="CV102">
            <v>0</v>
          </cell>
          <cell r="CX102">
            <v>0</v>
          </cell>
          <cell r="CZ102">
            <v>0</v>
          </cell>
          <cell r="DD102">
            <v>0</v>
          </cell>
          <cell r="DF102">
            <v>0</v>
          </cell>
          <cell r="DH102">
            <v>0</v>
          </cell>
        </row>
        <row r="103">
          <cell r="B103" t="str">
            <v>PAR</v>
          </cell>
          <cell r="D103" t="str">
            <v>PARKING</v>
          </cell>
          <cell r="F103" t="str">
            <v>E2</v>
          </cell>
          <cell r="H103">
            <v>438821.80354415334</v>
          </cell>
          <cell r="J103">
            <v>287974.88999999996</v>
          </cell>
          <cell r="L103">
            <v>726796.69354415336</v>
          </cell>
          <cell r="N103">
            <v>10.98858173076923</v>
          </cell>
          <cell r="O103" t="str">
            <v>PAR</v>
          </cell>
          <cell r="P103">
            <v>438.8</v>
          </cell>
          <cell r="R103">
            <v>288</v>
          </cell>
          <cell r="T103">
            <v>726.8</v>
          </cell>
          <cell r="AD103">
            <v>438.8</v>
          </cell>
          <cell r="AF103">
            <v>288</v>
          </cell>
          <cell r="AH103">
            <v>726.8</v>
          </cell>
          <cell r="AJ103">
            <v>10.98858173076923</v>
          </cell>
          <cell r="AL103">
            <v>0</v>
          </cell>
          <cell r="AN103">
            <v>0</v>
          </cell>
          <cell r="AP103">
            <v>0</v>
          </cell>
          <cell r="AR103">
            <v>0</v>
          </cell>
          <cell r="AT103">
            <v>0</v>
          </cell>
          <cell r="AV103">
            <v>0</v>
          </cell>
          <cell r="AX103">
            <v>0</v>
          </cell>
          <cell r="AZ103">
            <v>0</v>
          </cell>
          <cell r="BB103">
            <v>438.8</v>
          </cell>
          <cell r="BD103">
            <v>288</v>
          </cell>
          <cell r="BF103">
            <v>726.8</v>
          </cell>
          <cell r="BH103">
            <v>10.98858173076923</v>
          </cell>
          <cell r="BN103">
            <v>0</v>
          </cell>
          <cell r="BR103">
            <v>438.8</v>
          </cell>
          <cell r="BT103">
            <v>288</v>
          </cell>
          <cell r="BV103">
            <v>726.8</v>
          </cell>
          <cell r="BX103">
            <v>10.98858173076923</v>
          </cell>
          <cell r="CD103">
            <v>0</v>
          </cell>
          <cell r="CG103" t="str">
            <v>PAR</v>
          </cell>
          <cell r="CH103">
            <v>22.355439302578944</v>
          </cell>
          <cell r="CJ103">
            <v>44.716492798930105</v>
          </cell>
          <cell r="CL103">
            <v>67.071932101509049</v>
          </cell>
          <cell r="CN103">
            <v>0.15888721075903409</v>
          </cell>
          <cell r="CO103" t="str">
            <v>PAR</v>
          </cell>
          <cell r="CP103">
            <v>461.15543930257894</v>
          </cell>
          <cell r="CR103">
            <v>332.71649279893012</v>
          </cell>
          <cell r="CT103">
            <v>793.87193210150906</v>
          </cell>
          <cell r="CV103">
            <v>11.147468941528263</v>
          </cell>
          <cell r="CX103">
            <v>1207.90589</v>
          </cell>
          <cell r="CZ103">
            <v>414.03395789849094</v>
          </cell>
          <cell r="DB103">
            <v>0</v>
          </cell>
          <cell r="DD103">
            <v>414.03395789849094</v>
          </cell>
          <cell r="DF103">
            <v>0</v>
          </cell>
          <cell r="DH103">
            <v>414.03395789849094</v>
          </cell>
        </row>
        <row r="104">
          <cell r="B104" t="str">
            <v>DPO</v>
          </cell>
          <cell r="D104" t="str">
            <v>DOCTOR PRIVATE OFFICE RENT</v>
          </cell>
          <cell r="F104" t="str">
            <v>E3</v>
          </cell>
          <cell r="H104">
            <v>0</v>
          </cell>
          <cell r="J104">
            <v>0</v>
          </cell>
          <cell r="L104">
            <v>0</v>
          </cell>
          <cell r="N104">
            <v>0</v>
          </cell>
          <cell r="O104" t="str">
            <v>DPO</v>
          </cell>
          <cell r="P104">
            <v>0</v>
          </cell>
          <cell r="R104">
            <v>0</v>
          </cell>
          <cell r="T104">
            <v>0</v>
          </cell>
          <cell r="AD104">
            <v>0</v>
          </cell>
          <cell r="AF104">
            <v>0</v>
          </cell>
          <cell r="AH104">
            <v>0</v>
          </cell>
          <cell r="AJ104">
            <v>0</v>
          </cell>
          <cell r="AL104">
            <v>0</v>
          </cell>
          <cell r="AN104">
            <v>0</v>
          </cell>
          <cell r="AP104">
            <v>0</v>
          </cell>
          <cell r="AR104">
            <v>0</v>
          </cell>
          <cell r="AT104">
            <v>0</v>
          </cell>
          <cell r="AV104">
            <v>0</v>
          </cell>
          <cell r="AX104">
            <v>0</v>
          </cell>
          <cell r="AZ104">
            <v>0</v>
          </cell>
          <cell r="BB104">
            <v>0</v>
          </cell>
          <cell r="BD104">
            <v>0</v>
          </cell>
          <cell r="BF104">
            <v>0</v>
          </cell>
          <cell r="BH104">
            <v>0</v>
          </cell>
          <cell r="BN104">
            <v>0</v>
          </cell>
          <cell r="BR104">
            <v>0</v>
          </cell>
          <cell r="BT104">
            <v>0</v>
          </cell>
          <cell r="BV104">
            <v>0</v>
          </cell>
          <cell r="BX104">
            <v>0</v>
          </cell>
          <cell r="CB104">
            <v>0</v>
          </cell>
          <cell r="CD104">
            <v>0</v>
          </cell>
          <cell r="CG104" t="str">
            <v>DPO</v>
          </cell>
          <cell r="CH104">
            <v>0</v>
          </cell>
          <cell r="CJ104">
            <v>0</v>
          </cell>
          <cell r="CL104">
            <v>0</v>
          </cell>
          <cell r="CN104">
            <v>0</v>
          </cell>
          <cell r="CO104" t="str">
            <v>DPO</v>
          </cell>
          <cell r="CP104">
            <v>0</v>
          </cell>
          <cell r="CR104">
            <v>0</v>
          </cell>
          <cell r="CT104">
            <v>0</v>
          </cell>
          <cell r="CV104">
            <v>0</v>
          </cell>
          <cell r="CX104">
            <v>0</v>
          </cell>
          <cell r="CZ104">
            <v>0</v>
          </cell>
          <cell r="DD104">
            <v>0</v>
          </cell>
          <cell r="DF104">
            <v>0</v>
          </cell>
          <cell r="DH104">
            <v>0</v>
          </cell>
        </row>
        <row r="105">
          <cell r="B105" t="str">
            <v>OOR</v>
          </cell>
          <cell r="D105" t="str">
            <v>OFFICE &amp; OTHER RENTALS</v>
          </cell>
          <cell r="F105" t="str">
            <v>E4</v>
          </cell>
          <cell r="H105">
            <v>0</v>
          </cell>
          <cell r="J105">
            <v>282588.44</v>
          </cell>
          <cell r="L105">
            <v>282588.44</v>
          </cell>
          <cell r="N105">
            <v>0</v>
          </cell>
          <cell r="O105" t="str">
            <v>OOR</v>
          </cell>
          <cell r="P105">
            <v>0</v>
          </cell>
          <cell r="R105">
            <v>282.60000000000002</v>
          </cell>
          <cell r="T105">
            <v>282.60000000000002</v>
          </cell>
          <cell r="AD105">
            <v>0</v>
          </cell>
          <cell r="AF105">
            <v>282.60000000000002</v>
          </cell>
          <cell r="AH105">
            <v>282.60000000000002</v>
          </cell>
          <cell r="AJ105">
            <v>0</v>
          </cell>
          <cell r="AL105">
            <v>0</v>
          </cell>
          <cell r="AN105">
            <v>0</v>
          </cell>
          <cell r="AP105">
            <v>0</v>
          </cell>
          <cell r="AR105">
            <v>0</v>
          </cell>
          <cell r="AT105">
            <v>0</v>
          </cell>
          <cell r="AV105">
            <v>0</v>
          </cell>
          <cell r="AX105">
            <v>0</v>
          </cell>
          <cell r="AZ105">
            <v>0</v>
          </cell>
          <cell r="BB105">
            <v>0</v>
          </cell>
          <cell r="BD105">
            <v>282.60000000000002</v>
          </cell>
          <cell r="BF105">
            <v>282.60000000000002</v>
          </cell>
          <cell r="BH105">
            <v>0</v>
          </cell>
          <cell r="BN105">
            <v>0</v>
          </cell>
          <cell r="BR105">
            <v>0</v>
          </cell>
          <cell r="BT105">
            <v>282.60000000000002</v>
          </cell>
          <cell r="BV105">
            <v>282.60000000000002</v>
          </cell>
          <cell r="BX105">
            <v>0</v>
          </cell>
          <cell r="CB105">
            <v>0</v>
          </cell>
          <cell r="CD105">
            <v>0</v>
          </cell>
          <cell r="CG105" t="str">
            <v>OOR</v>
          </cell>
          <cell r="CH105">
            <v>0</v>
          </cell>
          <cell r="CJ105">
            <v>1890.62456</v>
          </cell>
          <cell r="CL105">
            <v>1890.62456</v>
          </cell>
          <cell r="CN105">
            <v>0</v>
          </cell>
          <cell r="CO105" t="str">
            <v>OOR</v>
          </cell>
          <cell r="CP105">
            <v>0</v>
          </cell>
          <cell r="CR105">
            <v>2173.2245600000001</v>
          </cell>
          <cell r="CT105">
            <v>2173.2245600000001</v>
          </cell>
          <cell r="CV105">
            <v>0</v>
          </cell>
          <cell r="CX105">
            <v>1368.3696299999999</v>
          </cell>
          <cell r="CZ105">
            <v>-804.85493000000019</v>
          </cell>
          <cell r="DD105">
            <v>-804.85493000000019</v>
          </cell>
          <cell r="DF105">
            <v>-804.85493000000019</v>
          </cell>
          <cell r="DH105">
            <v>0</v>
          </cell>
        </row>
        <row r="106">
          <cell r="B106" t="str">
            <v>REO</v>
          </cell>
          <cell r="D106" t="str">
            <v>RETAIL OPERATIONS</v>
          </cell>
          <cell r="F106" t="str">
            <v>E5</v>
          </cell>
          <cell r="H106">
            <v>0</v>
          </cell>
          <cell r="J106">
            <v>114.95</v>
          </cell>
          <cell r="L106">
            <v>114.95</v>
          </cell>
          <cell r="N106">
            <v>0</v>
          </cell>
          <cell r="O106" t="str">
            <v>REO</v>
          </cell>
          <cell r="P106">
            <v>0</v>
          </cell>
          <cell r="R106">
            <v>0.1</v>
          </cell>
          <cell r="T106">
            <v>0.1</v>
          </cell>
          <cell r="AD106">
            <v>0</v>
          </cell>
          <cell r="AF106">
            <v>0.1</v>
          </cell>
          <cell r="AH106">
            <v>0.1</v>
          </cell>
          <cell r="AJ106">
            <v>0</v>
          </cell>
          <cell r="AL106">
            <v>0</v>
          </cell>
          <cell r="AN106">
            <v>0</v>
          </cell>
          <cell r="AP106">
            <v>0</v>
          </cell>
          <cell r="AR106">
            <v>0</v>
          </cell>
          <cell r="AT106">
            <v>0</v>
          </cell>
          <cell r="AV106">
            <v>0</v>
          </cell>
          <cell r="AX106">
            <v>0</v>
          </cell>
          <cell r="AZ106">
            <v>0</v>
          </cell>
          <cell r="BB106">
            <v>0</v>
          </cell>
          <cell r="BD106">
            <v>0.1</v>
          </cell>
          <cell r="BF106">
            <v>0.1</v>
          </cell>
          <cell r="BH106">
            <v>0</v>
          </cell>
          <cell r="BN106">
            <v>0</v>
          </cell>
          <cell r="BR106">
            <v>0</v>
          </cell>
          <cell r="BT106">
            <v>0.1</v>
          </cell>
          <cell r="BV106">
            <v>0.1</v>
          </cell>
          <cell r="BX106">
            <v>0</v>
          </cell>
          <cell r="CB106">
            <v>0.13494999999999999</v>
          </cell>
          <cell r="CD106">
            <v>0.13494999999999999</v>
          </cell>
          <cell r="CG106" t="str">
            <v>REO</v>
          </cell>
          <cell r="CH106">
            <v>9.1206265833144826</v>
          </cell>
          <cell r="CJ106">
            <v>71.171007147504554</v>
          </cell>
          <cell r="CL106">
            <v>80.291633730819029</v>
          </cell>
          <cell r="CN106">
            <v>0.12558217930579119</v>
          </cell>
          <cell r="CO106" t="str">
            <v>REO</v>
          </cell>
          <cell r="CP106">
            <v>9.2555765833144825</v>
          </cell>
          <cell r="CR106">
            <v>71.271007147504548</v>
          </cell>
          <cell r="CT106">
            <v>80.526583730819027</v>
          </cell>
          <cell r="CV106">
            <v>0.12558217930579119</v>
          </cell>
          <cell r="CX106">
            <v>0</v>
          </cell>
          <cell r="CZ106">
            <v>-80.526583730819027</v>
          </cell>
          <cell r="DD106">
            <v>-80.526583730819027</v>
          </cell>
          <cell r="DF106">
            <v>-80.526583730819027</v>
          </cell>
          <cell r="DH106">
            <v>0</v>
          </cell>
        </row>
        <row r="107">
          <cell r="B107" t="str">
            <v>PTE</v>
          </cell>
          <cell r="D107" t="str">
            <v>PATIENT TELEPHONE</v>
          </cell>
          <cell r="F107" t="str">
            <v>E6</v>
          </cell>
          <cell r="H107">
            <v>69858.08841517914</v>
          </cell>
          <cell r="J107">
            <v>-313.44863436123353</v>
          </cell>
          <cell r="L107">
            <v>69544.639780817903</v>
          </cell>
          <cell r="N107">
            <v>1.4473876137628889</v>
          </cell>
          <cell r="O107" t="str">
            <v>PTE</v>
          </cell>
          <cell r="P107">
            <v>69.900000000000006</v>
          </cell>
          <cell r="R107">
            <v>-0.3</v>
          </cell>
          <cell r="T107">
            <v>69.600000000000009</v>
          </cell>
          <cell r="AD107">
            <v>69.900000000000006</v>
          </cell>
          <cell r="AF107">
            <v>-0.3</v>
          </cell>
          <cell r="AH107">
            <v>69.600000000000009</v>
          </cell>
          <cell r="AJ107">
            <v>1.4473876137628889</v>
          </cell>
          <cell r="AL107">
            <v>0</v>
          </cell>
          <cell r="AN107">
            <v>0</v>
          </cell>
          <cell r="AP107">
            <v>0</v>
          </cell>
          <cell r="AR107">
            <v>0</v>
          </cell>
          <cell r="AT107">
            <v>0</v>
          </cell>
          <cell r="AV107">
            <v>0</v>
          </cell>
          <cell r="AX107">
            <v>0</v>
          </cell>
          <cell r="AZ107">
            <v>0</v>
          </cell>
          <cell r="BB107">
            <v>69.900000000000006</v>
          </cell>
          <cell r="BD107">
            <v>-0.3</v>
          </cell>
          <cell r="BF107">
            <v>69.600000000000009</v>
          </cell>
          <cell r="BH107">
            <v>1.4473876137628889</v>
          </cell>
          <cell r="BN107">
            <v>0</v>
          </cell>
          <cell r="BR107">
            <v>69.900000000000006</v>
          </cell>
          <cell r="BT107">
            <v>-0.3</v>
          </cell>
          <cell r="BV107">
            <v>69.600000000000009</v>
          </cell>
          <cell r="BX107">
            <v>1.4473876137628889</v>
          </cell>
          <cell r="CB107">
            <v>1.5740700000000001</v>
          </cell>
          <cell r="CD107">
            <v>1.5740700000000001</v>
          </cell>
          <cell r="CG107" t="str">
            <v>PTE</v>
          </cell>
          <cell r="CH107">
            <v>2.1331735718068723</v>
          </cell>
          <cell r="CJ107">
            <v>3.9779328330759931</v>
          </cell>
          <cell r="CL107">
            <v>6.1111064048828654</v>
          </cell>
          <cell r="CN107">
            <v>1.7437897193062601E-2</v>
          </cell>
          <cell r="CO107" t="str">
            <v>PTE</v>
          </cell>
          <cell r="CP107">
            <v>73.60724357180689</v>
          </cell>
          <cell r="CR107">
            <v>3.6779328330759933</v>
          </cell>
          <cell r="CT107">
            <v>77.28517640488289</v>
          </cell>
          <cell r="CV107">
            <v>1.4648255109559516</v>
          </cell>
          <cell r="CX107">
            <v>0</v>
          </cell>
          <cell r="CZ107">
            <v>-77.28517640488289</v>
          </cell>
          <cell r="DD107">
            <v>-77.28517640488289</v>
          </cell>
          <cell r="DF107">
            <v>-77.28517640488289</v>
          </cell>
          <cell r="DH107">
            <v>0</v>
          </cell>
        </row>
        <row r="108">
          <cell r="B108" t="str">
            <v>CAF</v>
          </cell>
          <cell r="D108" t="str">
            <v>CAFETERIA</v>
          </cell>
          <cell r="F108" t="str">
            <v>E7</v>
          </cell>
          <cell r="H108">
            <v>0</v>
          </cell>
          <cell r="J108">
            <v>886040.6897300001</v>
          </cell>
          <cell r="L108">
            <v>886040.6897300001</v>
          </cell>
          <cell r="N108">
            <v>0</v>
          </cell>
          <cell r="O108" t="str">
            <v>CAF</v>
          </cell>
          <cell r="P108">
            <v>0</v>
          </cell>
          <cell r="R108">
            <v>886</v>
          </cell>
          <cell r="T108">
            <v>886</v>
          </cell>
          <cell r="AD108">
            <v>0</v>
          </cell>
          <cell r="AF108">
            <v>886</v>
          </cell>
          <cell r="AH108">
            <v>886</v>
          </cell>
          <cell r="AJ108">
            <v>0</v>
          </cell>
          <cell r="AL108">
            <v>0</v>
          </cell>
          <cell r="AN108">
            <v>0</v>
          </cell>
          <cell r="AP108">
            <v>0</v>
          </cell>
          <cell r="AR108">
            <v>0</v>
          </cell>
          <cell r="AT108">
            <v>0</v>
          </cell>
          <cell r="AV108">
            <v>0</v>
          </cell>
          <cell r="AX108">
            <v>0</v>
          </cell>
          <cell r="AZ108">
            <v>0</v>
          </cell>
          <cell r="BB108">
            <v>0</v>
          </cell>
          <cell r="BD108">
            <v>886</v>
          </cell>
          <cell r="BF108">
            <v>886</v>
          </cell>
          <cell r="BH108">
            <v>0</v>
          </cell>
          <cell r="BN108">
            <v>0</v>
          </cell>
          <cell r="BR108">
            <v>0</v>
          </cell>
          <cell r="BT108">
            <v>886</v>
          </cell>
          <cell r="BV108">
            <v>886</v>
          </cell>
          <cell r="BX108">
            <v>0</v>
          </cell>
          <cell r="CD108">
            <v>0</v>
          </cell>
          <cell r="CG108" t="str">
            <v>CAF</v>
          </cell>
          <cell r="CH108">
            <v>30.713124345641063</v>
          </cell>
          <cell r="CJ108">
            <v>239.66379638047351</v>
          </cell>
          <cell r="CL108">
            <v>270.37692072611458</v>
          </cell>
          <cell r="CN108">
            <v>0.42288992465402475</v>
          </cell>
          <cell r="CO108" t="str">
            <v>CAF</v>
          </cell>
          <cell r="CP108">
            <v>30.713124345641063</v>
          </cell>
          <cell r="CR108">
            <v>1125.6637963804735</v>
          </cell>
          <cell r="CT108">
            <v>1156.3769207261146</v>
          </cell>
          <cell r="CV108">
            <v>0.42288992465402475</v>
          </cell>
          <cell r="CX108">
            <v>0</v>
          </cell>
          <cell r="CZ108">
            <v>-1156.3769207261146</v>
          </cell>
          <cell r="DB108">
            <v>-1156.3769207261146</v>
          </cell>
          <cell r="DD108">
            <v>0</v>
          </cell>
          <cell r="DF108">
            <v>0</v>
          </cell>
          <cell r="DH108">
            <v>0</v>
          </cell>
        </row>
        <row r="109">
          <cell r="B109" t="str">
            <v>DEB</v>
          </cell>
          <cell r="D109" t="str">
            <v>DAY CARE, REC AREAS, ECT.</v>
          </cell>
          <cell r="F109" t="str">
            <v>E8</v>
          </cell>
          <cell r="H109">
            <v>0</v>
          </cell>
          <cell r="J109">
            <v>-10545.05</v>
          </cell>
          <cell r="L109">
            <v>-10545.05</v>
          </cell>
          <cell r="N109">
            <v>0</v>
          </cell>
          <cell r="O109" t="str">
            <v>DEB</v>
          </cell>
          <cell r="P109">
            <v>0</v>
          </cell>
          <cell r="R109">
            <v>-10.5</v>
          </cell>
          <cell r="T109">
            <v>-10.5</v>
          </cell>
          <cell r="AD109">
            <v>0</v>
          </cell>
          <cell r="AF109">
            <v>-10.5</v>
          </cell>
          <cell r="AH109">
            <v>-10.5</v>
          </cell>
          <cell r="AJ109">
            <v>0</v>
          </cell>
          <cell r="AL109">
            <v>0</v>
          </cell>
          <cell r="AN109">
            <v>0</v>
          </cell>
          <cell r="AP109">
            <v>0</v>
          </cell>
          <cell r="AR109">
            <v>0</v>
          </cell>
          <cell r="AT109">
            <v>0</v>
          </cell>
          <cell r="AV109">
            <v>0</v>
          </cell>
          <cell r="AX109">
            <v>0</v>
          </cell>
          <cell r="AZ109">
            <v>0</v>
          </cell>
          <cell r="BB109">
            <v>0</v>
          </cell>
          <cell r="BD109">
            <v>-10.5</v>
          </cell>
          <cell r="BF109">
            <v>-10.5</v>
          </cell>
          <cell r="BH109">
            <v>0</v>
          </cell>
          <cell r="BN109">
            <v>0</v>
          </cell>
          <cell r="BR109">
            <v>0</v>
          </cell>
          <cell r="BT109">
            <v>-10.5</v>
          </cell>
          <cell r="BV109">
            <v>-10.5</v>
          </cell>
          <cell r="BX109">
            <v>0</v>
          </cell>
          <cell r="CD109">
            <v>0</v>
          </cell>
          <cell r="CG109" t="str">
            <v>DEB</v>
          </cell>
          <cell r="CH109">
            <v>20.623837459090865</v>
          </cell>
          <cell r="CJ109">
            <v>163.51229478358738</v>
          </cell>
          <cell r="CL109">
            <v>184.13613224267823</v>
          </cell>
          <cell r="CN109">
            <v>0.28594022052733459</v>
          </cell>
          <cell r="CO109" t="str">
            <v>DEB</v>
          </cell>
          <cell r="CP109">
            <v>20.623837459090865</v>
          </cell>
          <cell r="CR109">
            <v>153.01229478358738</v>
          </cell>
          <cell r="CT109">
            <v>173.63613224267823</v>
          </cell>
          <cell r="CV109">
            <v>0.28594022052733459</v>
          </cell>
          <cell r="CX109">
            <v>0</v>
          </cell>
          <cell r="CZ109">
            <v>-173.63613224267823</v>
          </cell>
          <cell r="DB109">
            <v>-173.63613224267823</v>
          </cell>
          <cell r="DD109">
            <v>0</v>
          </cell>
          <cell r="DF109">
            <v>0</v>
          </cell>
          <cell r="DH109">
            <v>0</v>
          </cell>
        </row>
        <row r="110">
          <cell r="B110" t="str">
            <v>HOU</v>
          </cell>
          <cell r="D110" t="str">
            <v>HOUSING</v>
          </cell>
          <cell r="F110" t="str">
            <v>E9</v>
          </cell>
          <cell r="H110">
            <v>0</v>
          </cell>
          <cell r="J110">
            <v>0</v>
          </cell>
          <cell r="L110">
            <v>0</v>
          </cell>
          <cell r="N110">
            <v>0</v>
          </cell>
          <cell r="O110" t="str">
            <v>HOU</v>
          </cell>
          <cell r="P110">
            <v>0</v>
          </cell>
          <cell r="R110">
            <v>0</v>
          </cell>
          <cell r="T110">
            <v>0</v>
          </cell>
          <cell r="AD110">
            <v>0</v>
          </cell>
          <cell r="AF110">
            <v>0</v>
          </cell>
          <cell r="AH110">
            <v>0</v>
          </cell>
          <cell r="AJ110">
            <v>0</v>
          </cell>
          <cell r="AL110">
            <v>0</v>
          </cell>
          <cell r="AN110">
            <v>0</v>
          </cell>
          <cell r="AP110">
            <v>0</v>
          </cell>
          <cell r="AR110">
            <v>0</v>
          </cell>
          <cell r="AT110">
            <v>0</v>
          </cell>
          <cell r="AV110">
            <v>0</v>
          </cell>
          <cell r="AX110">
            <v>0</v>
          </cell>
          <cell r="AZ110">
            <v>0</v>
          </cell>
          <cell r="BB110">
            <v>0</v>
          </cell>
          <cell r="BD110">
            <v>0</v>
          </cell>
          <cell r="BF110">
            <v>0</v>
          </cell>
          <cell r="BH110">
            <v>0</v>
          </cell>
          <cell r="BN110">
            <v>0</v>
          </cell>
          <cell r="BR110">
            <v>0</v>
          </cell>
          <cell r="BT110">
            <v>0</v>
          </cell>
          <cell r="BV110">
            <v>0</v>
          </cell>
          <cell r="BX110">
            <v>0</v>
          </cell>
          <cell r="CD110">
            <v>0</v>
          </cell>
          <cell r="CG110" t="str">
            <v>HOU</v>
          </cell>
          <cell r="CH110">
            <v>0</v>
          </cell>
          <cell r="CJ110">
            <v>0</v>
          </cell>
          <cell r="CL110">
            <v>0</v>
          </cell>
          <cell r="CN110">
            <v>0</v>
          </cell>
          <cell r="CO110" t="str">
            <v>HOU</v>
          </cell>
          <cell r="CP110">
            <v>0</v>
          </cell>
          <cell r="CR110">
            <v>0</v>
          </cell>
          <cell r="CT110">
            <v>0</v>
          </cell>
          <cell r="CV110">
            <v>0</v>
          </cell>
          <cell r="CX110">
            <v>0</v>
          </cell>
          <cell r="CZ110">
            <v>0</v>
          </cell>
          <cell r="DB110">
            <v>0</v>
          </cell>
          <cell r="DD110">
            <v>0</v>
          </cell>
          <cell r="DF110">
            <v>0</v>
          </cell>
          <cell r="DH110">
            <v>0</v>
          </cell>
        </row>
        <row r="111">
          <cell r="B111" t="str">
            <v>REG</v>
          </cell>
          <cell r="D111" t="str">
            <v>RESEARCH</v>
          </cell>
          <cell r="F111" t="str">
            <v>F1</v>
          </cell>
          <cell r="H111">
            <v>362288.08401908906</v>
          </cell>
          <cell r="J111">
            <v>44828.75</v>
          </cell>
          <cell r="L111">
            <v>407116.83401908906</v>
          </cell>
          <cell r="N111">
            <v>3.0995192307692307</v>
          </cell>
          <cell r="O111" t="str">
            <v>REG</v>
          </cell>
          <cell r="P111">
            <v>362.3</v>
          </cell>
          <cell r="R111">
            <v>44.8</v>
          </cell>
          <cell r="T111">
            <v>407.1</v>
          </cell>
          <cell r="AD111">
            <v>362.3</v>
          </cell>
          <cell r="AF111">
            <v>44.8</v>
          </cell>
          <cell r="AH111">
            <v>407.1</v>
          </cell>
          <cell r="AJ111">
            <v>3.0995192307692307</v>
          </cell>
          <cell r="AL111">
            <v>0</v>
          </cell>
          <cell r="AN111">
            <v>0</v>
          </cell>
          <cell r="AP111">
            <v>0</v>
          </cell>
          <cell r="AR111">
            <v>0</v>
          </cell>
          <cell r="AT111">
            <v>0</v>
          </cell>
          <cell r="AV111">
            <v>0</v>
          </cell>
          <cell r="AX111">
            <v>0</v>
          </cell>
          <cell r="AZ111">
            <v>0</v>
          </cell>
          <cell r="BB111">
            <v>362.3</v>
          </cell>
          <cell r="BD111">
            <v>44.8</v>
          </cell>
          <cell r="BF111">
            <v>407.1</v>
          </cell>
          <cell r="BH111">
            <v>3.0995192307692307</v>
          </cell>
          <cell r="BJ111">
            <v>0</v>
          </cell>
          <cell r="BN111">
            <v>0</v>
          </cell>
          <cell r="BP111">
            <v>0</v>
          </cell>
          <cell r="BR111">
            <v>362.3</v>
          </cell>
          <cell r="BT111">
            <v>44.8</v>
          </cell>
          <cell r="BV111">
            <v>407.1</v>
          </cell>
          <cell r="BX111">
            <v>3.0995192307692307</v>
          </cell>
          <cell r="CB111">
            <v>3.4656400000000001</v>
          </cell>
          <cell r="CD111">
            <v>3.4656400000000001</v>
          </cell>
          <cell r="CG111" t="str">
            <v>REG</v>
          </cell>
          <cell r="CH111">
            <v>14.426032340948641</v>
          </cell>
          <cell r="CJ111">
            <v>24.310515546076108</v>
          </cell>
          <cell r="CL111">
            <v>38.736547887024749</v>
          </cell>
          <cell r="CN111">
            <v>0.12559994192684615</v>
          </cell>
          <cell r="CO111" t="str">
            <v>REG</v>
          </cell>
          <cell r="CP111">
            <v>380.19167234094868</v>
          </cell>
          <cell r="CR111">
            <v>69.110515546076101</v>
          </cell>
          <cell r="CT111">
            <v>449.30218788702479</v>
          </cell>
          <cell r="CV111">
            <v>3.2251191726960768</v>
          </cell>
          <cell r="CX111">
            <v>34.071510000000004</v>
          </cell>
          <cell r="CZ111">
            <v>-415.2306778870248</v>
          </cell>
          <cell r="DD111">
            <v>-415.2306778870248</v>
          </cell>
          <cell r="DF111">
            <v>-415.2306778870248</v>
          </cell>
          <cell r="DH111">
            <v>0</v>
          </cell>
        </row>
        <row r="112">
          <cell r="B112" t="str">
            <v>RNS</v>
          </cell>
          <cell r="D112" t="str">
            <v>NURSING EDUCATION</v>
          </cell>
          <cell r="F112" t="str">
            <v>F2</v>
          </cell>
          <cell r="H112">
            <v>0</v>
          </cell>
          <cell r="J112">
            <v>0</v>
          </cell>
          <cell r="L112">
            <v>0</v>
          </cell>
          <cell r="N112">
            <v>0</v>
          </cell>
          <cell r="O112" t="str">
            <v>RNS</v>
          </cell>
          <cell r="P112">
            <v>0</v>
          </cell>
          <cell r="R112">
            <v>0</v>
          </cell>
          <cell r="T112">
            <v>0</v>
          </cell>
          <cell r="AD112">
            <v>0</v>
          </cell>
          <cell r="AF112">
            <v>0</v>
          </cell>
          <cell r="AH112">
            <v>0</v>
          </cell>
          <cell r="AJ112">
            <v>0</v>
          </cell>
          <cell r="AL112">
            <v>0</v>
          </cell>
          <cell r="AN112">
            <v>0</v>
          </cell>
          <cell r="AP112">
            <v>0</v>
          </cell>
          <cell r="AR112">
            <v>0</v>
          </cell>
          <cell r="AT112">
            <v>0</v>
          </cell>
          <cell r="AV112">
            <v>0</v>
          </cell>
          <cell r="AX112">
            <v>0</v>
          </cell>
          <cell r="AZ112">
            <v>0</v>
          </cell>
          <cell r="BB112">
            <v>0</v>
          </cell>
          <cell r="BD112">
            <v>0</v>
          </cell>
          <cell r="BF112">
            <v>0</v>
          </cell>
          <cell r="BH112">
            <v>0</v>
          </cell>
          <cell r="BN112">
            <v>0</v>
          </cell>
          <cell r="BR112">
            <v>0</v>
          </cell>
          <cell r="BT112">
            <v>0</v>
          </cell>
          <cell r="BV112">
            <v>0</v>
          </cell>
          <cell r="BX112">
            <v>0</v>
          </cell>
          <cell r="CB112">
            <v>0</v>
          </cell>
          <cell r="CD112">
            <v>0</v>
          </cell>
          <cell r="CG112" t="str">
            <v>RNS</v>
          </cell>
          <cell r="CH112">
            <v>0</v>
          </cell>
          <cell r="CJ112">
            <v>0</v>
          </cell>
          <cell r="CL112">
            <v>0</v>
          </cell>
          <cell r="CN112">
            <v>0</v>
          </cell>
          <cell r="CO112" t="str">
            <v>RNS</v>
          </cell>
          <cell r="CP112">
            <v>0</v>
          </cell>
          <cell r="CR112">
            <v>0</v>
          </cell>
          <cell r="CT112">
            <v>0</v>
          </cell>
          <cell r="CV112">
            <v>0</v>
          </cell>
          <cell r="CX112">
            <v>0</v>
          </cell>
          <cell r="CZ112">
            <v>0</v>
          </cell>
          <cell r="DD112">
            <v>0</v>
          </cell>
          <cell r="DF112">
            <v>0</v>
          </cell>
          <cell r="DH112">
            <v>0</v>
          </cell>
        </row>
        <row r="113">
          <cell r="B113" t="str">
            <v>OHE</v>
          </cell>
          <cell r="D113" t="str">
            <v>OTHER HEALTH PROFESSION EDUC.</v>
          </cell>
          <cell r="F113" t="str">
            <v>F3</v>
          </cell>
          <cell r="H113">
            <v>0</v>
          </cell>
          <cell r="J113">
            <v>0</v>
          </cell>
          <cell r="L113">
            <v>0</v>
          </cell>
          <cell r="N113">
            <v>0</v>
          </cell>
          <cell r="O113" t="str">
            <v>OHE</v>
          </cell>
          <cell r="P113">
            <v>0</v>
          </cell>
          <cell r="R113">
            <v>0</v>
          </cell>
          <cell r="T113">
            <v>0</v>
          </cell>
          <cell r="AD113">
            <v>0</v>
          </cell>
          <cell r="AF113">
            <v>0</v>
          </cell>
          <cell r="AH113">
            <v>0</v>
          </cell>
          <cell r="AJ113">
            <v>0</v>
          </cell>
          <cell r="AL113">
            <v>0</v>
          </cell>
          <cell r="AN113">
            <v>0</v>
          </cell>
          <cell r="AP113">
            <v>0</v>
          </cell>
          <cell r="AR113">
            <v>0</v>
          </cell>
          <cell r="AT113">
            <v>0</v>
          </cell>
          <cell r="AV113">
            <v>0</v>
          </cell>
          <cell r="AX113">
            <v>0</v>
          </cell>
          <cell r="AZ113">
            <v>0</v>
          </cell>
          <cell r="BB113">
            <v>0</v>
          </cell>
          <cell r="BD113">
            <v>0</v>
          </cell>
          <cell r="BF113">
            <v>0</v>
          </cell>
          <cell r="BH113">
            <v>0</v>
          </cell>
          <cell r="BN113">
            <v>0</v>
          </cell>
          <cell r="BR113">
            <v>0</v>
          </cell>
          <cell r="BT113">
            <v>0</v>
          </cell>
          <cell r="BV113">
            <v>0</v>
          </cell>
          <cell r="BX113">
            <v>0</v>
          </cell>
          <cell r="CB113">
            <v>0</v>
          </cell>
          <cell r="CD113">
            <v>0</v>
          </cell>
          <cell r="CG113" t="str">
            <v>OHE</v>
          </cell>
          <cell r="CH113">
            <v>0</v>
          </cell>
          <cell r="CJ113">
            <v>0</v>
          </cell>
          <cell r="CL113">
            <v>0</v>
          </cell>
          <cell r="CN113">
            <v>0</v>
          </cell>
          <cell r="CO113" t="str">
            <v>OHE</v>
          </cell>
          <cell r="CP113">
            <v>0</v>
          </cell>
          <cell r="CR113">
            <v>0</v>
          </cell>
          <cell r="CT113">
            <v>0</v>
          </cell>
          <cell r="CV113">
            <v>0</v>
          </cell>
          <cell r="CX113">
            <v>0</v>
          </cell>
          <cell r="CZ113">
            <v>0</v>
          </cell>
          <cell r="DD113">
            <v>0</v>
          </cell>
          <cell r="DF113">
            <v>0</v>
          </cell>
          <cell r="DH113">
            <v>0</v>
          </cell>
        </row>
        <row r="114">
          <cell r="B114" t="str">
            <v>CHE</v>
          </cell>
          <cell r="D114" t="str">
            <v>COMMUNITY HEALTH EDUCATION</v>
          </cell>
          <cell r="F114" t="str">
            <v>F4</v>
          </cell>
          <cell r="H114">
            <v>907343.67696549464</v>
          </cell>
          <cell r="J114">
            <v>427663.16000000003</v>
          </cell>
          <cell r="L114">
            <v>1335006.8369654948</v>
          </cell>
          <cell r="N114">
            <v>9.4969951923076934</v>
          </cell>
          <cell r="O114" t="str">
            <v>CHE</v>
          </cell>
          <cell r="P114">
            <v>907.3</v>
          </cell>
          <cell r="R114">
            <v>427.7</v>
          </cell>
          <cell r="T114">
            <v>1335</v>
          </cell>
          <cell r="AD114">
            <v>907.3</v>
          </cell>
          <cell r="AF114">
            <v>427.7</v>
          </cell>
          <cell r="AH114">
            <v>1335</v>
          </cell>
          <cell r="AJ114">
            <v>9.4969951923076934</v>
          </cell>
          <cell r="AL114">
            <v>0</v>
          </cell>
          <cell r="AN114">
            <v>0</v>
          </cell>
          <cell r="AP114">
            <v>0</v>
          </cell>
          <cell r="AR114">
            <v>0</v>
          </cell>
          <cell r="AT114">
            <v>0</v>
          </cell>
          <cell r="AV114">
            <v>0</v>
          </cell>
          <cell r="AX114">
            <v>0</v>
          </cell>
          <cell r="AZ114">
            <v>0</v>
          </cell>
          <cell r="BB114">
            <v>907.3</v>
          </cell>
          <cell r="BD114">
            <v>427.7</v>
          </cell>
          <cell r="BF114">
            <v>1335</v>
          </cell>
          <cell r="BH114">
            <v>9.4969951923076934</v>
          </cell>
          <cell r="BN114">
            <v>0</v>
          </cell>
          <cell r="BR114">
            <v>907.3</v>
          </cell>
          <cell r="BT114">
            <v>427.7</v>
          </cell>
          <cell r="BV114">
            <v>1335</v>
          </cell>
          <cell r="BX114">
            <v>9.4969951923076934</v>
          </cell>
          <cell r="CB114">
            <v>10.721170000000001</v>
          </cell>
          <cell r="CD114">
            <v>10.721170000000001</v>
          </cell>
          <cell r="CG114" t="str">
            <v>CHE</v>
          </cell>
          <cell r="CH114">
            <v>51.597313997477002</v>
          </cell>
          <cell r="CJ114">
            <v>82.879835175143796</v>
          </cell>
          <cell r="CL114">
            <v>134.47714917262078</v>
          </cell>
          <cell r="CN114">
            <v>0.48010102679575256</v>
          </cell>
          <cell r="CO114" t="str">
            <v>CHE</v>
          </cell>
          <cell r="CP114">
            <v>969.61848399747703</v>
          </cell>
          <cell r="CR114">
            <v>510.57983517514378</v>
          </cell>
          <cell r="CT114">
            <v>1480.1983191726208</v>
          </cell>
          <cell r="CV114">
            <v>9.977096219103446</v>
          </cell>
          <cell r="CX114">
            <v>35.445999999999998</v>
          </cell>
          <cell r="CZ114">
            <v>-1444.7523191726209</v>
          </cell>
          <cell r="DD114">
            <v>-1444.7523191726209</v>
          </cell>
          <cell r="DF114">
            <v>-1444.7523191726209</v>
          </cell>
          <cell r="DH114">
            <v>0</v>
          </cell>
        </row>
        <row r="115">
          <cell r="B115" t="str">
            <v>FB1</v>
          </cell>
          <cell r="D115" t="str">
            <v>FRINGE BENEFITS</v>
          </cell>
          <cell r="F115" t="str">
            <v>FB1</v>
          </cell>
          <cell r="H115" t="str">
            <v>XXXXXXXXX</v>
          </cell>
          <cell r="J115" t="str">
            <v>XXXXXXXXX</v>
          </cell>
          <cell r="L115">
            <v>0</v>
          </cell>
          <cell r="N115" t="str">
            <v>XXXXXXXXX</v>
          </cell>
          <cell r="O115" t="str">
            <v>FB1</v>
          </cell>
          <cell r="P115">
            <v>0</v>
          </cell>
          <cell r="R115">
            <v>0</v>
          </cell>
          <cell r="T115">
            <v>0</v>
          </cell>
          <cell r="AD115">
            <v>0</v>
          </cell>
          <cell r="AF115">
            <v>0</v>
          </cell>
          <cell r="AH115">
            <v>0</v>
          </cell>
          <cell r="AJ115">
            <v>0</v>
          </cell>
          <cell r="AT115">
            <v>0</v>
          </cell>
          <cell r="AV115">
            <v>0</v>
          </cell>
          <cell r="AX115">
            <v>0</v>
          </cell>
          <cell r="AZ115">
            <v>0</v>
          </cell>
          <cell r="BB115">
            <v>0</v>
          </cell>
          <cell r="BD115">
            <v>0</v>
          </cell>
          <cell r="BF115">
            <v>0</v>
          </cell>
          <cell r="BH115">
            <v>0</v>
          </cell>
          <cell r="BN115">
            <v>0</v>
          </cell>
          <cell r="BR115">
            <v>0</v>
          </cell>
          <cell r="BT115">
            <v>0</v>
          </cell>
          <cell r="BV115">
            <v>0</v>
          </cell>
          <cell r="BX115">
            <v>0</v>
          </cell>
          <cell r="CD115">
            <v>0</v>
          </cell>
          <cell r="CG115" t="str">
            <v>FB1</v>
          </cell>
          <cell r="CL115">
            <v>0</v>
          </cell>
          <cell r="CO115" t="str">
            <v>FB1</v>
          </cell>
          <cell r="CP115">
            <v>0</v>
          </cell>
          <cell r="CR115">
            <v>0</v>
          </cell>
          <cell r="CT115">
            <v>0</v>
          </cell>
          <cell r="CV115">
            <v>0</v>
          </cell>
        </row>
        <row r="116">
          <cell r="B116" t="str">
            <v>MSV</v>
          </cell>
          <cell r="D116" t="str">
            <v>MEDICAL SERVICES</v>
          </cell>
          <cell r="F116" t="str">
            <v>MS1</v>
          </cell>
          <cell r="H116" t="str">
            <v>XXXXXXXXX</v>
          </cell>
          <cell r="J116" t="str">
            <v>XXXXXXXXX</v>
          </cell>
          <cell r="L116">
            <v>0</v>
          </cell>
          <cell r="N116" t="str">
            <v>XXXXXXXXX</v>
          </cell>
          <cell r="O116" t="str">
            <v>MSV</v>
          </cell>
          <cell r="P116">
            <v>0</v>
          </cell>
          <cell r="R116">
            <v>0</v>
          </cell>
          <cell r="T116">
            <v>0</v>
          </cell>
          <cell r="AD116">
            <v>0</v>
          </cell>
          <cell r="AF116">
            <v>0</v>
          </cell>
          <cell r="AH116">
            <v>0</v>
          </cell>
          <cell r="AJ116">
            <v>0</v>
          </cell>
          <cell r="AT116">
            <v>0</v>
          </cell>
          <cell r="AV116">
            <v>0</v>
          </cell>
          <cell r="AX116">
            <v>0</v>
          </cell>
          <cell r="AZ116">
            <v>0</v>
          </cell>
          <cell r="BB116">
            <v>0</v>
          </cell>
          <cell r="BD116">
            <v>0</v>
          </cell>
          <cell r="BF116">
            <v>0</v>
          </cell>
          <cell r="BH116">
            <v>0</v>
          </cell>
          <cell r="BN116">
            <v>0</v>
          </cell>
          <cell r="BR116">
            <v>0</v>
          </cell>
          <cell r="BT116">
            <v>0</v>
          </cell>
          <cell r="BV116">
            <v>0</v>
          </cell>
          <cell r="BX116">
            <v>0</v>
          </cell>
          <cell r="CD116">
            <v>0</v>
          </cell>
          <cell r="CG116" t="str">
            <v>MSV</v>
          </cell>
          <cell r="CL116">
            <v>0</v>
          </cell>
          <cell r="CO116" t="str">
            <v>MSV</v>
          </cell>
          <cell r="CP116">
            <v>0</v>
          </cell>
          <cell r="CR116">
            <v>0</v>
          </cell>
          <cell r="CT116">
            <v>0</v>
          </cell>
          <cell r="CV116">
            <v>0</v>
          </cell>
        </row>
        <row r="117">
          <cell r="B117" t="str">
            <v>P1</v>
          </cell>
          <cell r="D117" t="str">
            <v>HOSPITAL BASED PHYSICIANS</v>
          </cell>
          <cell r="F117" t="str">
            <v>P01</v>
          </cell>
          <cell r="H117">
            <v>3891386</v>
          </cell>
          <cell r="J117" t="str">
            <v>XXXXXXXXX</v>
          </cell>
          <cell r="L117">
            <v>3891386</v>
          </cell>
          <cell r="N117">
            <v>16.920417969527719</v>
          </cell>
          <cell r="O117" t="str">
            <v>P1</v>
          </cell>
          <cell r="P117">
            <v>3891.4</v>
          </cell>
          <cell r="R117">
            <v>0</v>
          </cell>
          <cell r="T117">
            <v>3891.4</v>
          </cell>
          <cell r="AD117">
            <v>3891.4</v>
          </cell>
          <cell r="AF117">
            <v>0</v>
          </cell>
          <cell r="AH117">
            <v>3891.4</v>
          </cell>
          <cell r="AJ117">
            <v>16.920417969527719</v>
          </cell>
          <cell r="AT117">
            <v>0</v>
          </cell>
          <cell r="AV117">
            <v>0</v>
          </cell>
          <cell r="AX117">
            <v>0</v>
          </cell>
          <cell r="AZ117">
            <v>0</v>
          </cell>
          <cell r="BB117">
            <v>3891.4</v>
          </cell>
          <cell r="BD117">
            <v>0</v>
          </cell>
          <cell r="BF117">
            <v>3891.4</v>
          </cell>
          <cell r="BH117">
            <v>16.920417969527719</v>
          </cell>
          <cell r="BJ117">
            <v>-3891.3855477230186</v>
          </cell>
          <cell r="BN117">
            <v>-3891.3855477230186</v>
          </cell>
          <cell r="BP117">
            <v>-16.920417969527719</v>
          </cell>
          <cell r="BR117">
            <v>1.44522769815012E-2</v>
          </cell>
          <cell r="BT117">
            <v>0</v>
          </cell>
          <cell r="BV117">
            <v>1.44522769815012E-2</v>
          </cell>
          <cell r="BX117">
            <v>0</v>
          </cell>
          <cell r="CD117">
            <v>0</v>
          </cell>
          <cell r="CG117" t="str">
            <v>P1</v>
          </cell>
          <cell r="CL117">
            <v>0</v>
          </cell>
          <cell r="CO117" t="str">
            <v>P1</v>
          </cell>
          <cell r="CP117">
            <v>1.44522769815012E-2</v>
          </cell>
          <cell r="CR117">
            <v>0</v>
          </cell>
          <cell r="CT117">
            <v>1.44522769815012E-2</v>
          </cell>
          <cell r="CV117">
            <v>0</v>
          </cell>
        </row>
        <row r="118">
          <cell r="B118" t="str">
            <v>P2</v>
          </cell>
          <cell r="D118" t="str">
            <v>PHYSICIAN PART B SERVICES</v>
          </cell>
          <cell r="F118" t="str">
            <v>P02</v>
          </cell>
          <cell r="H118" t="str">
            <v>XXXXXXXXX</v>
          </cell>
          <cell r="J118" t="str">
            <v>XXXXXXXXX</v>
          </cell>
          <cell r="L118">
            <v>0</v>
          </cell>
          <cell r="N118" t="str">
            <v>XXXXXXXXX</v>
          </cell>
          <cell r="O118" t="str">
            <v>P2</v>
          </cell>
          <cell r="P118">
            <v>0</v>
          </cell>
          <cell r="R118">
            <v>0</v>
          </cell>
          <cell r="T118">
            <v>0</v>
          </cell>
          <cell r="X118">
            <v>0</v>
          </cell>
          <cell r="Z118">
            <v>0</v>
          </cell>
          <cell r="AD118">
            <v>0</v>
          </cell>
          <cell r="AF118">
            <v>0</v>
          </cell>
          <cell r="AH118">
            <v>0</v>
          </cell>
          <cell r="AJ118">
            <v>0</v>
          </cell>
          <cell r="AT118">
            <v>0</v>
          </cell>
          <cell r="AV118">
            <v>0</v>
          </cell>
          <cell r="AX118">
            <v>0</v>
          </cell>
          <cell r="AZ118">
            <v>0</v>
          </cell>
          <cell r="BB118">
            <v>0</v>
          </cell>
          <cell r="BD118">
            <v>0</v>
          </cell>
          <cell r="BF118">
            <v>0</v>
          </cell>
          <cell r="BH118">
            <v>0</v>
          </cell>
          <cell r="BJ118">
            <v>0</v>
          </cell>
          <cell r="BN118">
            <v>0</v>
          </cell>
          <cell r="BP118">
            <v>0</v>
          </cell>
          <cell r="BR118">
            <v>0</v>
          </cell>
          <cell r="BT118">
            <v>0</v>
          </cell>
          <cell r="BV118">
            <v>0</v>
          </cell>
          <cell r="BX118">
            <v>0</v>
          </cell>
          <cell r="CB118">
            <v>0</v>
          </cell>
          <cell r="CD118">
            <v>0</v>
          </cell>
          <cell r="CG118" t="str">
            <v>P2</v>
          </cell>
          <cell r="CL118">
            <v>0</v>
          </cell>
          <cell r="CO118" t="str">
            <v>P2</v>
          </cell>
          <cell r="CP118">
            <v>0</v>
          </cell>
          <cell r="CR118">
            <v>0</v>
          </cell>
          <cell r="CT118">
            <v>0</v>
          </cell>
          <cell r="CV118">
            <v>0</v>
          </cell>
        </row>
        <row r="119">
          <cell r="B119" t="str">
            <v>P3</v>
          </cell>
          <cell r="D119" t="str">
            <v>PHYSICIAN SUPPORT SERVICES</v>
          </cell>
          <cell r="F119" t="str">
            <v>P03</v>
          </cell>
          <cell r="H119">
            <v>668577</v>
          </cell>
          <cell r="J119" t="str">
            <v>XXXXXXXXX</v>
          </cell>
          <cell r="L119">
            <v>668577</v>
          </cell>
          <cell r="N119">
            <v>4.0580528846153854</v>
          </cell>
          <cell r="O119" t="str">
            <v>P3</v>
          </cell>
          <cell r="P119">
            <v>668.6</v>
          </cell>
          <cell r="R119">
            <v>0</v>
          </cell>
          <cell r="T119">
            <v>668.6</v>
          </cell>
          <cell r="AD119">
            <v>668.6</v>
          </cell>
          <cell r="AF119">
            <v>0</v>
          </cell>
          <cell r="AH119">
            <v>668.6</v>
          </cell>
          <cell r="AJ119">
            <v>4.0580528846153854</v>
          </cell>
          <cell r="AT119">
            <v>0</v>
          </cell>
          <cell r="AV119">
            <v>0</v>
          </cell>
          <cell r="AX119">
            <v>0</v>
          </cell>
          <cell r="AZ119">
            <v>0</v>
          </cell>
          <cell r="BB119">
            <v>668.6</v>
          </cell>
          <cell r="BD119">
            <v>0</v>
          </cell>
          <cell r="BF119">
            <v>668.6</v>
          </cell>
          <cell r="BH119">
            <v>4.0580528846153854</v>
          </cell>
          <cell r="BN119">
            <v>0</v>
          </cell>
          <cell r="BR119">
            <v>668.6</v>
          </cell>
          <cell r="BT119">
            <v>0</v>
          </cell>
          <cell r="BV119">
            <v>668.6</v>
          </cell>
          <cell r="BX119">
            <v>4.0580528846153854</v>
          </cell>
          <cell r="CB119">
            <v>4.36069</v>
          </cell>
          <cell r="CD119">
            <v>4.36069</v>
          </cell>
          <cell r="CG119" t="str">
            <v>P3</v>
          </cell>
          <cell r="CL119">
            <v>0</v>
          </cell>
          <cell r="CO119" t="str">
            <v>P3</v>
          </cell>
          <cell r="CP119">
            <v>672.96069</v>
          </cell>
          <cell r="CR119">
            <v>0</v>
          </cell>
          <cell r="CT119">
            <v>672.96069</v>
          </cell>
          <cell r="CV119">
            <v>4.0580528846153854</v>
          </cell>
        </row>
        <row r="120">
          <cell r="B120" t="str">
            <v>P4</v>
          </cell>
          <cell r="D120" t="str">
            <v>RESIDENT, INTERN SERVICES</v>
          </cell>
          <cell r="F120" t="str">
            <v>P04</v>
          </cell>
          <cell r="H120">
            <v>0</v>
          </cell>
          <cell r="J120">
            <v>0</v>
          </cell>
          <cell r="L120">
            <v>0</v>
          </cell>
          <cell r="N120">
            <v>0</v>
          </cell>
          <cell r="O120" t="str">
            <v>P4</v>
          </cell>
          <cell r="P120">
            <v>0</v>
          </cell>
          <cell r="R120">
            <v>0</v>
          </cell>
          <cell r="T120">
            <v>0</v>
          </cell>
          <cell r="AD120">
            <v>0</v>
          </cell>
          <cell r="AF120">
            <v>0</v>
          </cell>
          <cell r="AH120">
            <v>0</v>
          </cell>
          <cell r="AJ120">
            <v>0</v>
          </cell>
          <cell r="AT120">
            <v>0</v>
          </cell>
          <cell r="AV120">
            <v>0</v>
          </cell>
          <cell r="AX120">
            <v>0</v>
          </cell>
          <cell r="AZ120">
            <v>0</v>
          </cell>
          <cell r="BB120">
            <v>0</v>
          </cell>
          <cell r="BD120">
            <v>0</v>
          </cell>
          <cell r="BF120">
            <v>0</v>
          </cell>
          <cell r="BH120">
            <v>0</v>
          </cell>
          <cell r="BJ120">
            <v>0</v>
          </cell>
          <cell r="BN120">
            <v>0</v>
          </cell>
          <cell r="BP120">
            <v>0</v>
          </cell>
          <cell r="BR120">
            <v>0</v>
          </cell>
          <cell r="BT120">
            <v>0</v>
          </cell>
          <cell r="BV120">
            <v>0</v>
          </cell>
          <cell r="BX120">
            <v>0</v>
          </cell>
          <cell r="CB120">
            <v>0</v>
          </cell>
          <cell r="CD120">
            <v>0</v>
          </cell>
          <cell r="CG120" t="str">
            <v>P4</v>
          </cell>
          <cell r="CL120">
            <v>0</v>
          </cell>
          <cell r="CO120" t="str">
            <v>P4</v>
          </cell>
          <cell r="CP120">
            <v>0</v>
          </cell>
          <cell r="CR120">
            <v>0</v>
          </cell>
          <cell r="CT120">
            <v>0</v>
          </cell>
          <cell r="CV120">
            <v>0</v>
          </cell>
        </row>
        <row r="121">
          <cell r="B121" t="str">
            <v>P5</v>
          </cell>
          <cell r="D121" t="str">
            <v>RESIDENT, INTERN INELIGIBLE</v>
          </cell>
          <cell r="F121" t="str">
            <v>P05</v>
          </cell>
          <cell r="H121">
            <v>0</v>
          </cell>
          <cell r="J121">
            <v>0</v>
          </cell>
          <cell r="L121">
            <v>0</v>
          </cell>
          <cell r="N121">
            <v>0</v>
          </cell>
          <cell r="O121" t="str">
            <v>P5</v>
          </cell>
          <cell r="P121">
            <v>0</v>
          </cell>
          <cell r="R121">
            <v>0</v>
          </cell>
          <cell r="T121">
            <v>0</v>
          </cell>
          <cell r="AD121">
            <v>0</v>
          </cell>
          <cell r="AF121">
            <v>0</v>
          </cell>
          <cell r="AH121">
            <v>0</v>
          </cell>
          <cell r="AJ121">
            <v>0</v>
          </cell>
          <cell r="AT121">
            <v>0</v>
          </cell>
          <cell r="AV121">
            <v>0</v>
          </cell>
          <cell r="AX121">
            <v>0</v>
          </cell>
          <cell r="AZ121">
            <v>0</v>
          </cell>
          <cell r="BB121">
            <v>0</v>
          </cell>
          <cell r="BD121">
            <v>0</v>
          </cell>
          <cell r="BF121">
            <v>0</v>
          </cell>
          <cell r="BH121">
            <v>0</v>
          </cell>
          <cell r="BJ121">
            <v>0</v>
          </cell>
          <cell r="BN121">
            <v>0</v>
          </cell>
          <cell r="BP121">
            <v>0</v>
          </cell>
          <cell r="BR121">
            <v>0</v>
          </cell>
          <cell r="BT121">
            <v>0</v>
          </cell>
          <cell r="BV121">
            <v>0</v>
          </cell>
          <cell r="BX121">
            <v>0</v>
          </cell>
          <cell r="CB121">
            <v>0</v>
          </cell>
          <cell r="CD121">
            <v>0</v>
          </cell>
          <cell r="CG121" t="str">
            <v>P5</v>
          </cell>
          <cell r="CL121">
            <v>0</v>
          </cell>
          <cell r="CO121" t="str">
            <v>P4</v>
          </cell>
          <cell r="CP121">
            <v>0</v>
          </cell>
          <cell r="CR121">
            <v>0</v>
          </cell>
          <cell r="CT121">
            <v>0</v>
          </cell>
          <cell r="CV121">
            <v>0</v>
          </cell>
        </row>
        <row r="122">
          <cell r="B122" t="str">
            <v>MAL</v>
          </cell>
          <cell r="D122" t="str">
            <v>MALPRACTICE</v>
          </cell>
          <cell r="F122" t="str">
            <v>UAMAL</v>
          </cell>
          <cell r="H122">
            <v>0</v>
          </cell>
          <cell r="J122">
            <v>977925.71</v>
          </cell>
          <cell r="L122">
            <v>977925.71</v>
          </cell>
          <cell r="N122">
            <v>0</v>
          </cell>
          <cell r="O122" t="str">
            <v>MAL</v>
          </cell>
          <cell r="P122">
            <v>0</v>
          </cell>
          <cell r="R122">
            <v>977.9</v>
          </cell>
          <cell r="T122">
            <v>977.9</v>
          </cell>
          <cell r="AD122">
            <v>0</v>
          </cell>
          <cell r="AF122">
            <v>977.9</v>
          </cell>
          <cell r="AH122">
            <v>977.9</v>
          </cell>
          <cell r="AJ122">
            <v>0</v>
          </cell>
          <cell r="AT122">
            <v>0</v>
          </cell>
          <cell r="AV122">
            <v>0</v>
          </cell>
          <cell r="AX122">
            <v>0</v>
          </cell>
          <cell r="AZ122">
            <v>0</v>
          </cell>
          <cell r="BB122">
            <v>0</v>
          </cell>
          <cell r="BD122">
            <v>977.9</v>
          </cell>
          <cell r="BF122">
            <v>977.9</v>
          </cell>
          <cell r="BH122">
            <v>0</v>
          </cell>
          <cell r="BN122">
            <v>0</v>
          </cell>
          <cell r="BR122">
            <v>0</v>
          </cell>
          <cell r="BT122">
            <v>977.9</v>
          </cell>
          <cell r="BV122">
            <v>977.9</v>
          </cell>
          <cell r="BX122">
            <v>0</v>
          </cell>
          <cell r="CD122">
            <v>0</v>
          </cell>
          <cell r="CG122" t="str">
            <v>MAL</v>
          </cell>
          <cell r="CH122">
            <v>0</v>
          </cell>
          <cell r="CJ122">
            <v>0</v>
          </cell>
          <cell r="CL122">
            <v>0</v>
          </cell>
          <cell r="CN122">
            <v>0</v>
          </cell>
          <cell r="CO122" t="str">
            <v>MAL</v>
          </cell>
          <cell r="CP122">
            <v>0</v>
          </cell>
          <cell r="CR122">
            <v>977.9</v>
          </cell>
          <cell r="CT122">
            <v>977.9</v>
          </cell>
          <cell r="CV122">
            <v>0</v>
          </cell>
        </row>
        <row r="123">
          <cell r="B123" t="str">
            <v>OIN</v>
          </cell>
          <cell r="D123" t="str">
            <v>OTHER INSURANCE</v>
          </cell>
          <cell r="F123" t="str">
            <v>UAOIN</v>
          </cell>
          <cell r="H123">
            <v>0</v>
          </cell>
          <cell r="J123">
            <v>0</v>
          </cell>
          <cell r="L123">
            <v>0</v>
          </cell>
          <cell r="N123">
            <v>0</v>
          </cell>
          <cell r="O123" t="str">
            <v>OIN</v>
          </cell>
          <cell r="P123">
            <v>0</v>
          </cell>
          <cell r="R123">
            <v>0</v>
          </cell>
          <cell r="T123">
            <v>0</v>
          </cell>
          <cell r="AD123">
            <v>0</v>
          </cell>
          <cell r="AF123">
            <v>0</v>
          </cell>
          <cell r="AH123">
            <v>0</v>
          </cell>
          <cell r="AJ123">
            <v>0</v>
          </cell>
          <cell r="AT123">
            <v>0</v>
          </cell>
          <cell r="AV123">
            <v>0</v>
          </cell>
          <cell r="AX123">
            <v>0</v>
          </cell>
          <cell r="AZ123">
            <v>0</v>
          </cell>
          <cell r="BB123">
            <v>0</v>
          </cell>
          <cell r="BD123">
            <v>0</v>
          </cell>
          <cell r="BF123">
            <v>0</v>
          </cell>
          <cell r="BH123">
            <v>0</v>
          </cell>
          <cell r="BN123">
            <v>0</v>
          </cell>
          <cell r="BR123">
            <v>0</v>
          </cell>
          <cell r="BT123">
            <v>0</v>
          </cell>
          <cell r="BV123">
            <v>0</v>
          </cell>
          <cell r="BX123">
            <v>0</v>
          </cell>
          <cell r="CD123">
            <v>0</v>
          </cell>
          <cell r="CG123" t="str">
            <v>OIN</v>
          </cell>
          <cell r="CH123">
            <v>0</v>
          </cell>
          <cell r="CJ123">
            <v>0</v>
          </cell>
          <cell r="CL123">
            <v>0</v>
          </cell>
          <cell r="CN123">
            <v>0</v>
          </cell>
          <cell r="CO123" t="str">
            <v>OIN</v>
          </cell>
          <cell r="CP123">
            <v>0</v>
          </cell>
          <cell r="CR123">
            <v>0</v>
          </cell>
          <cell r="CT123">
            <v>0</v>
          </cell>
          <cell r="CV123">
            <v>0</v>
          </cell>
        </row>
        <row r="124">
          <cell r="B124" t="str">
            <v>MCR</v>
          </cell>
          <cell r="D124" t="str">
            <v>MEDICAL CARE REVIEW</v>
          </cell>
          <cell r="F124" t="str">
            <v>UAMCR</v>
          </cell>
          <cell r="H124">
            <v>2468592.1470983606</v>
          </cell>
          <cell r="J124">
            <v>285280.0127087328</v>
          </cell>
          <cell r="L124">
            <v>2753872.1598070934</v>
          </cell>
          <cell r="N124">
            <v>22.674999999999997</v>
          </cell>
          <cell r="O124" t="str">
            <v>MCR</v>
          </cell>
          <cell r="P124">
            <v>2468.6</v>
          </cell>
          <cell r="R124">
            <v>285.3</v>
          </cell>
          <cell r="T124">
            <v>2753.9</v>
          </cell>
          <cell r="AD124">
            <v>2468.6</v>
          </cell>
          <cell r="AF124">
            <v>285.3</v>
          </cell>
          <cell r="AH124">
            <v>2753.9</v>
          </cell>
          <cell r="AJ124">
            <v>22.674999999999997</v>
          </cell>
          <cell r="AT124">
            <v>0</v>
          </cell>
          <cell r="AV124">
            <v>0</v>
          </cell>
          <cell r="AX124">
            <v>0</v>
          </cell>
          <cell r="AZ124">
            <v>0</v>
          </cell>
          <cell r="BB124">
            <v>2468.6</v>
          </cell>
          <cell r="BD124">
            <v>285.3</v>
          </cell>
          <cell r="BF124">
            <v>2753.9</v>
          </cell>
          <cell r="BH124">
            <v>22.674999999999997</v>
          </cell>
          <cell r="BJ124">
            <v>422.95379068330408</v>
          </cell>
          <cell r="BN124">
            <v>422.95379068330408</v>
          </cell>
          <cell r="BP124">
            <v>0</v>
          </cell>
          <cell r="BR124">
            <v>2891.5537906833042</v>
          </cell>
          <cell r="BT124">
            <v>285.3</v>
          </cell>
          <cell r="BV124">
            <v>3176.8537906833044</v>
          </cell>
          <cell r="BX124">
            <v>22.674999999999997</v>
          </cell>
          <cell r="CD124">
            <v>0</v>
          </cell>
          <cell r="CG124" t="str">
            <v>MCR</v>
          </cell>
          <cell r="CH124">
            <v>0</v>
          </cell>
          <cell r="CJ124">
            <v>0</v>
          </cell>
          <cell r="CL124">
            <v>0</v>
          </cell>
          <cell r="CN124">
            <v>0</v>
          </cell>
          <cell r="CO124" t="str">
            <v>MCR</v>
          </cell>
          <cell r="CP124">
            <v>2891.5537906833042</v>
          </cell>
          <cell r="CR124">
            <v>285.3</v>
          </cell>
          <cell r="CT124">
            <v>3176.8537906833044</v>
          </cell>
          <cell r="CV124">
            <v>22.674999999999997</v>
          </cell>
        </row>
        <row r="125">
          <cell r="B125" t="str">
            <v>DEP</v>
          </cell>
          <cell r="D125" t="str">
            <v>DEPRECIATION</v>
          </cell>
          <cell r="F125" t="str">
            <v>UADEP</v>
          </cell>
          <cell r="H125">
            <v>0</v>
          </cell>
          <cell r="J125">
            <v>13285937.189999999</v>
          </cell>
          <cell r="L125">
            <v>13285937.189999999</v>
          </cell>
          <cell r="N125">
            <v>0</v>
          </cell>
          <cell r="O125" t="str">
            <v>DEP</v>
          </cell>
          <cell r="P125">
            <v>0</v>
          </cell>
          <cell r="R125">
            <v>13285.9</v>
          </cell>
          <cell r="T125">
            <v>13285.9</v>
          </cell>
          <cell r="AD125">
            <v>0</v>
          </cell>
          <cell r="AF125">
            <v>13285.9</v>
          </cell>
          <cell r="AH125">
            <v>13285.9</v>
          </cell>
          <cell r="AJ125">
            <v>0</v>
          </cell>
          <cell r="AT125">
            <v>0</v>
          </cell>
          <cell r="AV125">
            <v>0</v>
          </cell>
          <cell r="AX125">
            <v>0</v>
          </cell>
          <cell r="AZ125">
            <v>0</v>
          </cell>
          <cell r="BB125">
            <v>0</v>
          </cell>
          <cell r="BD125">
            <v>13285.9</v>
          </cell>
          <cell r="BF125">
            <v>13285.9</v>
          </cell>
          <cell r="BH125">
            <v>0</v>
          </cell>
          <cell r="BN125">
            <v>0</v>
          </cell>
          <cell r="BR125">
            <v>0</v>
          </cell>
          <cell r="BT125">
            <v>13285.9</v>
          </cell>
          <cell r="BV125">
            <v>13285.9</v>
          </cell>
          <cell r="BX125">
            <v>0</v>
          </cell>
          <cell r="CD125">
            <v>0</v>
          </cell>
          <cell r="CG125" t="str">
            <v>DEP</v>
          </cell>
          <cell r="CH125">
            <v>0</v>
          </cell>
          <cell r="CJ125">
            <v>-306.15415148351599</v>
          </cell>
          <cell r="CL125">
            <v>-306.15415148351599</v>
          </cell>
          <cell r="CN125">
            <v>0</v>
          </cell>
          <cell r="CO125" t="str">
            <v>DEP</v>
          </cell>
          <cell r="CP125">
            <v>0</v>
          </cell>
          <cell r="CR125">
            <v>12979.745848516484</v>
          </cell>
          <cell r="CT125">
            <v>12979.745848516484</v>
          </cell>
          <cell r="CV125">
            <v>0</v>
          </cell>
        </row>
        <row r="126">
          <cell r="B126" t="str">
            <v>LEA</v>
          </cell>
          <cell r="D126" t="str">
            <v>LEASES &amp; RENTALS</v>
          </cell>
          <cell r="F126" t="str">
            <v>UALEASE</v>
          </cell>
          <cell r="H126">
            <v>0.38073660706064782</v>
          </cell>
          <cell r="J126">
            <v>5221218.2799999993</v>
          </cell>
          <cell r="L126">
            <v>5221218.6607366065</v>
          </cell>
          <cell r="N126">
            <v>0</v>
          </cell>
          <cell r="O126" t="str">
            <v>LEA</v>
          </cell>
          <cell r="P126">
            <v>0</v>
          </cell>
          <cell r="R126">
            <v>5221.2</v>
          </cell>
          <cell r="T126">
            <v>5221.2</v>
          </cell>
          <cell r="AD126">
            <v>0</v>
          </cell>
          <cell r="AF126">
            <v>5221.2</v>
          </cell>
          <cell r="AH126">
            <v>5221.2</v>
          </cell>
          <cell r="AJ126">
            <v>0</v>
          </cell>
          <cell r="AT126">
            <v>0</v>
          </cell>
          <cell r="AV126">
            <v>0</v>
          </cell>
          <cell r="AX126">
            <v>0</v>
          </cell>
          <cell r="AZ126">
            <v>0</v>
          </cell>
          <cell r="BB126">
            <v>0</v>
          </cell>
          <cell r="BD126">
            <v>5221.2</v>
          </cell>
          <cell r="BF126">
            <v>5221.2</v>
          </cell>
          <cell r="BH126">
            <v>0</v>
          </cell>
          <cell r="BN126">
            <v>0</v>
          </cell>
          <cell r="BR126">
            <v>0</v>
          </cell>
          <cell r="BT126">
            <v>5221.2</v>
          </cell>
          <cell r="BV126">
            <v>5221.2</v>
          </cell>
          <cell r="BX126">
            <v>0</v>
          </cell>
          <cell r="CD126">
            <v>0</v>
          </cell>
          <cell r="CG126" t="str">
            <v>LEA</v>
          </cell>
          <cell r="CH126">
            <v>0</v>
          </cell>
          <cell r="CJ126">
            <v>-2002.4093499999999</v>
          </cell>
          <cell r="CL126">
            <v>-2002.4093499999999</v>
          </cell>
          <cell r="CN126">
            <v>0</v>
          </cell>
          <cell r="CO126" t="str">
            <v>LEA</v>
          </cell>
          <cell r="CP126">
            <v>0</v>
          </cell>
          <cell r="CR126">
            <v>3218.7906499999999</v>
          </cell>
          <cell r="CT126">
            <v>3218.7906499999999</v>
          </cell>
          <cell r="CV126">
            <v>0</v>
          </cell>
        </row>
        <row r="127">
          <cell r="B127" t="str">
            <v>LIC</v>
          </cell>
          <cell r="D127" t="str">
            <v>LICENSE &amp; TAXES</v>
          </cell>
          <cell r="F127" t="str">
            <v>UALIC</v>
          </cell>
          <cell r="H127">
            <v>0</v>
          </cell>
          <cell r="J127">
            <v>406866.33</v>
          </cell>
          <cell r="L127">
            <v>406866.33</v>
          </cell>
          <cell r="M127" t="str">
            <v>Allocate</v>
          </cell>
          <cell r="N127">
            <v>0</v>
          </cell>
          <cell r="O127" t="str">
            <v>LIC</v>
          </cell>
          <cell r="P127">
            <v>0</v>
          </cell>
          <cell r="R127">
            <v>406.9</v>
          </cell>
          <cell r="T127">
            <v>406.9</v>
          </cell>
          <cell r="AD127">
            <v>0</v>
          </cell>
          <cell r="AF127">
            <v>406.9</v>
          </cell>
          <cell r="AH127">
            <v>406.9</v>
          </cell>
          <cell r="AJ127">
            <v>0</v>
          </cell>
          <cell r="AT127">
            <v>0</v>
          </cell>
          <cell r="AV127">
            <v>0</v>
          </cell>
          <cell r="AX127">
            <v>0</v>
          </cell>
          <cell r="AZ127">
            <v>0</v>
          </cell>
          <cell r="BB127">
            <v>0</v>
          </cell>
          <cell r="BD127">
            <v>406.9</v>
          </cell>
          <cell r="BF127">
            <v>406.9</v>
          </cell>
          <cell r="BH127">
            <v>0</v>
          </cell>
          <cell r="BN127">
            <v>0</v>
          </cell>
          <cell r="BR127">
            <v>0</v>
          </cell>
          <cell r="BT127">
            <v>406.9</v>
          </cell>
          <cell r="BV127">
            <v>406.9</v>
          </cell>
          <cell r="BX127">
            <v>0</v>
          </cell>
          <cell r="CD127">
            <v>0</v>
          </cell>
          <cell r="CG127" t="str">
            <v>LIC</v>
          </cell>
          <cell r="CH127">
            <v>0</v>
          </cell>
          <cell r="CJ127">
            <v>0</v>
          </cell>
          <cell r="CL127">
            <v>0</v>
          </cell>
          <cell r="CN127">
            <v>0</v>
          </cell>
          <cell r="CO127" t="str">
            <v>LIC</v>
          </cell>
          <cell r="CP127">
            <v>0</v>
          </cell>
          <cell r="CR127">
            <v>406.9</v>
          </cell>
          <cell r="CT127">
            <v>406.9</v>
          </cell>
          <cell r="CV127">
            <v>0</v>
          </cell>
        </row>
        <row r="128">
          <cell r="B128" t="str">
            <v>IST</v>
          </cell>
          <cell r="D128" t="str">
            <v>INTEREST SHORT TERM</v>
          </cell>
          <cell r="F128" t="str">
            <v>UAIST</v>
          </cell>
          <cell r="H128">
            <v>0</v>
          </cell>
          <cell r="J128">
            <v>0</v>
          </cell>
          <cell r="L128">
            <v>0</v>
          </cell>
          <cell r="M128" t="str">
            <v>Loss as</v>
          </cell>
          <cell r="N128">
            <v>0</v>
          </cell>
          <cell r="O128" t="str">
            <v>IST</v>
          </cell>
          <cell r="P128">
            <v>0</v>
          </cell>
          <cell r="R128">
            <v>0</v>
          </cell>
          <cell r="T128">
            <v>0</v>
          </cell>
          <cell r="AD128">
            <v>0</v>
          </cell>
          <cell r="AF128">
            <v>0</v>
          </cell>
          <cell r="AH128">
            <v>0</v>
          </cell>
          <cell r="AJ128">
            <v>0</v>
          </cell>
          <cell r="AT128">
            <v>0</v>
          </cell>
          <cell r="AV128">
            <v>0</v>
          </cell>
          <cell r="AX128">
            <v>0</v>
          </cell>
          <cell r="AZ128">
            <v>0</v>
          </cell>
          <cell r="BB128">
            <v>0</v>
          </cell>
          <cell r="BD128">
            <v>0</v>
          </cell>
          <cell r="BF128">
            <v>0</v>
          </cell>
          <cell r="BH128">
            <v>0</v>
          </cell>
          <cell r="BN128">
            <v>0</v>
          </cell>
          <cell r="BR128">
            <v>0</v>
          </cell>
          <cell r="BT128">
            <v>0</v>
          </cell>
          <cell r="BV128">
            <v>0</v>
          </cell>
          <cell r="BX128">
            <v>0</v>
          </cell>
          <cell r="CD128">
            <v>0</v>
          </cell>
          <cell r="CG128" t="str">
            <v>IST</v>
          </cell>
          <cell r="CH128">
            <v>0</v>
          </cell>
          <cell r="CJ128">
            <v>0</v>
          </cell>
          <cell r="CL128">
            <v>0</v>
          </cell>
          <cell r="CN128">
            <v>0</v>
          </cell>
          <cell r="CO128" t="str">
            <v>IST</v>
          </cell>
          <cell r="CP128">
            <v>0</v>
          </cell>
          <cell r="CR128">
            <v>0</v>
          </cell>
          <cell r="CT128">
            <v>0</v>
          </cell>
          <cell r="CV128">
            <v>0</v>
          </cell>
        </row>
        <row r="129">
          <cell r="B129" t="str">
            <v>ILT</v>
          </cell>
          <cell r="D129" t="str">
            <v>INTEREST LONG TERM</v>
          </cell>
          <cell r="F129" t="str">
            <v>UAILT</v>
          </cell>
          <cell r="H129">
            <v>0</v>
          </cell>
          <cell r="J129">
            <v>8851974.9900000002</v>
          </cell>
          <cell r="L129">
            <v>8851974.9900000002</v>
          </cell>
          <cell r="M129" t="str">
            <v>Fringe?</v>
          </cell>
          <cell r="N129">
            <v>0</v>
          </cell>
          <cell r="O129" t="str">
            <v>ILT</v>
          </cell>
          <cell r="P129">
            <v>0</v>
          </cell>
          <cell r="R129">
            <v>8852</v>
          </cell>
          <cell r="T129">
            <v>8852</v>
          </cell>
          <cell r="AD129">
            <v>0</v>
          </cell>
          <cell r="AF129">
            <v>8852</v>
          </cell>
          <cell r="AH129">
            <v>8852</v>
          </cell>
          <cell r="AJ129">
            <v>0</v>
          </cell>
          <cell r="AT129">
            <v>0</v>
          </cell>
          <cell r="AV129">
            <v>0</v>
          </cell>
          <cell r="AX129">
            <v>0</v>
          </cell>
          <cell r="AZ129">
            <v>0</v>
          </cell>
          <cell r="BB129">
            <v>0</v>
          </cell>
          <cell r="BD129">
            <v>8852</v>
          </cell>
          <cell r="BF129">
            <v>8852</v>
          </cell>
          <cell r="BH129">
            <v>0</v>
          </cell>
          <cell r="BN129">
            <v>0</v>
          </cell>
          <cell r="BR129">
            <v>0</v>
          </cell>
          <cell r="BT129">
            <v>8852</v>
          </cell>
          <cell r="BV129">
            <v>8852</v>
          </cell>
          <cell r="BX129">
            <v>0</v>
          </cell>
          <cell r="CD129">
            <v>0</v>
          </cell>
          <cell r="CG129" t="str">
            <v>ILT</v>
          </cell>
          <cell r="CH129">
            <v>0</v>
          </cell>
          <cell r="CJ129">
            <v>0</v>
          </cell>
          <cell r="CL129">
            <v>0</v>
          </cell>
          <cell r="CN129">
            <v>0</v>
          </cell>
          <cell r="CO129" t="str">
            <v>ILT</v>
          </cell>
          <cell r="CP129">
            <v>0</v>
          </cell>
          <cell r="CR129">
            <v>8852</v>
          </cell>
          <cell r="CT129">
            <v>8852</v>
          </cell>
          <cell r="CV129">
            <v>0</v>
          </cell>
        </row>
        <row r="130">
          <cell r="B130" t="str">
            <v>FSC1</v>
          </cell>
          <cell r="D130" t="str">
            <v>FREE STANDING CLINIC SERVICES</v>
          </cell>
          <cell r="F130" t="str">
            <v>UR1</v>
          </cell>
          <cell r="H130">
            <v>0</v>
          </cell>
          <cell r="J130">
            <v>0</v>
          </cell>
          <cell r="L130">
            <v>0</v>
          </cell>
          <cell r="N130">
            <v>0</v>
          </cell>
          <cell r="O130" t="str">
            <v>FSC1</v>
          </cell>
          <cell r="P130">
            <v>0</v>
          </cell>
          <cell r="R130">
            <v>0</v>
          </cell>
          <cell r="T130">
            <v>0</v>
          </cell>
          <cell r="AD130">
            <v>0</v>
          </cell>
          <cell r="AF130">
            <v>0</v>
          </cell>
          <cell r="AH130">
            <v>0</v>
          </cell>
          <cell r="AJ130">
            <v>0</v>
          </cell>
          <cell r="AL130">
            <v>0</v>
          </cell>
          <cell r="AN130">
            <v>0</v>
          </cell>
          <cell r="AP130">
            <v>0</v>
          </cell>
          <cell r="AR130">
            <v>0</v>
          </cell>
          <cell r="AT130">
            <v>0</v>
          </cell>
          <cell r="AV130">
            <v>0</v>
          </cell>
          <cell r="AX130">
            <v>0</v>
          </cell>
          <cell r="AZ130">
            <v>0</v>
          </cell>
          <cell r="BB130">
            <v>0</v>
          </cell>
          <cell r="BD130">
            <v>0</v>
          </cell>
          <cell r="BF130">
            <v>0</v>
          </cell>
          <cell r="BH130">
            <v>0</v>
          </cell>
          <cell r="BN130">
            <v>0</v>
          </cell>
          <cell r="BR130">
            <v>0</v>
          </cell>
          <cell r="BT130">
            <v>0</v>
          </cell>
          <cell r="BV130">
            <v>0</v>
          </cell>
          <cell r="BX130">
            <v>0</v>
          </cell>
          <cell r="CB130">
            <v>0</v>
          </cell>
          <cell r="CD130">
            <v>0</v>
          </cell>
          <cell r="CG130" t="str">
            <v>FSC1</v>
          </cell>
          <cell r="CH130">
            <v>0</v>
          </cell>
          <cell r="CJ130">
            <v>0</v>
          </cell>
          <cell r="CL130">
            <v>0</v>
          </cell>
          <cell r="CN130">
            <v>0</v>
          </cell>
          <cell r="CO130" t="str">
            <v>FSC</v>
          </cell>
          <cell r="CP130">
            <v>0</v>
          </cell>
          <cell r="CR130">
            <v>0</v>
          </cell>
          <cell r="CT130">
            <v>0</v>
          </cell>
          <cell r="CV130">
            <v>0</v>
          </cell>
          <cell r="CX130">
            <v>0</v>
          </cell>
          <cell r="CZ130">
            <v>0</v>
          </cell>
        </row>
        <row r="131">
          <cell r="B131" t="str">
            <v>HHC</v>
          </cell>
          <cell r="D131" t="str">
            <v>HOME HEALTH CARE</v>
          </cell>
          <cell r="F131" t="str">
            <v>UR2</v>
          </cell>
          <cell r="H131">
            <v>0</v>
          </cell>
          <cell r="J131">
            <v>0</v>
          </cell>
          <cell r="L131">
            <v>0</v>
          </cell>
          <cell r="N131">
            <v>0</v>
          </cell>
          <cell r="O131" t="str">
            <v>HHC</v>
          </cell>
          <cell r="P131">
            <v>0</v>
          </cell>
          <cell r="R131">
            <v>0</v>
          </cell>
          <cell r="T131">
            <v>0</v>
          </cell>
          <cell r="AD131">
            <v>0</v>
          </cell>
          <cell r="AF131">
            <v>0</v>
          </cell>
          <cell r="AH131">
            <v>0</v>
          </cell>
          <cell r="AJ131">
            <v>0</v>
          </cell>
          <cell r="AL131">
            <v>0</v>
          </cell>
          <cell r="AN131">
            <v>0</v>
          </cell>
          <cell r="AP131">
            <v>0</v>
          </cell>
          <cell r="AR131">
            <v>0</v>
          </cell>
          <cell r="AT131">
            <v>0</v>
          </cell>
          <cell r="AV131">
            <v>0</v>
          </cell>
          <cell r="AX131">
            <v>0</v>
          </cell>
          <cell r="AZ131">
            <v>0</v>
          </cell>
          <cell r="BB131">
            <v>0</v>
          </cell>
          <cell r="BD131">
            <v>0</v>
          </cell>
          <cell r="BF131">
            <v>0</v>
          </cell>
          <cell r="BH131">
            <v>0</v>
          </cell>
          <cell r="BN131">
            <v>0</v>
          </cell>
          <cell r="BR131">
            <v>0</v>
          </cell>
          <cell r="BT131">
            <v>0</v>
          </cell>
          <cell r="BV131">
            <v>0</v>
          </cell>
          <cell r="BX131">
            <v>0</v>
          </cell>
          <cell r="CB131">
            <v>0</v>
          </cell>
          <cell r="CD131">
            <v>0</v>
          </cell>
          <cell r="CG131" t="str">
            <v>HHC</v>
          </cell>
          <cell r="CH131">
            <v>0</v>
          </cell>
          <cell r="CJ131">
            <v>0</v>
          </cell>
          <cell r="CL131">
            <v>0</v>
          </cell>
          <cell r="CN131">
            <v>0</v>
          </cell>
          <cell r="CO131" t="str">
            <v>HHC</v>
          </cell>
          <cell r="CP131">
            <v>0</v>
          </cell>
          <cell r="CR131">
            <v>0</v>
          </cell>
          <cell r="CT131">
            <v>0</v>
          </cell>
          <cell r="CV131">
            <v>0</v>
          </cell>
          <cell r="CX131">
            <v>0</v>
          </cell>
          <cell r="CZ131">
            <v>0</v>
          </cell>
        </row>
        <row r="132">
          <cell r="B132" t="str">
            <v>ORD</v>
          </cell>
          <cell r="D132" t="str">
            <v>OUTPATIENT RENAL DIALYSIS</v>
          </cell>
          <cell r="F132" t="str">
            <v>UR3</v>
          </cell>
          <cell r="H132">
            <v>0</v>
          </cell>
          <cell r="J132">
            <v>0</v>
          </cell>
          <cell r="L132">
            <v>0</v>
          </cell>
          <cell r="N132">
            <v>0</v>
          </cell>
          <cell r="O132" t="str">
            <v>ORD</v>
          </cell>
          <cell r="P132">
            <v>0</v>
          </cell>
          <cell r="R132">
            <v>0</v>
          </cell>
          <cell r="T132">
            <v>0</v>
          </cell>
          <cell r="AD132">
            <v>0</v>
          </cell>
          <cell r="AF132">
            <v>0</v>
          </cell>
          <cell r="AH132">
            <v>0</v>
          </cell>
          <cell r="AJ132">
            <v>0</v>
          </cell>
          <cell r="AL132">
            <v>0</v>
          </cell>
          <cell r="AN132">
            <v>0</v>
          </cell>
          <cell r="AP132">
            <v>0</v>
          </cell>
          <cell r="AR132">
            <v>0</v>
          </cell>
          <cell r="AT132">
            <v>0</v>
          </cell>
          <cell r="AV132">
            <v>0</v>
          </cell>
          <cell r="AX132">
            <v>0</v>
          </cell>
          <cell r="AZ132">
            <v>0</v>
          </cell>
          <cell r="BB132">
            <v>0</v>
          </cell>
          <cell r="BD132">
            <v>0</v>
          </cell>
          <cell r="BF132">
            <v>0</v>
          </cell>
          <cell r="BH132">
            <v>0</v>
          </cell>
          <cell r="BN132">
            <v>0</v>
          </cell>
          <cell r="BR132">
            <v>0</v>
          </cell>
          <cell r="BT132">
            <v>0</v>
          </cell>
          <cell r="BV132">
            <v>0</v>
          </cell>
          <cell r="BX132">
            <v>0</v>
          </cell>
          <cell r="CB132">
            <v>0</v>
          </cell>
          <cell r="CD132">
            <v>0</v>
          </cell>
          <cell r="CG132" t="str">
            <v>ORD</v>
          </cell>
          <cell r="CH132">
            <v>0</v>
          </cell>
          <cell r="CJ132">
            <v>0</v>
          </cell>
          <cell r="CL132">
            <v>0</v>
          </cell>
          <cell r="CN132">
            <v>0</v>
          </cell>
          <cell r="CO132" t="str">
            <v>ORD</v>
          </cell>
          <cell r="CP132">
            <v>0</v>
          </cell>
          <cell r="CR132">
            <v>0</v>
          </cell>
          <cell r="CT132">
            <v>0</v>
          </cell>
          <cell r="CV132">
            <v>0</v>
          </cell>
          <cell r="CX132">
            <v>0</v>
          </cell>
          <cell r="CZ132">
            <v>0</v>
          </cell>
        </row>
        <row r="133">
          <cell r="B133" t="str">
            <v>ECF1</v>
          </cell>
          <cell r="D133" t="str">
            <v>SKILLED NURSING CARE</v>
          </cell>
          <cell r="F133" t="str">
            <v>UR4</v>
          </cell>
          <cell r="H133">
            <v>0</v>
          </cell>
          <cell r="J133">
            <v>0</v>
          </cell>
          <cell r="L133">
            <v>0</v>
          </cell>
          <cell r="N133">
            <v>0</v>
          </cell>
          <cell r="O133" t="str">
            <v>ECF1</v>
          </cell>
          <cell r="P133">
            <v>0</v>
          </cell>
          <cell r="R133">
            <v>0</v>
          </cell>
          <cell r="T133">
            <v>0</v>
          </cell>
          <cell r="AD133">
            <v>0</v>
          </cell>
          <cell r="AF133">
            <v>0</v>
          </cell>
          <cell r="AH133">
            <v>0</v>
          </cell>
          <cell r="AJ133">
            <v>0</v>
          </cell>
          <cell r="AL133">
            <v>0</v>
          </cell>
          <cell r="AN133">
            <v>0</v>
          </cell>
          <cell r="AP133">
            <v>0</v>
          </cell>
          <cell r="AR133">
            <v>0</v>
          </cell>
          <cell r="AT133">
            <v>0</v>
          </cell>
          <cell r="AV133">
            <v>0</v>
          </cell>
          <cell r="AX133">
            <v>0</v>
          </cell>
          <cell r="AZ133">
            <v>0</v>
          </cell>
          <cell r="BB133">
            <v>0</v>
          </cell>
          <cell r="BD133">
            <v>0</v>
          </cell>
          <cell r="BF133">
            <v>0</v>
          </cell>
          <cell r="BH133">
            <v>0</v>
          </cell>
          <cell r="BN133">
            <v>0</v>
          </cell>
          <cell r="BR133">
            <v>0</v>
          </cell>
          <cell r="BT133">
            <v>0</v>
          </cell>
          <cell r="BV133">
            <v>0</v>
          </cell>
          <cell r="BX133">
            <v>0</v>
          </cell>
          <cell r="CB133">
            <v>0</v>
          </cell>
          <cell r="CD133">
            <v>0</v>
          </cell>
          <cell r="CG133" t="str">
            <v>ECF1</v>
          </cell>
          <cell r="CH133">
            <v>0</v>
          </cell>
          <cell r="CJ133">
            <v>0</v>
          </cell>
          <cell r="CL133">
            <v>0</v>
          </cell>
          <cell r="CN133">
            <v>0</v>
          </cell>
          <cell r="CO133" t="str">
            <v>ECF</v>
          </cell>
          <cell r="CP133">
            <v>0</v>
          </cell>
          <cell r="CR133">
            <v>0</v>
          </cell>
          <cell r="CT133">
            <v>0</v>
          </cell>
          <cell r="CV133">
            <v>0</v>
          </cell>
          <cell r="CX133">
            <v>0</v>
          </cell>
          <cell r="CZ133">
            <v>0</v>
          </cell>
        </row>
        <row r="134">
          <cell r="B134" t="str">
            <v>ULB</v>
          </cell>
          <cell r="D134" t="str">
            <v>LAB NON-PATIENT</v>
          </cell>
          <cell r="F134" t="str">
            <v>UR5</v>
          </cell>
          <cell r="H134">
            <v>1688175.8031052698</v>
          </cell>
          <cell r="J134">
            <v>1232597.9816904822</v>
          </cell>
          <cell r="L134">
            <v>2920773.7847957518</v>
          </cell>
          <cell r="N134">
            <v>24.275772676796858</v>
          </cell>
          <cell r="O134" t="str">
            <v>ULB</v>
          </cell>
          <cell r="P134">
            <v>1688.2</v>
          </cell>
          <cell r="R134">
            <v>1232.5999999999999</v>
          </cell>
          <cell r="T134">
            <v>2920.8</v>
          </cell>
          <cell r="AD134">
            <v>1688.2</v>
          </cell>
          <cell r="AF134">
            <v>1232.5999999999999</v>
          </cell>
          <cell r="AH134">
            <v>2920.8</v>
          </cell>
          <cell r="AJ134">
            <v>24.275772676796858</v>
          </cell>
          <cell r="AL134">
            <v>0</v>
          </cell>
          <cell r="AN134">
            <v>0</v>
          </cell>
          <cell r="AP134">
            <v>0</v>
          </cell>
          <cell r="AR134">
            <v>0</v>
          </cell>
          <cell r="AT134">
            <v>0</v>
          </cell>
          <cell r="AV134">
            <v>0</v>
          </cell>
          <cell r="AX134">
            <v>0</v>
          </cell>
          <cell r="AZ134">
            <v>0</v>
          </cell>
          <cell r="BB134">
            <v>1688.2</v>
          </cell>
          <cell r="BD134">
            <v>1232.5999999999999</v>
          </cell>
          <cell r="BF134">
            <v>2920.8</v>
          </cell>
          <cell r="BH134">
            <v>24.275772676796858</v>
          </cell>
          <cell r="BN134">
            <v>0</v>
          </cell>
          <cell r="BR134">
            <v>1688.2</v>
          </cell>
          <cell r="BT134">
            <v>1232.5999999999999</v>
          </cell>
          <cell r="BV134">
            <v>2920.8</v>
          </cell>
          <cell r="BX134">
            <v>24.275772676796858</v>
          </cell>
          <cell r="CB134">
            <v>0</v>
          </cell>
          <cell r="CD134">
            <v>0</v>
          </cell>
          <cell r="CG134" t="str">
            <v>ULB</v>
          </cell>
          <cell r="CH134">
            <v>117.38802582595271</v>
          </cell>
          <cell r="CJ134">
            <v>287.49004707468299</v>
          </cell>
          <cell r="CL134">
            <v>404.87807290063569</v>
          </cell>
          <cell r="CN134">
            <v>1.1213907861360046</v>
          </cell>
          <cell r="CO134" t="str">
            <v>ULB</v>
          </cell>
          <cell r="CP134">
            <v>1805.5880258259529</v>
          </cell>
          <cell r="CR134">
            <v>1520.0900470746828</v>
          </cell>
          <cell r="CT134">
            <v>3325.6780729006359</v>
          </cell>
          <cell r="CV134">
            <v>25.397163462932863</v>
          </cell>
          <cell r="CX134">
            <v>3769.6938500000001</v>
          </cell>
          <cell r="CZ134">
            <v>444.01577709936419</v>
          </cell>
        </row>
        <row r="135">
          <cell r="B135" t="str">
            <v>UPB</v>
          </cell>
          <cell r="D135" t="str">
            <v>PHYSICIANS PART B SERVICES</v>
          </cell>
          <cell r="F135" t="str">
            <v>UR6</v>
          </cell>
          <cell r="H135">
            <v>206789.11383578976</v>
          </cell>
          <cell r="J135">
            <v>12511376.001431117</v>
          </cell>
          <cell r="L135">
            <v>12718165.115266906</v>
          </cell>
          <cell r="N135">
            <v>7.5556490384615387</v>
          </cell>
          <cell r="O135" t="str">
            <v>UPB</v>
          </cell>
          <cell r="P135">
            <v>206.8</v>
          </cell>
          <cell r="R135">
            <v>12511.4</v>
          </cell>
          <cell r="T135">
            <v>12718.199999999999</v>
          </cell>
          <cell r="X135">
            <v>0</v>
          </cell>
          <cell r="Z135">
            <v>0</v>
          </cell>
          <cell r="AD135">
            <v>206.8</v>
          </cell>
          <cell r="AF135">
            <v>12511.4</v>
          </cell>
          <cell r="AH135">
            <v>12718.199999999999</v>
          </cell>
          <cell r="AJ135">
            <v>7.5556490384615387</v>
          </cell>
          <cell r="AL135">
            <v>0</v>
          </cell>
          <cell r="AN135">
            <v>0</v>
          </cell>
          <cell r="AP135">
            <v>0</v>
          </cell>
          <cell r="AR135">
            <v>0</v>
          </cell>
          <cell r="AT135">
            <v>0</v>
          </cell>
          <cell r="AV135">
            <v>0</v>
          </cell>
          <cell r="AX135">
            <v>0</v>
          </cell>
          <cell r="AZ135">
            <v>0</v>
          </cell>
          <cell r="BB135">
            <v>206.8</v>
          </cell>
          <cell r="BD135">
            <v>12511.4</v>
          </cell>
          <cell r="BF135">
            <v>12718.199999999999</v>
          </cell>
          <cell r="BH135">
            <v>7.5556490384615387</v>
          </cell>
          <cell r="BN135">
            <v>0</v>
          </cell>
          <cell r="BR135">
            <v>206.8</v>
          </cell>
          <cell r="BT135">
            <v>12511.4</v>
          </cell>
          <cell r="BV135">
            <v>12718.199999999999</v>
          </cell>
          <cell r="BX135">
            <v>7.5556490384615387</v>
          </cell>
          <cell r="CB135">
            <v>0</v>
          </cell>
          <cell r="CD135">
            <v>0</v>
          </cell>
          <cell r="CG135" t="str">
            <v>UPB</v>
          </cell>
          <cell r="CH135">
            <v>371.62083823813214</v>
          </cell>
          <cell r="CJ135">
            <v>895.82083321378309</v>
          </cell>
          <cell r="CL135">
            <v>1267.4416714519152</v>
          </cell>
          <cell r="CN135">
            <v>2.2135676886156759</v>
          </cell>
          <cell r="CO135" t="str">
            <v>UPB</v>
          </cell>
          <cell r="CP135">
            <v>578.42083823813209</v>
          </cell>
          <cell r="CR135">
            <v>13407.220833213783</v>
          </cell>
          <cell r="CT135">
            <v>13985.641671451915</v>
          </cell>
          <cell r="CV135">
            <v>9.7692167270772146</v>
          </cell>
          <cell r="CX135">
            <v>-229.87644999999975</v>
          </cell>
          <cell r="CZ135">
            <v>-14215.518121451914</v>
          </cell>
        </row>
        <row r="136">
          <cell r="B136" t="str">
            <v>CNA</v>
          </cell>
          <cell r="D136" t="str">
            <v>CERTIFIED NURSE ANESTHETIST</v>
          </cell>
          <cell r="F136" t="str">
            <v>UR7</v>
          </cell>
          <cell r="H136">
            <v>0</v>
          </cell>
          <cell r="J136">
            <v>0</v>
          </cell>
          <cell r="L136">
            <v>0</v>
          </cell>
          <cell r="N136">
            <v>0</v>
          </cell>
          <cell r="O136" t="str">
            <v>CNA</v>
          </cell>
          <cell r="P136">
            <v>0</v>
          </cell>
          <cell r="R136">
            <v>0</v>
          </cell>
          <cell r="T136">
            <v>0</v>
          </cell>
          <cell r="AD136">
            <v>0</v>
          </cell>
          <cell r="AF136">
            <v>0</v>
          </cell>
          <cell r="AH136">
            <v>0</v>
          </cell>
          <cell r="AJ136">
            <v>0</v>
          </cell>
          <cell r="AL136">
            <v>0</v>
          </cell>
          <cell r="AN136">
            <v>0</v>
          </cell>
          <cell r="AP136">
            <v>0</v>
          </cell>
          <cell r="AR136">
            <v>0</v>
          </cell>
          <cell r="AT136">
            <v>0</v>
          </cell>
          <cell r="AV136">
            <v>0</v>
          </cell>
          <cell r="AX136">
            <v>0</v>
          </cell>
          <cell r="AZ136">
            <v>0</v>
          </cell>
          <cell r="BB136">
            <v>0</v>
          </cell>
          <cell r="BD136">
            <v>0</v>
          </cell>
          <cell r="BF136">
            <v>0</v>
          </cell>
          <cell r="BH136">
            <v>0</v>
          </cell>
          <cell r="BN136">
            <v>0</v>
          </cell>
          <cell r="BR136">
            <v>0</v>
          </cell>
          <cell r="BT136">
            <v>0</v>
          </cell>
          <cell r="BV136">
            <v>0</v>
          </cell>
          <cell r="BX136">
            <v>0</v>
          </cell>
          <cell r="CB136">
            <v>0</v>
          </cell>
          <cell r="CD136">
            <v>0</v>
          </cell>
          <cell r="CG136" t="str">
            <v>CNA</v>
          </cell>
          <cell r="CH136">
            <v>0</v>
          </cell>
          <cell r="CJ136">
            <v>0</v>
          </cell>
          <cell r="CL136">
            <v>0</v>
          </cell>
          <cell r="CN136">
            <v>0</v>
          </cell>
          <cell r="CO136" t="str">
            <v>UPB</v>
          </cell>
          <cell r="CP136">
            <v>0</v>
          </cell>
          <cell r="CR136">
            <v>0</v>
          </cell>
          <cell r="CT136">
            <v>0</v>
          </cell>
          <cell r="CV136">
            <v>0</v>
          </cell>
          <cell r="CX136">
            <v>0</v>
          </cell>
          <cell r="CZ136">
            <v>0</v>
          </cell>
        </row>
        <row r="137">
          <cell r="B137" t="str">
            <v>PSS</v>
          </cell>
          <cell r="D137" t="str">
            <v>Billable Mid Level Providers</v>
          </cell>
          <cell r="F137" t="str">
            <v>UR8</v>
          </cell>
          <cell r="H137">
            <v>93481.982850840257</v>
          </cell>
          <cell r="J137">
            <v>210.9</v>
          </cell>
          <cell r="L137">
            <v>93692.882850840251</v>
          </cell>
          <cell r="N137">
            <v>0.49074519230769231</v>
          </cell>
          <cell r="O137" t="str">
            <v>PSS</v>
          </cell>
          <cell r="P137">
            <v>93.5</v>
          </cell>
          <cell r="R137">
            <v>0.2</v>
          </cell>
          <cell r="T137">
            <v>93.7</v>
          </cell>
          <cell r="AD137">
            <v>93.5</v>
          </cell>
          <cell r="AF137">
            <v>0.2</v>
          </cell>
          <cell r="AH137">
            <v>93.7</v>
          </cell>
          <cell r="AJ137">
            <v>0.49074519230769231</v>
          </cell>
          <cell r="AL137">
            <v>0</v>
          </cell>
          <cell r="AN137">
            <v>0</v>
          </cell>
          <cell r="AP137">
            <v>0</v>
          </cell>
          <cell r="AR137">
            <v>0</v>
          </cell>
          <cell r="AT137">
            <v>0</v>
          </cell>
          <cell r="AV137">
            <v>0</v>
          </cell>
          <cell r="AX137">
            <v>0</v>
          </cell>
          <cell r="AZ137">
            <v>0</v>
          </cell>
          <cell r="BB137">
            <v>93.5</v>
          </cell>
          <cell r="BD137">
            <v>0.2</v>
          </cell>
          <cell r="BF137">
            <v>93.7</v>
          </cell>
          <cell r="BH137">
            <v>0.49074519230769231</v>
          </cell>
          <cell r="BN137">
            <v>0</v>
          </cell>
          <cell r="BR137">
            <v>93.5</v>
          </cell>
          <cell r="BT137">
            <v>0.2</v>
          </cell>
          <cell r="BV137">
            <v>93.7</v>
          </cell>
          <cell r="BX137">
            <v>0.49074519230769231</v>
          </cell>
          <cell r="CB137">
            <v>0</v>
          </cell>
          <cell r="CD137">
            <v>0</v>
          </cell>
          <cell r="CG137" t="str">
            <v>PSS</v>
          </cell>
          <cell r="CH137">
            <v>3.255458683498456</v>
          </cell>
          <cell r="CJ137">
            <v>17.830042915128097</v>
          </cell>
          <cell r="CL137">
            <v>21.085501598626553</v>
          </cell>
          <cell r="CN137">
            <v>1.617334399594594E-2</v>
          </cell>
          <cell r="CO137" t="str">
            <v>UPB</v>
          </cell>
          <cell r="CP137">
            <v>96.75545868349846</v>
          </cell>
          <cell r="CR137">
            <v>18.030042915128096</v>
          </cell>
          <cell r="CT137">
            <v>114.78550159862655</v>
          </cell>
          <cell r="CV137">
            <v>0.50691853630363826</v>
          </cell>
          <cell r="CX137">
            <v>0</v>
          </cell>
          <cell r="CZ137">
            <v>-114.78550159862655</v>
          </cell>
        </row>
        <row r="138">
          <cell r="B138" t="str">
            <v>TBA2</v>
          </cell>
          <cell r="D138" t="str">
            <v>Lactation Center Program</v>
          </cell>
          <cell r="F138" t="str">
            <v>UR9</v>
          </cell>
          <cell r="H138">
            <v>131240.00280973062</v>
          </cell>
          <cell r="J138">
            <v>470</v>
          </cell>
          <cell r="L138">
            <v>131710.00280973062</v>
          </cell>
          <cell r="N138">
            <v>1.5075721153846153</v>
          </cell>
          <cell r="O138" t="str">
            <v>TBA2</v>
          </cell>
          <cell r="P138">
            <v>131.19999999999999</v>
          </cell>
          <cell r="R138">
            <v>0.5</v>
          </cell>
          <cell r="T138">
            <v>131.69999999999999</v>
          </cell>
          <cell r="AD138">
            <v>131.19999999999999</v>
          </cell>
          <cell r="AF138">
            <v>0.5</v>
          </cell>
          <cell r="AH138">
            <v>131.69999999999999</v>
          </cell>
          <cell r="AJ138">
            <v>1.5075721153846153</v>
          </cell>
          <cell r="AL138">
            <v>0</v>
          </cell>
          <cell r="AN138">
            <v>0</v>
          </cell>
          <cell r="AP138">
            <v>0</v>
          </cell>
          <cell r="AR138">
            <v>0</v>
          </cell>
          <cell r="AT138">
            <v>0</v>
          </cell>
          <cell r="AV138">
            <v>0</v>
          </cell>
          <cell r="AX138">
            <v>0</v>
          </cell>
          <cell r="AZ138">
            <v>0</v>
          </cell>
          <cell r="BB138">
            <v>131.19999999999999</v>
          </cell>
          <cell r="BD138">
            <v>0.5</v>
          </cell>
          <cell r="BF138">
            <v>131.69999999999999</v>
          </cell>
          <cell r="BH138">
            <v>1.5075721153846153</v>
          </cell>
          <cell r="BN138">
            <v>0</v>
          </cell>
          <cell r="BR138">
            <v>131.19999999999999</v>
          </cell>
          <cell r="BT138">
            <v>0.5</v>
          </cell>
          <cell r="BV138">
            <v>131.69999999999999</v>
          </cell>
          <cell r="BX138">
            <v>1.5075721153846153</v>
          </cell>
          <cell r="CB138">
            <v>0</v>
          </cell>
          <cell r="CD138">
            <v>0</v>
          </cell>
          <cell r="CG138" t="str">
            <v>TBA2</v>
          </cell>
          <cell r="CH138">
            <v>0</v>
          </cell>
          <cell r="CJ138">
            <v>0</v>
          </cell>
          <cell r="CL138">
            <v>0</v>
          </cell>
          <cell r="CN138">
            <v>0</v>
          </cell>
          <cell r="CO138" t="str">
            <v>UPB</v>
          </cell>
          <cell r="CP138">
            <v>131.19999999999999</v>
          </cell>
          <cell r="CR138">
            <v>0.5</v>
          </cell>
          <cell r="CT138">
            <v>131.69999999999999</v>
          </cell>
          <cell r="CV138">
            <v>1.5075721153846153</v>
          </cell>
          <cell r="CX138">
            <v>0</v>
          </cell>
          <cell r="CZ138">
            <v>-131.69999999999999</v>
          </cell>
        </row>
        <row r="139">
          <cell r="B139" t="str">
            <v>TBA3</v>
          </cell>
          <cell r="F139" t="str">
            <v>UR10</v>
          </cell>
          <cell r="H139">
            <v>0</v>
          </cell>
          <cell r="J139">
            <v>0</v>
          </cell>
          <cell r="L139">
            <v>0</v>
          </cell>
          <cell r="N139">
            <v>0</v>
          </cell>
          <cell r="O139" t="str">
            <v>TBA3</v>
          </cell>
          <cell r="P139">
            <v>0</v>
          </cell>
          <cell r="R139">
            <v>0</v>
          </cell>
          <cell r="T139">
            <v>0</v>
          </cell>
          <cell r="AD139">
            <v>0</v>
          </cell>
          <cell r="AF139">
            <v>0</v>
          </cell>
          <cell r="AH139">
            <v>0</v>
          </cell>
          <cell r="AJ139">
            <v>0</v>
          </cell>
          <cell r="AL139">
            <v>0</v>
          </cell>
          <cell r="AN139">
            <v>0</v>
          </cell>
          <cell r="AP139">
            <v>0</v>
          </cell>
          <cell r="AR139">
            <v>0</v>
          </cell>
          <cell r="AT139">
            <v>0</v>
          </cell>
          <cell r="AV139">
            <v>0</v>
          </cell>
          <cell r="AX139">
            <v>0</v>
          </cell>
          <cell r="AZ139">
            <v>0</v>
          </cell>
          <cell r="BB139">
            <v>0</v>
          </cell>
          <cell r="BD139">
            <v>0</v>
          </cell>
          <cell r="BF139">
            <v>0</v>
          </cell>
          <cell r="BH139">
            <v>0</v>
          </cell>
          <cell r="BN139">
            <v>0</v>
          </cell>
          <cell r="BR139">
            <v>0</v>
          </cell>
          <cell r="BT139">
            <v>0</v>
          </cell>
          <cell r="BV139">
            <v>0</v>
          </cell>
          <cell r="BX139">
            <v>0</v>
          </cell>
          <cell r="CB139">
            <v>0</v>
          </cell>
          <cell r="CD139">
            <v>0</v>
          </cell>
          <cell r="CG139" t="str">
            <v>TBA3</v>
          </cell>
          <cell r="CH139">
            <v>0</v>
          </cell>
          <cell r="CJ139">
            <v>0</v>
          </cell>
          <cell r="CL139">
            <v>0</v>
          </cell>
          <cell r="CN139">
            <v>0</v>
          </cell>
          <cell r="CO139" t="str">
            <v>UPB</v>
          </cell>
          <cell r="CP139">
            <v>0</v>
          </cell>
          <cell r="CR139">
            <v>0</v>
          </cell>
          <cell r="CT139">
            <v>0</v>
          </cell>
          <cell r="CV139">
            <v>0</v>
          </cell>
          <cell r="CX139">
            <v>0</v>
          </cell>
          <cell r="CZ139">
            <v>0</v>
          </cell>
        </row>
        <row r="140">
          <cell r="B140" t="str">
            <v>TBA4</v>
          </cell>
          <cell r="F140" t="str">
            <v>UR11</v>
          </cell>
          <cell r="H140">
            <v>0</v>
          </cell>
          <cell r="J140">
            <v>0</v>
          </cell>
          <cell r="L140">
            <v>0</v>
          </cell>
          <cell r="N140">
            <v>0</v>
          </cell>
          <cell r="O140" t="str">
            <v>TBA4</v>
          </cell>
          <cell r="P140">
            <v>0</v>
          </cell>
          <cell r="R140">
            <v>0</v>
          </cell>
          <cell r="T140">
            <v>0</v>
          </cell>
          <cell r="AD140">
            <v>0</v>
          </cell>
          <cell r="AF140">
            <v>0</v>
          </cell>
          <cell r="AH140">
            <v>0</v>
          </cell>
          <cell r="AJ140">
            <v>0</v>
          </cell>
          <cell r="AL140">
            <v>0</v>
          </cell>
          <cell r="AN140">
            <v>0</v>
          </cell>
          <cell r="AP140">
            <v>0</v>
          </cell>
          <cell r="AR140">
            <v>0</v>
          </cell>
          <cell r="AT140">
            <v>0</v>
          </cell>
          <cell r="AV140">
            <v>0</v>
          </cell>
          <cell r="AX140">
            <v>0</v>
          </cell>
          <cell r="AZ140">
            <v>0</v>
          </cell>
          <cell r="BB140">
            <v>0</v>
          </cell>
          <cell r="BD140">
            <v>0</v>
          </cell>
          <cell r="BF140">
            <v>0</v>
          </cell>
          <cell r="BH140">
            <v>0</v>
          </cell>
          <cell r="BN140">
            <v>0</v>
          </cell>
          <cell r="BR140">
            <v>0</v>
          </cell>
          <cell r="BT140">
            <v>0</v>
          </cell>
          <cell r="BV140">
            <v>0</v>
          </cell>
          <cell r="BX140">
            <v>0</v>
          </cell>
          <cell r="CB140">
            <v>0</v>
          </cell>
          <cell r="CD140">
            <v>0</v>
          </cell>
          <cell r="CG140" t="str">
            <v>TBA4</v>
          </cell>
          <cell r="CH140">
            <v>0</v>
          </cell>
          <cell r="CJ140">
            <v>0</v>
          </cell>
          <cell r="CL140">
            <v>0</v>
          </cell>
          <cell r="CN140">
            <v>0</v>
          </cell>
          <cell r="CO140" t="str">
            <v>UPB</v>
          </cell>
          <cell r="CP140">
            <v>0</v>
          </cell>
          <cell r="CR140">
            <v>0</v>
          </cell>
          <cell r="CT140">
            <v>0</v>
          </cell>
          <cell r="CV140">
            <v>0</v>
          </cell>
          <cell r="CX140">
            <v>0</v>
          </cell>
          <cell r="CZ140">
            <v>0</v>
          </cell>
        </row>
        <row r="141">
          <cell r="B141" t="str">
            <v>TBA5</v>
          </cell>
          <cell r="F141" t="str">
            <v>UR12</v>
          </cell>
          <cell r="H141">
            <v>0</v>
          </cell>
          <cell r="J141">
            <v>0</v>
          </cell>
          <cell r="L141">
            <v>0</v>
          </cell>
          <cell r="N141">
            <v>0</v>
          </cell>
          <cell r="O141" t="str">
            <v>TBA5</v>
          </cell>
          <cell r="P141">
            <v>0</v>
          </cell>
          <cell r="R141">
            <v>0</v>
          </cell>
          <cell r="T141">
            <v>0</v>
          </cell>
          <cell r="AD141">
            <v>0</v>
          </cell>
          <cell r="AF141">
            <v>0</v>
          </cell>
          <cell r="AH141">
            <v>0</v>
          </cell>
          <cell r="AJ141">
            <v>0</v>
          </cell>
          <cell r="AL141">
            <v>0</v>
          </cell>
          <cell r="AN141">
            <v>0</v>
          </cell>
          <cell r="AP141">
            <v>0</v>
          </cell>
          <cell r="AR141">
            <v>0</v>
          </cell>
          <cell r="AT141">
            <v>0</v>
          </cell>
          <cell r="AV141">
            <v>0</v>
          </cell>
          <cell r="AX141">
            <v>0</v>
          </cell>
          <cell r="AZ141">
            <v>0</v>
          </cell>
          <cell r="BB141">
            <v>0</v>
          </cell>
          <cell r="BD141">
            <v>0</v>
          </cell>
          <cell r="BF141">
            <v>0</v>
          </cell>
          <cell r="BH141">
            <v>0</v>
          </cell>
          <cell r="BN141">
            <v>0</v>
          </cell>
          <cell r="BR141">
            <v>0</v>
          </cell>
          <cell r="BT141">
            <v>0</v>
          </cell>
          <cell r="BV141">
            <v>0</v>
          </cell>
          <cell r="BX141">
            <v>0</v>
          </cell>
          <cell r="CB141">
            <v>0</v>
          </cell>
          <cell r="CD141">
            <v>0</v>
          </cell>
          <cell r="CG141" t="str">
            <v>TBA5</v>
          </cell>
          <cell r="CH141">
            <v>0</v>
          </cell>
          <cell r="CJ141">
            <v>0</v>
          </cell>
          <cell r="CL141">
            <v>0</v>
          </cell>
          <cell r="CN141">
            <v>0</v>
          </cell>
          <cell r="CO141" t="str">
            <v>UPB</v>
          </cell>
          <cell r="CP141">
            <v>0</v>
          </cell>
          <cell r="CR141">
            <v>0</v>
          </cell>
          <cell r="CT141">
            <v>0</v>
          </cell>
          <cell r="CV141">
            <v>0</v>
          </cell>
          <cell r="CX141">
            <v>0</v>
          </cell>
          <cell r="CZ141">
            <v>0</v>
          </cell>
        </row>
        <row r="142">
          <cell r="B142" t="str">
            <v>TBA6</v>
          </cell>
          <cell r="F142" t="str">
            <v>UR13</v>
          </cell>
          <cell r="H142">
            <v>0</v>
          </cell>
          <cell r="J142">
            <v>0</v>
          </cell>
          <cell r="L142">
            <v>0</v>
          </cell>
          <cell r="N142">
            <v>0</v>
          </cell>
          <cell r="O142" t="str">
            <v>TBA6</v>
          </cell>
          <cell r="P142">
            <v>0</v>
          </cell>
          <cell r="R142">
            <v>0</v>
          </cell>
          <cell r="T142">
            <v>0</v>
          </cell>
          <cell r="AD142">
            <v>0</v>
          </cell>
          <cell r="AF142">
            <v>0</v>
          </cell>
          <cell r="AH142">
            <v>0</v>
          </cell>
          <cell r="AJ142">
            <v>0</v>
          </cell>
          <cell r="AL142">
            <v>0</v>
          </cell>
          <cell r="AN142">
            <v>0</v>
          </cell>
          <cell r="AP142">
            <v>0</v>
          </cell>
          <cell r="AR142">
            <v>0</v>
          </cell>
          <cell r="AT142">
            <v>0</v>
          </cell>
          <cell r="AV142">
            <v>0</v>
          </cell>
          <cell r="AX142">
            <v>0</v>
          </cell>
          <cell r="AZ142">
            <v>0</v>
          </cell>
          <cell r="BB142">
            <v>0</v>
          </cell>
          <cell r="BD142">
            <v>0</v>
          </cell>
          <cell r="BF142">
            <v>0</v>
          </cell>
          <cell r="BH142">
            <v>0</v>
          </cell>
          <cell r="BN142">
            <v>0</v>
          </cell>
          <cell r="BR142">
            <v>0</v>
          </cell>
          <cell r="BT142">
            <v>0</v>
          </cell>
          <cell r="BV142">
            <v>0</v>
          </cell>
          <cell r="BX142">
            <v>0</v>
          </cell>
          <cell r="CB142">
            <v>0</v>
          </cell>
          <cell r="CD142">
            <v>0</v>
          </cell>
          <cell r="CG142" t="str">
            <v>TBA6</v>
          </cell>
          <cell r="CH142">
            <v>0</v>
          </cell>
          <cell r="CJ142">
            <v>0</v>
          </cell>
          <cell r="CL142">
            <v>0</v>
          </cell>
          <cell r="CN142">
            <v>0</v>
          </cell>
          <cell r="CO142" t="str">
            <v>UPB</v>
          </cell>
          <cell r="CP142">
            <v>0</v>
          </cell>
          <cell r="CR142">
            <v>0</v>
          </cell>
          <cell r="CT142">
            <v>0</v>
          </cell>
          <cell r="CV142">
            <v>0</v>
          </cell>
          <cell r="CX142">
            <v>0</v>
          </cell>
          <cell r="CZ142">
            <v>0</v>
          </cell>
        </row>
        <row r="143">
          <cell r="B143" t="str">
            <v>TBA7</v>
          </cell>
          <cell r="F143" t="str">
            <v>UR14</v>
          </cell>
          <cell r="H143">
            <v>0</v>
          </cell>
          <cell r="J143">
            <v>0</v>
          </cell>
          <cell r="L143">
            <v>0</v>
          </cell>
          <cell r="N143">
            <v>0</v>
          </cell>
          <cell r="O143" t="str">
            <v>TBA7</v>
          </cell>
          <cell r="P143">
            <v>0</v>
          </cell>
          <cell r="R143">
            <v>0</v>
          </cell>
          <cell r="T143">
            <v>0</v>
          </cell>
          <cell r="AD143">
            <v>0</v>
          </cell>
          <cell r="AF143">
            <v>0</v>
          </cell>
          <cell r="AH143">
            <v>0</v>
          </cell>
          <cell r="AJ143">
            <v>0</v>
          </cell>
          <cell r="AL143">
            <v>0</v>
          </cell>
          <cell r="AN143">
            <v>0</v>
          </cell>
          <cell r="AP143">
            <v>0</v>
          </cell>
          <cell r="AR143">
            <v>0</v>
          </cell>
          <cell r="AT143">
            <v>0</v>
          </cell>
          <cell r="AV143">
            <v>0</v>
          </cell>
          <cell r="AX143">
            <v>0</v>
          </cell>
          <cell r="AZ143">
            <v>0</v>
          </cell>
          <cell r="BB143">
            <v>0</v>
          </cell>
          <cell r="BD143">
            <v>0</v>
          </cell>
          <cell r="BF143">
            <v>0</v>
          </cell>
          <cell r="BH143">
            <v>0</v>
          </cell>
          <cell r="BN143">
            <v>0</v>
          </cell>
          <cell r="BR143">
            <v>0</v>
          </cell>
          <cell r="BT143">
            <v>0</v>
          </cell>
          <cell r="BV143">
            <v>0</v>
          </cell>
          <cell r="BX143">
            <v>0</v>
          </cell>
          <cell r="CB143">
            <v>0</v>
          </cell>
          <cell r="CD143">
            <v>0</v>
          </cell>
          <cell r="CG143" t="str">
            <v>TBA7</v>
          </cell>
          <cell r="CH143">
            <v>0</v>
          </cell>
          <cell r="CJ143">
            <v>0</v>
          </cell>
          <cell r="CL143">
            <v>0</v>
          </cell>
          <cell r="CN143">
            <v>0</v>
          </cell>
          <cell r="CO143" t="str">
            <v>UPB</v>
          </cell>
          <cell r="CP143">
            <v>0</v>
          </cell>
          <cell r="CR143">
            <v>0</v>
          </cell>
          <cell r="CT143">
            <v>0</v>
          </cell>
          <cell r="CV143">
            <v>0</v>
          </cell>
          <cell r="CX143">
            <v>0</v>
          </cell>
          <cell r="CZ143">
            <v>0</v>
          </cell>
        </row>
        <row r="144">
          <cell r="B144" t="str">
            <v>TBA8</v>
          </cell>
          <cell r="F144" t="str">
            <v>UR15</v>
          </cell>
          <cell r="H144">
            <v>0</v>
          </cell>
          <cell r="J144">
            <v>0</v>
          </cell>
          <cell r="L144">
            <v>0</v>
          </cell>
          <cell r="N144">
            <v>0</v>
          </cell>
          <cell r="O144" t="str">
            <v>TBA8</v>
          </cell>
          <cell r="P144">
            <v>0</v>
          </cell>
          <cell r="R144">
            <v>0</v>
          </cell>
          <cell r="T144">
            <v>0</v>
          </cell>
          <cell r="AD144">
            <v>0</v>
          </cell>
          <cell r="AF144">
            <v>0</v>
          </cell>
          <cell r="AH144">
            <v>0</v>
          </cell>
          <cell r="AJ144">
            <v>0</v>
          </cell>
          <cell r="AL144">
            <v>0</v>
          </cell>
          <cell r="AN144">
            <v>0</v>
          </cell>
          <cell r="AP144">
            <v>0</v>
          </cell>
          <cell r="AR144">
            <v>0</v>
          </cell>
          <cell r="AT144">
            <v>0</v>
          </cell>
          <cell r="AV144">
            <v>0</v>
          </cell>
          <cell r="AX144">
            <v>0</v>
          </cell>
          <cell r="AZ144">
            <v>0</v>
          </cell>
          <cell r="BB144">
            <v>0</v>
          </cell>
          <cell r="BD144">
            <v>0</v>
          </cell>
          <cell r="BF144">
            <v>0</v>
          </cell>
          <cell r="BH144">
            <v>0</v>
          </cell>
          <cell r="BN144">
            <v>0</v>
          </cell>
          <cell r="BR144">
            <v>0</v>
          </cell>
          <cell r="BT144">
            <v>0</v>
          </cell>
          <cell r="BV144">
            <v>0</v>
          </cell>
          <cell r="BX144">
            <v>0</v>
          </cell>
          <cell r="CB144">
            <v>0</v>
          </cell>
          <cell r="CD144">
            <v>0</v>
          </cell>
          <cell r="CG144" t="str">
            <v>TBA8</v>
          </cell>
          <cell r="CH144">
            <v>0</v>
          </cell>
          <cell r="CJ144">
            <v>0</v>
          </cell>
          <cell r="CL144">
            <v>0</v>
          </cell>
          <cell r="CN144">
            <v>0</v>
          </cell>
          <cell r="CO144" t="str">
            <v>UPB</v>
          </cell>
          <cell r="CP144">
            <v>0</v>
          </cell>
          <cell r="CR144">
            <v>0</v>
          </cell>
          <cell r="CT144">
            <v>0</v>
          </cell>
          <cell r="CV144">
            <v>0</v>
          </cell>
          <cell r="CX144">
            <v>0</v>
          </cell>
          <cell r="CZ144">
            <v>0</v>
          </cell>
        </row>
        <row r="145">
          <cell r="B145" t="str">
            <v>GRT</v>
          </cell>
          <cell r="D145" t="str">
            <v>GRANTS</v>
          </cell>
          <cell r="F145" t="str">
            <v>ZZ1</v>
          </cell>
          <cell r="H145" t="str">
            <v>XXXXXXXXX</v>
          </cell>
          <cell r="J145" t="str">
            <v>XXXXXXXXX</v>
          </cell>
          <cell r="L145">
            <v>0</v>
          </cell>
          <cell r="N145" t="str">
            <v>XXXXXXXXX</v>
          </cell>
          <cell r="O145" t="str">
            <v>GRT</v>
          </cell>
          <cell r="P145">
            <v>0</v>
          </cell>
          <cell r="R145">
            <v>0</v>
          </cell>
          <cell r="T145">
            <v>0</v>
          </cell>
          <cell r="AD145">
            <v>0</v>
          </cell>
          <cell r="AF145">
            <v>0</v>
          </cell>
          <cell r="AH145">
            <v>0</v>
          </cell>
          <cell r="AJ145">
            <v>0</v>
          </cell>
          <cell r="AT145">
            <v>0</v>
          </cell>
          <cell r="AV145">
            <v>0</v>
          </cell>
          <cell r="AX145">
            <v>0</v>
          </cell>
          <cell r="AZ145">
            <v>0</v>
          </cell>
          <cell r="BB145">
            <v>0</v>
          </cell>
          <cell r="BD145">
            <v>0</v>
          </cell>
          <cell r="BF145">
            <v>0</v>
          </cell>
          <cell r="BH145">
            <v>0</v>
          </cell>
          <cell r="BN145">
            <v>0</v>
          </cell>
          <cell r="BR145">
            <v>0</v>
          </cell>
          <cell r="BT145">
            <v>0</v>
          </cell>
          <cell r="BV145">
            <v>0</v>
          </cell>
          <cell r="BX145">
            <v>0</v>
          </cell>
          <cell r="CD145">
            <v>0</v>
          </cell>
          <cell r="CG145" t="str">
            <v>GRT</v>
          </cell>
          <cell r="CL145">
            <v>0</v>
          </cell>
          <cell r="CO145" t="str">
            <v>GRT</v>
          </cell>
          <cell r="CP145">
            <v>0</v>
          </cell>
          <cell r="CR145">
            <v>0</v>
          </cell>
          <cell r="CT145">
            <v>0</v>
          </cell>
          <cell r="CV145">
            <v>0</v>
          </cell>
        </row>
        <row r="146">
          <cell r="B146" t="str">
            <v>ADM</v>
          </cell>
          <cell r="D146" t="str">
            <v>ADMISSIONS DEPARTMENT</v>
          </cell>
          <cell r="F146" t="str">
            <v>ZZZ</v>
          </cell>
          <cell r="H146" t="str">
            <v>XXXXXXXXX</v>
          </cell>
          <cell r="J146" t="str">
            <v>XXXXXXXXX</v>
          </cell>
          <cell r="L146">
            <v>0</v>
          </cell>
          <cell r="N146" t="str">
            <v>XXXXXXXXX</v>
          </cell>
          <cell r="O146" t="str">
            <v>ADM</v>
          </cell>
          <cell r="P146">
            <v>0</v>
          </cell>
          <cell r="R146">
            <v>0</v>
          </cell>
          <cell r="T146">
            <v>0</v>
          </cell>
          <cell r="AD146">
            <v>0</v>
          </cell>
          <cell r="AF146">
            <v>0</v>
          </cell>
          <cell r="AH146">
            <v>0</v>
          </cell>
          <cell r="AJ146">
            <v>0</v>
          </cell>
          <cell r="AT146">
            <v>0</v>
          </cell>
          <cell r="AV146">
            <v>0</v>
          </cell>
          <cell r="AX146">
            <v>0</v>
          </cell>
          <cell r="AZ146">
            <v>0</v>
          </cell>
          <cell r="BB146">
            <v>0</v>
          </cell>
          <cell r="BD146">
            <v>0</v>
          </cell>
          <cell r="BF146">
            <v>0</v>
          </cell>
          <cell r="BH146">
            <v>0</v>
          </cell>
          <cell r="BN146">
            <v>0</v>
          </cell>
          <cell r="BR146">
            <v>0</v>
          </cell>
          <cell r="BT146">
            <v>0</v>
          </cell>
          <cell r="BV146">
            <v>0</v>
          </cell>
          <cell r="BX146">
            <v>0</v>
          </cell>
          <cell r="CD146">
            <v>0</v>
          </cell>
          <cell r="CG146" t="str">
            <v>ADM</v>
          </cell>
          <cell r="CL146">
            <v>0</v>
          </cell>
          <cell r="CO146" t="str">
            <v>IHC</v>
          </cell>
          <cell r="CP146">
            <v>0</v>
          </cell>
          <cell r="CR146">
            <v>0</v>
          </cell>
          <cell r="CT146">
            <v>0</v>
          </cell>
          <cell r="CV146">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13">
          <cell r="A13" t="str">
            <v>MSG</v>
          </cell>
          <cell r="C13">
            <v>51197932.594653182</v>
          </cell>
          <cell r="E13">
            <v>44103.226899999994</v>
          </cell>
          <cell r="K13">
            <v>1160.8659092165701</v>
          </cell>
        </row>
        <row r="14">
          <cell r="A14" t="str">
            <v>PED</v>
          </cell>
          <cell r="C14">
            <v>0</v>
          </cell>
          <cell r="E14">
            <v>0</v>
          </cell>
          <cell r="K14">
            <v>0</v>
          </cell>
        </row>
        <row r="15">
          <cell r="A15" t="str">
            <v>PSY</v>
          </cell>
          <cell r="C15">
            <v>5892311.9872732144</v>
          </cell>
          <cell r="E15">
            <v>5527.8809999999994</v>
          </cell>
          <cell r="K15">
            <v>1065.9259827180099</v>
          </cell>
        </row>
        <row r="16">
          <cell r="A16" t="str">
            <v>OBS</v>
          </cell>
          <cell r="C16">
            <v>4004297.2183084167</v>
          </cell>
          <cell r="E16">
            <v>5601.3846999999996</v>
          </cell>
          <cell r="K16">
            <v>714.87630876494109</v>
          </cell>
        </row>
        <row r="17">
          <cell r="A17" t="str">
            <v>DEF</v>
          </cell>
          <cell r="C17">
            <v>0</v>
          </cell>
          <cell r="E17">
            <v>0</v>
          </cell>
          <cell r="K17">
            <v>0</v>
          </cell>
        </row>
        <row r="18">
          <cell r="A18" t="str">
            <v>MIS</v>
          </cell>
          <cell r="C18">
            <v>13749834.012933904</v>
          </cell>
          <cell r="E18">
            <v>5473.5083999999997</v>
          </cell>
          <cell r="K18">
            <v>2512.0695919520113</v>
          </cell>
        </row>
        <row r="19">
          <cell r="A19" t="str">
            <v>CCU</v>
          </cell>
          <cell r="C19">
            <v>0</v>
          </cell>
          <cell r="E19">
            <v>0</v>
          </cell>
          <cell r="K19">
            <v>0</v>
          </cell>
        </row>
        <row r="20">
          <cell r="A20" t="str">
            <v>PIC</v>
          </cell>
          <cell r="C20">
            <v>0</v>
          </cell>
          <cell r="E20">
            <v>0</v>
          </cell>
          <cell r="K20">
            <v>0</v>
          </cell>
        </row>
        <row r="21">
          <cell r="A21" t="str">
            <v>NEO</v>
          </cell>
          <cell r="C21">
            <v>6051484.5339589156</v>
          </cell>
          <cell r="E21">
            <v>3243.2248999999997</v>
          </cell>
          <cell r="K21">
            <v>1865.8849511049684</v>
          </cell>
        </row>
        <row r="22">
          <cell r="A22" t="str">
            <v>BUR</v>
          </cell>
          <cell r="C22">
            <v>0</v>
          </cell>
          <cell r="E22">
            <v>0</v>
          </cell>
          <cell r="K22">
            <v>0</v>
          </cell>
        </row>
        <row r="23">
          <cell r="A23" t="str">
            <v>PSI</v>
          </cell>
          <cell r="C23">
            <v>0</v>
          </cell>
          <cell r="E23">
            <v>0</v>
          </cell>
          <cell r="K23">
            <v>0</v>
          </cell>
        </row>
        <row r="24">
          <cell r="A24" t="str">
            <v>TRM</v>
          </cell>
          <cell r="C24">
            <v>0</v>
          </cell>
          <cell r="E24">
            <v>0</v>
          </cell>
          <cell r="K24">
            <v>0</v>
          </cell>
        </row>
        <row r="25">
          <cell r="A25" t="str">
            <v>ONC</v>
          </cell>
          <cell r="C25">
            <v>0</v>
          </cell>
          <cell r="E25">
            <v>0</v>
          </cell>
          <cell r="K25">
            <v>0</v>
          </cell>
        </row>
        <row r="26">
          <cell r="A26" t="str">
            <v>NUR</v>
          </cell>
          <cell r="C26">
            <v>1684047.4957746589</v>
          </cell>
          <cell r="E26">
            <v>4414.2495999999992</v>
          </cell>
          <cell r="K26">
            <v>381.50255385981325</v>
          </cell>
        </row>
        <row r="27">
          <cell r="A27" t="str">
            <v>PRE</v>
          </cell>
          <cell r="C27">
            <v>0</v>
          </cell>
          <cell r="E27">
            <v>0</v>
          </cell>
          <cell r="K27">
            <v>0</v>
          </cell>
        </row>
        <row r="28">
          <cell r="A28" t="str">
            <v>ECF</v>
          </cell>
          <cell r="C28">
            <v>0</v>
          </cell>
          <cell r="E28">
            <v>0</v>
          </cell>
          <cell r="K28">
            <v>0</v>
          </cell>
        </row>
        <row r="29">
          <cell r="A29" t="str">
            <v>CHR</v>
          </cell>
          <cell r="C29">
            <v>0</v>
          </cell>
          <cell r="E29">
            <v>0</v>
          </cell>
          <cell r="K29">
            <v>0</v>
          </cell>
        </row>
        <row r="30">
          <cell r="A30" t="str">
            <v>EMG</v>
          </cell>
          <cell r="C30">
            <v>17854678.974394519</v>
          </cell>
          <cell r="E30">
            <v>490357.27929999994</v>
          </cell>
          <cell r="K30">
            <v>36.411571170887115</v>
          </cell>
        </row>
        <row r="31">
          <cell r="A31" t="str">
            <v>CL</v>
          </cell>
          <cell r="C31">
            <v>10885063.118178509</v>
          </cell>
          <cell r="E31">
            <v>259642.25469999996</v>
          </cell>
          <cell r="K31">
            <v>41.923311483932011</v>
          </cell>
        </row>
        <row r="32">
          <cell r="A32" t="str">
            <v>PDC</v>
          </cell>
          <cell r="C32">
            <v>444258.41093330219</v>
          </cell>
          <cell r="E32">
            <v>1747.9783999999997</v>
          </cell>
          <cell r="K32">
            <v>254.15554959563704</v>
          </cell>
        </row>
        <row r="33">
          <cell r="A33" t="str">
            <v>AMS</v>
          </cell>
          <cell r="C33">
            <v>0</v>
          </cell>
          <cell r="E33">
            <v>0</v>
          </cell>
          <cell r="G33">
            <v>1</v>
          </cell>
          <cell r="K33">
            <v>0</v>
          </cell>
        </row>
        <row r="34">
          <cell r="A34" t="str">
            <v>SDS</v>
          </cell>
          <cell r="C34">
            <v>3649665.6571436771</v>
          </cell>
          <cell r="E34">
            <v>5561.1086999999998</v>
          </cell>
          <cell r="K34">
            <v>656.28381929374575</v>
          </cell>
        </row>
        <row r="35">
          <cell r="A35" t="str">
            <v>DEL</v>
          </cell>
          <cell r="C35">
            <v>8774712.5227459483</v>
          </cell>
          <cell r="E35">
            <v>97967.342399999994</v>
          </cell>
          <cell r="K35">
            <v>89.567730508794014</v>
          </cell>
        </row>
        <row r="36">
          <cell r="A36" t="str">
            <v>OR</v>
          </cell>
          <cell r="C36">
            <v>42126342.785677962</v>
          </cell>
          <cell r="E36">
            <v>1298068.2936999998</v>
          </cell>
          <cell r="K36">
            <v>32.453102036412503</v>
          </cell>
        </row>
        <row r="37">
          <cell r="A37" t="str">
            <v>ORC</v>
          </cell>
          <cell r="C37">
            <v>28009.713408623764</v>
          </cell>
          <cell r="E37">
            <v>4222.9385999999995</v>
          </cell>
          <cell r="K37">
            <v>6.6327541225969444</v>
          </cell>
        </row>
        <row r="38">
          <cell r="A38" t="str">
            <v>ANS</v>
          </cell>
          <cell r="C38">
            <v>2451824.1741557489</v>
          </cell>
          <cell r="E38">
            <v>1150230.2011999998</v>
          </cell>
          <cell r="K38">
            <v>2.1315943292028292</v>
          </cell>
        </row>
        <row r="39">
          <cell r="A39" t="str">
            <v>LAB</v>
          </cell>
          <cell r="C39">
            <v>21866939.695387281</v>
          </cell>
          <cell r="E39">
            <v>11772368.702399999</v>
          </cell>
          <cell r="K39">
            <v>1.8574800236191491</v>
          </cell>
        </row>
        <row r="40">
          <cell r="A40" t="str">
            <v>BB</v>
          </cell>
          <cell r="C40">
            <v>0</v>
          </cell>
          <cell r="E40">
            <v>0</v>
          </cell>
          <cell r="K40">
            <v>0</v>
          </cell>
        </row>
        <row r="41">
          <cell r="A41" t="str">
            <v>EKG</v>
          </cell>
          <cell r="C41">
            <v>2574458.0063404627</v>
          </cell>
          <cell r="E41">
            <v>757739.57429999998</v>
          </cell>
          <cell r="K41">
            <v>3.3975498887183604</v>
          </cell>
        </row>
        <row r="42">
          <cell r="A42" t="str">
            <v>IRC</v>
          </cell>
          <cell r="C42">
            <v>18901143.514070634</v>
          </cell>
          <cell r="E42">
            <v>180981.21289999998</v>
          </cell>
          <cell r="K42">
            <v>104.43704742168094</v>
          </cell>
        </row>
        <row r="43">
          <cell r="A43" t="str">
            <v>RAD</v>
          </cell>
          <cell r="C43">
            <v>11661783.286999183</v>
          </cell>
          <cell r="E43">
            <v>391784.79</v>
          </cell>
          <cell r="K43">
            <v>29.765788730591566</v>
          </cell>
        </row>
        <row r="44">
          <cell r="A44" t="str">
            <v>CAT</v>
          </cell>
          <cell r="C44">
            <v>3087035.7617182778</v>
          </cell>
          <cell r="E44">
            <v>587476.81189999997</v>
          </cell>
          <cell r="K44">
            <v>5.2547363558644617</v>
          </cell>
        </row>
        <row r="45">
          <cell r="A45" t="str">
            <v>RAT</v>
          </cell>
          <cell r="C45">
            <v>11514218.886008348</v>
          </cell>
          <cell r="E45">
            <v>363252.26469999994</v>
          </cell>
          <cell r="K45">
            <v>31.697583208511102</v>
          </cell>
        </row>
        <row r="46">
          <cell r="A46" t="str">
            <v>NUC</v>
          </cell>
          <cell r="C46">
            <v>6346635.7143062064</v>
          </cell>
          <cell r="E46">
            <v>182262.99659999998</v>
          </cell>
          <cell r="K46">
            <v>34.821306752871678</v>
          </cell>
        </row>
        <row r="47">
          <cell r="A47" t="str">
            <v>RES</v>
          </cell>
          <cell r="C47">
            <v>5295540.7733069388</v>
          </cell>
          <cell r="E47">
            <v>3131508.3380999998</v>
          </cell>
          <cell r="K47">
            <v>1.6910511490191134</v>
          </cell>
        </row>
        <row r="48">
          <cell r="A48" t="str">
            <v>PUL</v>
          </cell>
          <cell r="C48">
            <v>463986.99168198503</v>
          </cell>
          <cell r="E48">
            <v>98702.379399999991</v>
          </cell>
          <cell r="K48">
            <v>4.700869366093368</v>
          </cell>
        </row>
        <row r="49">
          <cell r="A49" t="str">
            <v>EEG</v>
          </cell>
          <cell r="C49">
            <v>1395005.5091121099</v>
          </cell>
          <cell r="E49">
            <v>111103.35979999999</v>
          </cell>
          <cell r="K49">
            <v>12.555925505972953</v>
          </cell>
        </row>
        <row r="50">
          <cell r="A50" t="str">
            <v>PTH</v>
          </cell>
          <cell r="C50">
            <v>2938218.9365646327</v>
          </cell>
          <cell r="E50">
            <v>350103.15759999998</v>
          </cell>
          <cell r="K50">
            <v>8.3924376938113987</v>
          </cell>
        </row>
        <row r="51">
          <cell r="A51" t="str">
            <v>OTH</v>
          </cell>
          <cell r="C51">
            <v>2329677.4674216202</v>
          </cell>
          <cell r="E51">
            <v>320183.12409999996</v>
          </cell>
          <cell r="K51">
            <v>7.2760782566854232</v>
          </cell>
        </row>
        <row r="52">
          <cell r="A52" t="str">
            <v>STH</v>
          </cell>
          <cell r="C52">
            <v>299095.02665904333</v>
          </cell>
          <cell r="E52">
            <v>35916.123</v>
          </cell>
          <cell r="K52">
            <v>8.3275977938666532</v>
          </cell>
        </row>
        <row r="53">
          <cell r="A53" t="str">
            <v>REC</v>
          </cell>
          <cell r="C53">
            <v>0</v>
          </cell>
          <cell r="E53">
            <v>0</v>
          </cell>
          <cell r="K53">
            <v>0</v>
          </cell>
        </row>
        <row r="54">
          <cell r="A54" t="str">
            <v>AUD</v>
          </cell>
          <cell r="C54">
            <v>145436.95441862743</v>
          </cell>
          <cell r="E54">
            <v>8514.3463999999985</v>
          </cell>
          <cell r="I54">
            <v>1</v>
          </cell>
          <cell r="K54">
            <v>17.081399744157398</v>
          </cell>
        </row>
        <row r="55">
          <cell r="A55" t="str">
            <v>OPM</v>
          </cell>
          <cell r="C55">
            <v>0</v>
          </cell>
          <cell r="E55">
            <v>0</v>
          </cell>
          <cell r="K55">
            <v>0</v>
          </cell>
        </row>
        <row r="56">
          <cell r="A56" t="str">
            <v>RDL</v>
          </cell>
          <cell r="C56">
            <v>703971.93646628631</v>
          </cell>
          <cell r="E56">
            <v>1006.8999999999999</v>
          </cell>
          <cell r="I56">
            <v>1</v>
          </cell>
          <cell r="K56">
            <v>699.14781653221416</v>
          </cell>
        </row>
        <row r="57">
          <cell r="A57" t="str">
            <v>AOR</v>
          </cell>
          <cell r="C57">
            <v>0</v>
          </cell>
          <cell r="E57">
            <v>0</v>
          </cell>
          <cell r="K57">
            <v>0</v>
          </cell>
        </row>
        <row r="58">
          <cell r="A58" t="str">
            <v>LEU</v>
          </cell>
          <cell r="C58">
            <v>0</v>
          </cell>
          <cell r="E58">
            <v>0</v>
          </cell>
          <cell r="K58">
            <v>0</v>
          </cell>
        </row>
        <row r="59">
          <cell r="A59" t="str">
            <v>HYP</v>
          </cell>
          <cell r="C59">
            <v>0</v>
          </cell>
          <cell r="E59">
            <v>0</v>
          </cell>
          <cell r="K59">
            <v>0</v>
          </cell>
        </row>
        <row r="60">
          <cell r="A60" t="str">
            <v>FSE</v>
          </cell>
          <cell r="C60">
            <v>0</v>
          </cell>
          <cell r="E60">
            <v>0</v>
          </cell>
          <cell r="K60">
            <v>0</v>
          </cell>
        </row>
        <row r="61">
          <cell r="A61" t="str">
            <v>OPM</v>
          </cell>
          <cell r="C61">
            <v>0</v>
          </cell>
          <cell r="E61">
            <v>0</v>
          </cell>
          <cell r="K61">
            <v>0</v>
          </cell>
        </row>
        <row r="62">
          <cell r="A62" t="str">
            <v>MRI</v>
          </cell>
          <cell r="C62">
            <v>1472945.5812056714</v>
          </cell>
          <cell r="E62">
            <v>28211.324199999999</v>
          </cell>
          <cell r="K62">
            <v>52.21114651561345</v>
          </cell>
        </row>
        <row r="63">
          <cell r="A63" t="str">
            <v>ADD</v>
          </cell>
          <cell r="C63">
            <v>0</v>
          </cell>
          <cell r="E63">
            <v>0</v>
          </cell>
          <cell r="K63">
            <v>0</v>
          </cell>
        </row>
        <row r="64">
          <cell r="A64" t="str">
            <v>LIT</v>
          </cell>
          <cell r="C64">
            <v>47007.605981429449</v>
          </cell>
          <cell r="E64">
            <v>21.1449</v>
          </cell>
          <cell r="K64">
            <v>2223.117914079965</v>
          </cell>
        </row>
        <row r="65">
          <cell r="A65" t="str">
            <v>RHB</v>
          </cell>
          <cell r="C65">
            <v>0</v>
          </cell>
          <cell r="E65">
            <v>0</v>
          </cell>
          <cell r="K65">
            <v>0</v>
          </cell>
        </row>
        <row r="66">
          <cell r="A66" t="str">
            <v>OBV</v>
          </cell>
          <cell r="C66">
            <v>3449944.2224039244</v>
          </cell>
          <cell r="E66">
            <v>45678.018499999998</v>
          </cell>
          <cell r="K66">
            <v>75.52744921288398</v>
          </cell>
        </row>
        <row r="67">
          <cell r="A67" t="str">
            <v>AMR</v>
          </cell>
          <cell r="C67">
            <v>9.5766912968901377</v>
          </cell>
          <cell r="E67">
            <v>1.0068999999999999</v>
          </cell>
          <cell r="I67">
            <v>1</v>
          </cell>
          <cell r="K67">
            <v>9.5110649487438064</v>
          </cell>
        </row>
        <row r="68">
          <cell r="A68" t="str">
            <v>TMT</v>
          </cell>
          <cell r="C68">
            <v>5051.1726207041638</v>
          </cell>
          <cell r="E68">
            <v>1.0068999999999999</v>
          </cell>
          <cell r="I68">
            <v>1</v>
          </cell>
          <cell r="K68">
            <v>5016.5583679652045</v>
          </cell>
        </row>
        <row r="69">
          <cell r="A69" t="str">
            <v>OCL</v>
          </cell>
          <cell r="C69">
            <v>0</v>
          </cell>
          <cell r="E69">
            <v>0</v>
          </cell>
          <cell r="K69">
            <v>0</v>
          </cell>
        </row>
        <row r="70">
          <cell r="A70" t="str">
            <v>TNA</v>
          </cell>
          <cell r="C70">
            <v>5021.378470002729</v>
          </cell>
          <cell r="E70">
            <v>1.0068999999999999</v>
          </cell>
          <cell r="I70">
            <v>1</v>
          </cell>
          <cell r="K70">
            <v>4986.9683881246692</v>
          </cell>
        </row>
        <row r="71">
          <cell r="A71" t="str">
            <v>PAD</v>
          </cell>
          <cell r="C71">
            <v>0</v>
          </cell>
          <cell r="E71">
            <v>0</v>
          </cell>
          <cell r="K71">
            <v>0</v>
          </cell>
        </row>
        <row r="72">
          <cell r="A72" t="str">
            <v>PCD</v>
          </cell>
          <cell r="C72">
            <v>0</v>
          </cell>
          <cell r="E72">
            <v>0</v>
          </cell>
          <cell r="K72">
            <v>0</v>
          </cell>
        </row>
        <row r="73">
          <cell r="A73" t="str">
            <v>PSG</v>
          </cell>
          <cell r="C73">
            <v>0</v>
          </cell>
          <cell r="E73">
            <v>0</v>
          </cell>
          <cell r="K73">
            <v>0</v>
          </cell>
        </row>
        <row r="74">
          <cell r="A74" t="str">
            <v>ITH</v>
          </cell>
          <cell r="C74">
            <v>0</v>
          </cell>
          <cell r="E74">
            <v>0</v>
          </cell>
          <cell r="K74">
            <v>0</v>
          </cell>
        </row>
        <row r="75">
          <cell r="A75" t="str">
            <v>GTH</v>
          </cell>
          <cell r="C75">
            <v>0</v>
          </cell>
          <cell r="E75">
            <v>0</v>
          </cell>
          <cell r="K75">
            <v>0</v>
          </cell>
        </row>
        <row r="76">
          <cell r="A76" t="str">
            <v>FTH</v>
          </cell>
          <cell r="C76">
            <v>0</v>
          </cell>
          <cell r="E76">
            <v>0</v>
          </cell>
          <cell r="K76">
            <v>0</v>
          </cell>
        </row>
        <row r="77">
          <cell r="A77" t="str">
            <v>PST</v>
          </cell>
          <cell r="C77">
            <v>0</v>
          </cell>
          <cell r="E77">
            <v>0</v>
          </cell>
          <cell r="K77">
            <v>0</v>
          </cell>
        </row>
        <row r="78">
          <cell r="A78" t="str">
            <v>PSE</v>
          </cell>
          <cell r="C78">
            <v>0</v>
          </cell>
          <cell r="E78">
            <v>0</v>
          </cell>
          <cell r="K78">
            <v>0</v>
          </cell>
        </row>
        <row r="79">
          <cell r="A79" t="str">
            <v>OPT</v>
          </cell>
          <cell r="C79">
            <v>0</v>
          </cell>
          <cell r="E79">
            <v>0</v>
          </cell>
          <cell r="K79">
            <v>0</v>
          </cell>
        </row>
        <row r="80">
          <cell r="A80" t="str">
            <v>ETH</v>
          </cell>
          <cell r="C80">
            <v>0</v>
          </cell>
          <cell r="E80">
            <v>0</v>
          </cell>
          <cell r="K80">
            <v>0</v>
          </cell>
        </row>
        <row r="81">
          <cell r="A81" t="str">
            <v>ATH</v>
          </cell>
          <cell r="C81">
            <v>0</v>
          </cell>
          <cell r="E81">
            <v>0</v>
          </cell>
          <cell r="K81">
            <v>0</v>
          </cell>
        </row>
        <row r="82">
          <cell r="A82" t="str">
            <v>AMB</v>
          </cell>
          <cell r="C82">
            <v>0</v>
          </cell>
          <cell r="E82">
            <v>0</v>
          </cell>
          <cell r="K82">
            <v>0</v>
          </cell>
        </row>
        <row r="83">
          <cell r="A83" t="str">
            <v>ADM</v>
          </cell>
          <cell r="C83">
            <v>1251328.1126899107</v>
          </cell>
          <cell r="E83">
            <v>15214.258999999998</v>
          </cell>
          <cell r="K83">
            <v>82.247062620000804</v>
          </cell>
        </row>
        <row r="84">
          <cell r="A84" t="str">
            <v>MSS</v>
          </cell>
          <cell r="C84">
            <v>67682878.018238693</v>
          </cell>
          <cell r="E84">
            <v>46702535</v>
          </cell>
          <cell r="K84">
            <v>1.4492334948892751</v>
          </cell>
        </row>
        <row r="85">
          <cell r="A85" t="str">
            <v>CDS</v>
          </cell>
          <cell r="C85">
            <v>37255961.829509526</v>
          </cell>
          <cell r="E85">
            <v>20578761</v>
          </cell>
          <cell r="K85">
            <v>1.8104084026006</v>
          </cell>
        </row>
        <row r="86">
          <cell r="A86" t="str">
            <v>OA</v>
          </cell>
          <cell r="C86">
            <v>0</v>
          </cell>
          <cell r="E86">
            <v>0</v>
          </cell>
          <cell r="K86">
            <v>0</v>
          </cell>
        </row>
      </sheetData>
      <sheetData sheetId="19" refreshError="1"/>
      <sheetData sheetId="20" refreshError="1"/>
      <sheetData sheetId="21" refreshError="1"/>
      <sheetData sheetId="22" refreshError="1"/>
      <sheetData sheetId="23" refreshError="1"/>
      <sheetData sheetId="24" refreshError="1"/>
      <sheetData sheetId="25">
        <row r="1">
          <cell r="A1" t="str">
            <v>INPUT - Supplemental Births Schedule</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102">
          <cell r="J102">
            <v>3891.3855477230186</v>
          </cell>
        </row>
      </sheetData>
      <sheetData sheetId="39">
        <row r="245">
          <cell r="J245">
            <v>0</v>
          </cell>
        </row>
      </sheetData>
      <sheetData sheetId="40">
        <row r="83">
          <cell r="F83">
            <v>672.93815990542339</v>
          </cell>
        </row>
      </sheetData>
      <sheetData sheetId="41">
        <row r="283">
          <cell r="J283">
            <v>0</v>
          </cell>
        </row>
      </sheetData>
      <sheetData sheetId="42">
        <row r="284">
          <cell r="J284">
            <v>0</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ow r="17">
          <cell r="C17">
            <v>0</v>
          </cell>
        </row>
      </sheetData>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ow r="4">
          <cell r="B4" t="str">
            <v>UNITS</v>
          </cell>
          <cell r="D4" t="str">
            <v>PAT CARE</v>
          </cell>
          <cell r="E4" t="str">
            <v>OTHER</v>
          </cell>
          <cell r="G4" t="str">
            <v>PHYSICIAN</v>
          </cell>
          <cell r="H4" t="str">
            <v>RESIDENT</v>
          </cell>
          <cell r="J4" t="str">
            <v>-------- C F A --------</v>
          </cell>
          <cell r="Q4" t="str">
            <v>-------- O F C --------</v>
          </cell>
          <cell r="T4" t="str">
            <v>PAYOR</v>
          </cell>
          <cell r="Y4" t="str">
            <v>ADJUST</v>
          </cell>
        </row>
        <row r="5">
          <cell r="B5" t="str">
            <v>OF</v>
          </cell>
          <cell r="C5" t="str">
            <v>DIRECT</v>
          </cell>
          <cell r="D5" t="str">
            <v>OVERHEAD</v>
          </cell>
          <cell r="E5" t="str">
            <v>OVERHEAD</v>
          </cell>
          <cell r="F5" t="str">
            <v>N/A</v>
          </cell>
          <cell r="G5" t="str">
            <v>SUPPORT</v>
          </cell>
          <cell r="H5" t="str">
            <v>INTERN</v>
          </cell>
          <cell r="I5" t="str">
            <v>LEVEL</v>
          </cell>
          <cell r="J5" t="str">
            <v>BLDG &amp; GENRL</v>
          </cell>
          <cell r="K5" t="str">
            <v>DEPART-</v>
          </cell>
          <cell r="L5" t="str">
            <v>LEVEL</v>
          </cell>
          <cell r="S5" t="str">
            <v>LEVEL</v>
          </cell>
          <cell r="T5" t="str">
            <v>DIFFER-</v>
          </cell>
          <cell r="U5" t="str">
            <v>LEVEL</v>
          </cell>
          <cell r="V5" t="str">
            <v>CROSS</v>
          </cell>
          <cell r="W5" t="str">
            <v>MISC</v>
          </cell>
          <cell r="X5" t="str">
            <v>HSCRC</v>
          </cell>
          <cell r="Y5" t="str">
            <v>LEVEL</v>
          </cell>
          <cell r="Z5" t="str">
            <v>AVERAGE</v>
          </cell>
        </row>
        <row r="6">
          <cell r="B6" t="str">
            <v>MEASURE</v>
          </cell>
          <cell r="C6" t="str">
            <v>EXPENSES</v>
          </cell>
          <cell r="D6" t="str">
            <v>EXPENSES</v>
          </cell>
          <cell r="E6" t="str">
            <v>EXPENSES</v>
          </cell>
          <cell r="G6" t="str">
            <v>EXPENSES</v>
          </cell>
          <cell r="H6" t="str">
            <v>EXPENSES</v>
          </cell>
          <cell r="I6" t="str">
            <v>I</v>
          </cell>
          <cell r="J6" t="str">
            <v>EQUIPMENT</v>
          </cell>
          <cell r="K6" t="str">
            <v>MENTAL</v>
          </cell>
          <cell r="L6" t="str">
            <v>II</v>
          </cell>
          <cell r="Q6" t="str">
            <v>DIRECT</v>
          </cell>
          <cell r="R6" t="str">
            <v>PERCENTAGE</v>
          </cell>
          <cell r="S6" t="str">
            <v>III</v>
          </cell>
          <cell r="T6" t="str">
            <v>ENTIAL</v>
          </cell>
          <cell r="U6" t="str">
            <v>IV</v>
          </cell>
          <cell r="V6" t="str">
            <v>SUBSIDY</v>
          </cell>
          <cell r="W6" t="str">
            <v>ADJ</v>
          </cell>
          <cell r="X6" t="str">
            <v>ADJ</v>
          </cell>
          <cell r="Y6" t="str">
            <v>IV</v>
          </cell>
          <cell r="Z6" t="str">
            <v>RATES</v>
          </cell>
        </row>
        <row r="8">
          <cell r="A8" t="str">
            <v>CODE</v>
          </cell>
          <cell r="B8" t="str">
            <v>COL 1</v>
          </cell>
          <cell r="C8" t="str">
            <v>COL 2</v>
          </cell>
          <cell r="D8" t="str">
            <v>COL 3</v>
          </cell>
          <cell r="E8" t="str">
            <v>COL 4</v>
          </cell>
          <cell r="F8" t="str">
            <v>COL 5</v>
          </cell>
          <cell r="G8" t="str">
            <v>COL 6</v>
          </cell>
          <cell r="H8" t="str">
            <v>COL 7</v>
          </cell>
          <cell r="I8" t="str">
            <v>COL 8</v>
          </cell>
          <cell r="J8" t="str">
            <v>COL 9</v>
          </cell>
          <cell r="K8" t="str">
            <v>COL 10</v>
          </cell>
          <cell r="L8" t="str">
            <v>COL 11</v>
          </cell>
          <cell r="O8" t="str">
            <v>DESCRIPTION</v>
          </cell>
          <cell r="P8" t="str">
            <v>CODE</v>
          </cell>
          <cell r="Q8" t="str">
            <v>COL 1</v>
          </cell>
          <cell r="R8" t="str">
            <v>COL 2</v>
          </cell>
          <cell r="S8" t="str">
            <v>COL 3</v>
          </cell>
          <cell r="T8" t="str">
            <v>COL 4</v>
          </cell>
          <cell r="U8" t="str">
            <v>COL 5</v>
          </cell>
          <cell r="V8" t="str">
            <v>COL 6</v>
          </cell>
          <cell r="W8" t="str">
            <v>COL 7</v>
          </cell>
          <cell r="X8" t="str">
            <v>COL 8</v>
          </cell>
          <cell r="Y8" t="str">
            <v>COL 9</v>
          </cell>
          <cell r="Z8" t="str">
            <v>COL 10</v>
          </cell>
        </row>
        <row r="9">
          <cell r="A9" t="str">
            <v>MSG</v>
          </cell>
          <cell r="B9">
            <v>43801</v>
          </cell>
          <cell r="C9">
            <v>27547.702819874721</v>
          </cell>
          <cell r="D9">
            <v>7621.1544327530046</v>
          </cell>
          <cell r="E9">
            <v>8637.2075233668711</v>
          </cell>
          <cell r="F9" t="str">
            <v xml:space="preserve"> /////////</v>
          </cell>
          <cell r="G9">
            <v>466.72997993071078</v>
          </cell>
          <cell r="H9">
            <v>0</v>
          </cell>
          <cell r="I9">
            <v>44272.794755925308</v>
          </cell>
          <cell r="J9">
            <v>5331.9</v>
          </cell>
          <cell r="K9">
            <v>14.799999999999999</v>
          </cell>
          <cell r="L9">
            <v>49619.494755925312</v>
          </cell>
          <cell r="M9">
            <v>0</v>
          </cell>
          <cell r="N9" t="str">
            <v>A1</v>
          </cell>
          <cell r="O9" t="str">
            <v>Med/Surg Acute</v>
          </cell>
          <cell r="P9" t="str">
            <v>MSG</v>
          </cell>
          <cell r="Q9">
            <v>0</v>
          </cell>
          <cell r="R9">
            <v>-1952.95</v>
          </cell>
          <cell r="S9">
            <v>47666.544755925315</v>
          </cell>
          <cell r="T9">
            <v>4794.7</v>
          </cell>
          <cell r="U9">
            <v>52461.244755925312</v>
          </cell>
          <cell r="V9">
            <v>0</v>
          </cell>
          <cell r="W9">
            <v>0</v>
          </cell>
          <cell r="X9">
            <v>0</v>
          </cell>
          <cell r="Y9">
            <v>52461.244755925312</v>
          </cell>
          <cell r="Z9">
            <v>1197.7179689031143</v>
          </cell>
        </row>
        <row r="10">
          <cell r="A10" t="str">
            <v>PED</v>
          </cell>
          <cell r="B10">
            <v>0</v>
          </cell>
          <cell r="C10">
            <v>0</v>
          </cell>
          <cell r="D10">
            <v>0</v>
          </cell>
          <cell r="E10">
            <v>0</v>
          </cell>
          <cell r="F10" t="str">
            <v xml:space="preserve"> /////////</v>
          </cell>
          <cell r="G10">
            <v>0</v>
          </cell>
          <cell r="H10">
            <v>0</v>
          </cell>
          <cell r="I10">
            <v>0</v>
          </cell>
          <cell r="J10">
            <v>0</v>
          </cell>
          <cell r="K10">
            <v>0</v>
          </cell>
          <cell r="L10">
            <v>0</v>
          </cell>
          <cell r="M10">
            <v>0</v>
          </cell>
          <cell r="N10">
            <v>2</v>
          </cell>
          <cell r="O10" t="str">
            <v>Pediatric Acute</v>
          </cell>
          <cell r="P10" t="str">
            <v>PED</v>
          </cell>
          <cell r="Q10">
            <v>0</v>
          </cell>
          <cell r="R10">
            <v>0</v>
          </cell>
          <cell r="S10">
            <v>0</v>
          </cell>
          <cell r="T10">
            <v>0</v>
          </cell>
          <cell r="U10">
            <v>0</v>
          </cell>
          <cell r="V10">
            <v>0</v>
          </cell>
          <cell r="W10">
            <v>0</v>
          </cell>
          <cell r="X10">
            <v>0</v>
          </cell>
          <cell r="Y10">
            <v>0</v>
          </cell>
          <cell r="Z10">
            <v>0</v>
          </cell>
        </row>
        <row r="11">
          <cell r="A11" t="str">
            <v>PSY</v>
          </cell>
          <cell r="B11">
            <v>5490</v>
          </cell>
          <cell r="C11">
            <v>3239.0422893270052</v>
          </cell>
          <cell r="D11">
            <v>890.01961784726507</v>
          </cell>
          <cell r="E11">
            <v>1015.3528015196043</v>
          </cell>
          <cell r="F11" t="str">
            <v xml:space="preserve"> /////////</v>
          </cell>
          <cell r="G11">
            <v>0</v>
          </cell>
          <cell r="H11">
            <v>0</v>
          </cell>
          <cell r="I11">
            <v>5144.4147086938747</v>
          </cell>
          <cell r="J11">
            <v>564.29999999999995</v>
          </cell>
          <cell r="K11">
            <v>1.96</v>
          </cell>
          <cell r="L11">
            <v>5710.6747086938749</v>
          </cell>
          <cell r="M11">
            <v>0</v>
          </cell>
          <cell r="N11">
            <v>3</v>
          </cell>
          <cell r="O11" t="str">
            <v>Psychiatric Acute</v>
          </cell>
          <cell r="P11" t="str">
            <v>PSY</v>
          </cell>
          <cell r="Q11">
            <v>0</v>
          </cell>
          <cell r="R11">
            <v>-224.76400000000001</v>
          </cell>
          <cell r="S11">
            <v>5485.9107086938748</v>
          </cell>
          <cell r="T11">
            <v>551.79999999999995</v>
          </cell>
          <cell r="U11">
            <v>6037.7107086938749</v>
          </cell>
          <cell r="V11">
            <v>0</v>
          </cell>
          <cell r="W11">
            <v>0</v>
          </cell>
          <cell r="X11">
            <v>0</v>
          </cell>
          <cell r="Y11">
            <v>6037.7107086938749</v>
          </cell>
          <cell r="Z11">
            <v>1099.765156410542</v>
          </cell>
        </row>
        <row r="12">
          <cell r="A12" t="str">
            <v>OBS</v>
          </cell>
          <cell r="B12">
            <v>5563</v>
          </cell>
          <cell r="C12">
            <v>1937.8835006195845</v>
          </cell>
          <cell r="D12">
            <v>784.08116274256099</v>
          </cell>
          <cell r="E12">
            <v>615.96367050484162</v>
          </cell>
          <cell r="F12" t="str">
            <v xml:space="preserve"> /////////</v>
          </cell>
          <cell r="G12">
            <v>0</v>
          </cell>
          <cell r="H12">
            <v>0</v>
          </cell>
          <cell r="I12">
            <v>3337.928333866987</v>
          </cell>
          <cell r="J12">
            <v>541.29999999999995</v>
          </cell>
          <cell r="K12">
            <v>1.6400000000000001</v>
          </cell>
          <cell r="L12">
            <v>3880.8683338669866</v>
          </cell>
          <cell r="M12">
            <v>0</v>
          </cell>
          <cell r="N12">
            <v>4</v>
          </cell>
          <cell r="O12" t="str">
            <v>Obstetrics Acute</v>
          </cell>
          <cell r="P12" t="str">
            <v>OBS</v>
          </cell>
          <cell r="Q12">
            <v>0</v>
          </cell>
          <cell r="R12">
            <v>-152.745</v>
          </cell>
          <cell r="S12">
            <v>3728.1233338669867</v>
          </cell>
          <cell r="T12">
            <v>375</v>
          </cell>
          <cell r="U12">
            <v>4103.1233338669863</v>
          </cell>
          <cell r="V12">
            <v>0</v>
          </cell>
          <cell r="W12">
            <v>0</v>
          </cell>
          <cell r="X12">
            <v>0</v>
          </cell>
          <cell r="Y12">
            <v>4103.1233338669863</v>
          </cell>
          <cell r="Z12">
            <v>737.57385113553585</v>
          </cell>
        </row>
        <row r="13">
          <cell r="A13" t="str">
            <v>DEF</v>
          </cell>
          <cell r="B13">
            <v>0</v>
          </cell>
          <cell r="C13">
            <v>0</v>
          </cell>
          <cell r="D13">
            <v>0</v>
          </cell>
          <cell r="E13">
            <v>0</v>
          </cell>
          <cell r="F13" t="str">
            <v xml:space="preserve"> /////////</v>
          </cell>
          <cell r="G13">
            <v>0</v>
          </cell>
          <cell r="H13">
            <v>0</v>
          </cell>
          <cell r="I13">
            <v>0</v>
          </cell>
          <cell r="J13">
            <v>0</v>
          </cell>
          <cell r="K13">
            <v>0</v>
          </cell>
          <cell r="L13">
            <v>0</v>
          </cell>
          <cell r="M13">
            <v>0</v>
          </cell>
          <cell r="N13">
            <v>5</v>
          </cell>
          <cell r="O13" t="str">
            <v>Definitive Observation</v>
          </cell>
          <cell r="P13" t="str">
            <v>DEF</v>
          </cell>
          <cell r="Q13">
            <v>0</v>
          </cell>
          <cell r="R13">
            <v>0</v>
          </cell>
          <cell r="S13">
            <v>0</v>
          </cell>
          <cell r="T13">
            <v>0</v>
          </cell>
          <cell r="U13">
            <v>0</v>
          </cell>
          <cell r="V13">
            <v>0</v>
          </cell>
          <cell r="W13">
            <v>0</v>
          </cell>
          <cell r="X13">
            <v>0</v>
          </cell>
          <cell r="Y13">
            <v>0</v>
          </cell>
          <cell r="Z13">
            <v>0</v>
          </cell>
        </row>
        <row r="14">
          <cell r="A14" t="str">
            <v>MIS</v>
          </cell>
          <cell r="B14">
            <v>5436</v>
          </cell>
          <cell r="C14">
            <v>7789.4403556329953</v>
          </cell>
          <cell r="D14">
            <v>1488.7581337189581</v>
          </cell>
          <cell r="E14">
            <v>2419.7937001470655</v>
          </cell>
          <cell r="F14" t="str">
            <v xml:space="preserve"> /////////</v>
          </cell>
          <cell r="G14">
            <v>0</v>
          </cell>
          <cell r="H14">
            <v>0</v>
          </cell>
          <cell r="I14">
            <v>11697.992189499018</v>
          </cell>
          <cell r="J14">
            <v>1356.9</v>
          </cell>
          <cell r="K14">
            <v>270.956795</v>
          </cell>
          <cell r="L14">
            <v>13325.848984499018</v>
          </cell>
          <cell r="M14">
            <v>0</v>
          </cell>
          <cell r="N14">
            <v>6</v>
          </cell>
          <cell r="O14" t="str">
            <v>Med/Surg Intensive Care</v>
          </cell>
          <cell r="P14" t="str">
            <v>MIS</v>
          </cell>
          <cell r="Q14">
            <v>0</v>
          </cell>
          <cell r="R14">
            <v>-524.48599999999999</v>
          </cell>
          <cell r="S14">
            <v>12801.362984499017</v>
          </cell>
          <cell r="T14">
            <v>1287.7</v>
          </cell>
          <cell r="U14">
            <v>14089.062984499018</v>
          </cell>
          <cell r="V14">
            <v>0</v>
          </cell>
          <cell r="W14">
            <v>0</v>
          </cell>
          <cell r="X14">
            <v>0</v>
          </cell>
          <cell r="Y14">
            <v>14089.062984499018</v>
          </cell>
          <cell r="Z14">
            <v>2591.8070243743596</v>
          </cell>
        </row>
        <row r="15">
          <cell r="A15" t="str">
            <v>CCU</v>
          </cell>
          <cell r="B15">
            <v>0</v>
          </cell>
          <cell r="C15">
            <v>0</v>
          </cell>
          <cell r="D15">
            <v>0</v>
          </cell>
          <cell r="E15">
            <v>0</v>
          </cell>
          <cell r="F15" t="str">
            <v xml:space="preserve"> /////////</v>
          </cell>
          <cell r="G15">
            <v>0</v>
          </cell>
          <cell r="H15">
            <v>0</v>
          </cell>
          <cell r="I15">
            <v>0</v>
          </cell>
          <cell r="J15">
            <v>0</v>
          </cell>
          <cell r="K15">
            <v>0</v>
          </cell>
          <cell r="L15">
            <v>0</v>
          </cell>
          <cell r="M15">
            <v>0</v>
          </cell>
          <cell r="N15">
            <v>7</v>
          </cell>
          <cell r="O15" t="str">
            <v>Coronary Care</v>
          </cell>
          <cell r="P15" t="str">
            <v>CCU</v>
          </cell>
          <cell r="Q15">
            <v>0</v>
          </cell>
          <cell r="R15">
            <v>0</v>
          </cell>
          <cell r="S15">
            <v>0</v>
          </cell>
          <cell r="T15">
            <v>0</v>
          </cell>
          <cell r="U15">
            <v>0</v>
          </cell>
          <cell r="V15">
            <v>0</v>
          </cell>
          <cell r="W15">
            <v>0</v>
          </cell>
          <cell r="X15">
            <v>0</v>
          </cell>
          <cell r="Y15">
            <v>0</v>
          </cell>
          <cell r="Z15">
            <v>0</v>
          </cell>
        </row>
        <row r="16">
          <cell r="A16" t="str">
            <v>PIC</v>
          </cell>
          <cell r="B16">
            <v>0</v>
          </cell>
          <cell r="C16">
            <v>0</v>
          </cell>
          <cell r="D16">
            <v>0</v>
          </cell>
          <cell r="E16">
            <v>0</v>
          </cell>
          <cell r="F16" t="str">
            <v xml:space="preserve"> /////////</v>
          </cell>
          <cell r="G16">
            <v>0</v>
          </cell>
          <cell r="H16">
            <v>0</v>
          </cell>
          <cell r="I16">
            <v>0</v>
          </cell>
          <cell r="J16">
            <v>0</v>
          </cell>
          <cell r="K16">
            <v>0</v>
          </cell>
          <cell r="L16">
            <v>0</v>
          </cell>
          <cell r="M16">
            <v>0</v>
          </cell>
          <cell r="N16">
            <v>8</v>
          </cell>
          <cell r="O16" t="str">
            <v>Pediatric Intensive Care</v>
          </cell>
          <cell r="P16" t="str">
            <v>PIC</v>
          </cell>
          <cell r="Q16">
            <v>0</v>
          </cell>
          <cell r="R16">
            <v>0</v>
          </cell>
          <cell r="S16">
            <v>0</v>
          </cell>
          <cell r="T16">
            <v>0</v>
          </cell>
          <cell r="U16">
            <v>0</v>
          </cell>
          <cell r="V16">
            <v>0</v>
          </cell>
          <cell r="W16">
            <v>0</v>
          </cell>
          <cell r="X16">
            <v>0</v>
          </cell>
          <cell r="Y16">
            <v>0</v>
          </cell>
          <cell r="Z16">
            <v>0</v>
          </cell>
        </row>
        <row r="17">
          <cell r="A17" t="str">
            <v>NEO</v>
          </cell>
          <cell r="B17">
            <v>3221</v>
          </cell>
          <cell r="C17">
            <v>3949.5717497429428</v>
          </cell>
          <cell r="D17">
            <v>297.98910124194708</v>
          </cell>
          <cell r="E17">
            <v>1211.5207041412007</v>
          </cell>
          <cell r="F17" t="str">
            <v xml:space="preserve"> /////////</v>
          </cell>
          <cell r="G17">
            <v>2.0318942785368561</v>
          </cell>
          <cell r="H17">
            <v>0</v>
          </cell>
          <cell r="I17">
            <v>5461.1134494046273</v>
          </cell>
          <cell r="J17">
            <v>337.2</v>
          </cell>
          <cell r="K17">
            <v>66.591200000000001</v>
          </cell>
          <cell r="L17">
            <v>5864.904649404627</v>
          </cell>
          <cell r="M17">
            <v>0</v>
          </cell>
          <cell r="N17">
            <v>9</v>
          </cell>
          <cell r="O17" t="str">
            <v>Neo-Natal Intensive Care</v>
          </cell>
          <cell r="P17" t="str">
            <v>NEO</v>
          </cell>
          <cell r="Q17">
            <v>0</v>
          </cell>
          <cell r="R17">
            <v>-230.834</v>
          </cell>
          <cell r="S17">
            <v>5634.0706494046271</v>
          </cell>
          <cell r="T17">
            <v>566.70000000000005</v>
          </cell>
          <cell r="U17">
            <v>6200.770649404627</v>
          </cell>
          <cell r="V17">
            <v>0</v>
          </cell>
          <cell r="W17">
            <v>0</v>
          </cell>
          <cell r="X17">
            <v>0</v>
          </cell>
          <cell r="Y17">
            <v>6200.770649404627</v>
          </cell>
          <cell r="Z17">
            <v>1925.107311209136</v>
          </cell>
        </row>
        <row r="18">
          <cell r="A18" t="str">
            <v>BUR</v>
          </cell>
          <cell r="B18">
            <v>0</v>
          </cell>
          <cell r="C18">
            <v>0</v>
          </cell>
          <cell r="D18">
            <v>0</v>
          </cell>
          <cell r="E18">
            <v>0</v>
          </cell>
          <cell r="F18" t="str">
            <v xml:space="preserve"> /////////</v>
          </cell>
          <cell r="G18">
            <v>0</v>
          </cell>
          <cell r="H18">
            <v>0</v>
          </cell>
          <cell r="I18">
            <v>0</v>
          </cell>
          <cell r="J18">
            <v>0</v>
          </cell>
          <cell r="K18">
            <v>0</v>
          </cell>
          <cell r="L18">
            <v>0</v>
          </cell>
          <cell r="M18">
            <v>0</v>
          </cell>
          <cell r="N18">
            <v>10</v>
          </cell>
          <cell r="O18" t="str">
            <v>Burn Care</v>
          </cell>
          <cell r="P18" t="str">
            <v>BUR</v>
          </cell>
          <cell r="Q18">
            <v>0</v>
          </cell>
          <cell r="R18">
            <v>0</v>
          </cell>
          <cell r="S18">
            <v>0</v>
          </cell>
          <cell r="T18">
            <v>0</v>
          </cell>
          <cell r="U18">
            <v>0</v>
          </cell>
          <cell r="V18">
            <v>0</v>
          </cell>
          <cell r="W18">
            <v>0</v>
          </cell>
          <cell r="X18">
            <v>0</v>
          </cell>
          <cell r="Y18">
            <v>0</v>
          </cell>
          <cell r="Z18">
            <v>0</v>
          </cell>
        </row>
        <row r="19">
          <cell r="A19" t="str">
            <v>TRM</v>
          </cell>
          <cell r="B19">
            <v>0</v>
          </cell>
          <cell r="C19">
            <v>0</v>
          </cell>
          <cell r="D19">
            <v>0</v>
          </cell>
          <cell r="E19">
            <v>0</v>
          </cell>
          <cell r="F19" t="str">
            <v xml:space="preserve"> /////////</v>
          </cell>
          <cell r="G19">
            <v>0</v>
          </cell>
          <cell r="H19">
            <v>0</v>
          </cell>
          <cell r="I19">
            <v>0</v>
          </cell>
          <cell r="J19">
            <v>0</v>
          </cell>
          <cell r="K19">
            <v>0</v>
          </cell>
          <cell r="L19">
            <v>0</v>
          </cell>
          <cell r="M19">
            <v>0</v>
          </cell>
          <cell r="N19">
            <v>11</v>
          </cell>
          <cell r="O19" t="str">
            <v>Shock Trauma</v>
          </cell>
          <cell r="P19" t="str">
            <v>TRM</v>
          </cell>
          <cell r="Q19">
            <v>0</v>
          </cell>
          <cell r="R19">
            <v>0</v>
          </cell>
          <cell r="S19">
            <v>0</v>
          </cell>
          <cell r="T19">
            <v>0</v>
          </cell>
          <cell r="U19">
            <v>0</v>
          </cell>
          <cell r="V19">
            <v>0</v>
          </cell>
          <cell r="W19">
            <v>0</v>
          </cell>
          <cell r="X19">
            <v>0</v>
          </cell>
          <cell r="Y19">
            <v>0</v>
          </cell>
          <cell r="Z19">
            <v>0</v>
          </cell>
        </row>
        <row r="20">
          <cell r="A20" t="str">
            <v>ONC</v>
          </cell>
          <cell r="B20">
            <v>0</v>
          </cell>
          <cell r="C20">
            <v>0</v>
          </cell>
          <cell r="D20">
            <v>0</v>
          </cell>
          <cell r="E20">
            <v>0</v>
          </cell>
          <cell r="F20" t="str">
            <v xml:space="preserve"> /////////</v>
          </cell>
          <cell r="G20">
            <v>0</v>
          </cell>
          <cell r="H20">
            <v>0</v>
          </cell>
          <cell r="I20">
            <v>0</v>
          </cell>
          <cell r="J20">
            <v>0</v>
          </cell>
          <cell r="K20">
            <v>0</v>
          </cell>
          <cell r="L20">
            <v>0</v>
          </cell>
          <cell r="M20">
            <v>0</v>
          </cell>
          <cell r="N20">
            <v>12</v>
          </cell>
          <cell r="O20" t="str">
            <v>Oncology</v>
          </cell>
          <cell r="P20" t="str">
            <v>ONC</v>
          </cell>
          <cell r="Q20">
            <v>0</v>
          </cell>
          <cell r="R20">
            <v>0</v>
          </cell>
          <cell r="S20">
            <v>0</v>
          </cell>
          <cell r="T20">
            <v>0</v>
          </cell>
          <cell r="U20">
            <v>0</v>
          </cell>
          <cell r="V20">
            <v>0</v>
          </cell>
          <cell r="W20">
            <v>0</v>
          </cell>
          <cell r="X20">
            <v>0</v>
          </cell>
          <cell r="Y20">
            <v>0</v>
          </cell>
          <cell r="Z20">
            <v>0</v>
          </cell>
        </row>
        <row r="21">
          <cell r="A21" t="str">
            <v>NUR</v>
          </cell>
          <cell r="B21">
            <v>4384</v>
          </cell>
          <cell r="C21">
            <v>1216.09121</v>
          </cell>
          <cell r="D21">
            <v>16.676014187722195</v>
          </cell>
          <cell r="E21">
            <v>370.49954787797304</v>
          </cell>
          <cell r="F21" t="str">
            <v xml:space="preserve"> /////////</v>
          </cell>
          <cell r="G21">
            <v>0</v>
          </cell>
          <cell r="H21">
            <v>0</v>
          </cell>
          <cell r="I21">
            <v>1603.2667720656952</v>
          </cell>
          <cell r="J21">
            <v>28.9</v>
          </cell>
          <cell r="K21">
            <v>0</v>
          </cell>
          <cell r="L21">
            <v>1632.1667720656953</v>
          </cell>
          <cell r="M21">
            <v>0</v>
          </cell>
          <cell r="N21">
            <v>13</v>
          </cell>
          <cell r="O21" t="str">
            <v>Newborn Nursery</v>
          </cell>
          <cell r="P21" t="str">
            <v>NUR</v>
          </cell>
          <cell r="Q21">
            <v>0</v>
          </cell>
          <cell r="R21">
            <v>-64.239999999999995</v>
          </cell>
          <cell r="S21">
            <v>1567.9267720656953</v>
          </cell>
          <cell r="T21">
            <v>157.69999999999999</v>
          </cell>
          <cell r="U21">
            <v>1725.6267720656954</v>
          </cell>
          <cell r="V21">
            <v>0</v>
          </cell>
          <cell r="W21">
            <v>0</v>
          </cell>
          <cell r="X21">
            <v>0</v>
          </cell>
          <cell r="Y21">
            <v>1725.6267720656954</v>
          </cell>
          <cell r="Z21">
            <v>393.61924545294147</v>
          </cell>
        </row>
        <row r="22">
          <cell r="A22" t="str">
            <v>PRE</v>
          </cell>
          <cell r="B22">
            <v>0</v>
          </cell>
          <cell r="C22">
            <v>0</v>
          </cell>
          <cell r="D22">
            <v>0</v>
          </cell>
          <cell r="E22">
            <v>0</v>
          </cell>
          <cell r="F22" t="str">
            <v xml:space="preserve"> /////////</v>
          </cell>
          <cell r="G22">
            <v>0</v>
          </cell>
          <cell r="H22">
            <v>0</v>
          </cell>
          <cell r="I22">
            <v>0</v>
          </cell>
          <cell r="J22">
            <v>0</v>
          </cell>
          <cell r="K22">
            <v>0</v>
          </cell>
          <cell r="L22">
            <v>0</v>
          </cell>
          <cell r="M22">
            <v>0</v>
          </cell>
          <cell r="N22">
            <v>14</v>
          </cell>
          <cell r="O22" t="str">
            <v>Premature Nursery</v>
          </cell>
          <cell r="P22" t="str">
            <v>PRE</v>
          </cell>
          <cell r="Q22">
            <v>0</v>
          </cell>
          <cell r="R22">
            <v>0</v>
          </cell>
          <cell r="S22">
            <v>0</v>
          </cell>
          <cell r="T22">
            <v>0</v>
          </cell>
          <cell r="U22">
            <v>0</v>
          </cell>
          <cell r="V22">
            <v>0</v>
          </cell>
          <cell r="W22">
            <v>0</v>
          </cell>
          <cell r="X22">
            <v>0</v>
          </cell>
          <cell r="Y22">
            <v>0</v>
          </cell>
          <cell r="Z22">
            <v>0</v>
          </cell>
        </row>
        <row r="23">
          <cell r="A23" t="str">
            <v>CHR</v>
          </cell>
          <cell r="B23">
            <v>0</v>
          </cell>
          <cell r="C23">
            <v>0</v>
          </cell>
          <cell r="D23">
            <v>0</v>
          </cell>
          <cell r="E23">
            <v>0</v>
          </cell>
          <cell r="F23" t="str">
            <v xml:space="preserve"> /////////</v>
          </cell>
          <cell r="G23">
            <v>0</v>
          </cell>
          <cell r="H23">
            <v>0</v>
          </cell>
          <cell r="I23">
            <v>0</v>
          </cell>
          <cell r="J23">
            <v>0</v>
          </cell>
          <cell r="K23">
            <v>0</v>
          </cell>
          <cell r="L23">
            <v>0</v>
          </cell>
          <cell r="M23">
            <v>0</v>
          </cell>
          <cell r="N23">
            <v>15</v>
          </cell>
          <cell r="O23" t="str">
            <v>Intermediate Care</v>
          </cell>
          <cell r="P23" t="str">
            <v>ICC</v>
          </cell>
          <cell r="Q23">
            <v>0</v>
          </cell>
          <cell r="R23">
            <v>0</v>
          </cell>
          <cell r="S23">
            <v>0</v>
          </cell>
          <cell r="T23">
            <v>0</v>
          </cell>
          <cell r="U23">
            <v>0</v>
          </cell>
          <cell r="V23">
            <v>0</v>
          </cell>
          <cell r="W23">
            <v>0</v>
          </cell>
          <cell r="X23">
            <v>0</v>
          </cell>
          <cell r="Y23">
            <v>0</v>
          </cell>
          <cell r="Z23">
            <v>0</v>
          </cell>
        </row>
        <row r="24">
          <cell r="A24" t="str">
            <v>EMG</v>
          </cell>
          <cell r="B24">
            <v>486997</v>
          </cell>
          <cell r="C24">
            <v>9472.0940932641788</v>
          </cell>
          <cell r="D24">
            <v>1242.2166772502644</v>
          </cell>
          <cell r="E24">
            <v>3077.2870134523064</v>
          </cell>
          <cell r="F24" t="str">
            <v xml:space="preserve"> /////////</v>
          </cell>
          <cell r="G24">
            <v>0</v>
          </cell>
          <cell r="H24">
            <v>0</v>
          </cell>
          <cell r="I24">
            <v>13791.59778396675</v>
          </cell>
          <cell r="J24">
            <v>1256.7</v>
          </cell>
          <cell r="K24">
            <v>0.24000000000000002</v>
          </cell>
          <cell r="L24">
            <v>15048.537783966751</v>
          </cell>
          <cell r="M24">
            <v>0</v>
          </cell>
          <cell r="N24">
            <v>16</v>
          </cell>
          <cell r="O24" t="str">
            <v>Emergency Services</v>
          </cell>
          <cell r="P24" t="str">
            <v>EMG</v>
          </cell>
          <cell r="Q24">
            <v>0</v>
          </cell>
          <cell r="R24">
            <v>-592.28800000000001</v>
          </cell>
          <cell r="S24">
            <v>14456.24978396675</v>
          </cell>
          <cell r="T24">
            <v>1454.1</v>
          </cell>
          <cell r="U24">
            <v>15910.349783966751</v>
          </cell>
          <cell r="V24">
            <v>0</v>
          </cell>
          <cell r="W24">
            <v>0</v>
          </cell>
          <cell r="X24">
            <v>0</v>
          </cell>
          <cell r="Y24">
            <v>15910.349783966751</v>
          </cell>
          <cell r="Z24">
            <v>32.670324014248031</v>
          </cell>
        </row>
        <row r="25">
          <cell r="A25" t="str">
            <v>CL</v>
          </cell>
          <cell r="B25">
            <v>257863</v>
          </cell>
          <cell r="C25">
            <v>6276.5276017304577</v>
          </cell>
          <cell r="D25">
            <v>822.16894701876913</v>
          </cell>
          <cell r="E25">
            <v>2072.1915038225407</v>
          </cell>
          <cell r="F25" t="str">
            <v xml:space="preserve"> /////////</v>
          </cell>
          <cell r="G25">
            <v>0</v>
          </cell>
          <cell r="H25">
            <v>0</v>
          </cell>
          <cell r="I25">
            <v>9170.8880525717686</v>
          </cell>
          <cell r="J25">
            <v>859.3</v>
          </cell>
          <cell r="K25">
            <v>0.01</v>
          </cell>
          <cell r="L25">
            <v>10030.198052571768</v>
          </cell>
          <cell r="M25">
            <v>0</v>
          </cell>
          <cell r="N25">
            <v>17</v>
          </cell>
          <cell r="O25" t="str">
            <v>Clinical Services</v>
          </cell>
          <cell r="P25" t="str">
            <v>CL</v>
          </cell>
          <cell r="Q25">
            <v>0</v>
          </cell>
          <cell r="R25">
            <v>-394.774</v>
          </cell>
          <cell r="S25">
            <v>9635.4240525717687</v>
          </cell>
          <cell r="T25">
            <v>969.2</v>
          </cell>
          <cell r="U25">
            <v>10604.624052571769</v>
          </cell>
          <cell r="V25">
            <v>0</v>
          </cell>
          <cell r="W25">
            <v>0</v>
          </cell>
          <cell r="X25">
            <v>0</v>
          </cell>
          <cell r="Y25">
            <v>10604.624052571769</v>
          </cell>
          <cell r="Z25">
            <v>41.12503171285438</v>
          </cell>
        </row>
        <row r="26">
          <cell r="A26" t="str">
            <v>PDC</v>
          </cell>
          <cell r="B26">
            <v>1736</v>
          </cell>
          <cell r="C26">
            <v>234.61896250000001</v>
          </cell>
          <cell r="D26">
            <v>14.260386978501545</v>
          </cell>
          <cell r="E26">
            <v>77.552275900601984</v>
          </cell>
          <cell r="F26" t="str">
            <v xml:space="preserve"> /////////</v>
          </cell>
          <cell r="G26">
            <v>0</v>
          </cell>
          <cell r="H26">
            <v>0</v>
          </cell>
          <cell r="I26">
            <v>326.43162537910354</v>
          </cell>
          <cell r="J26">
            <v>18.600000000000001</v>
          </cell>
          <cell r="K26">
            <v>0</v>
          </cell>
          <cell r="L26">
            <v>345.03162537910356</v>
          </cell>
          <cell r="M26">
            <v>0</v>
          </cell>
          <cell r="N26">
            <v>18</v>
          </cell>
          <cell r="O26" t="str">
            <v>Psych. Day &amp; Night Care</v>
          </cell>
          <cell r="P26" t="str">
            <v>PDC</v>
          </cell>
          <cell r="Q26">
            <v>0</v>
          </cell>
          <cell r="R26">
            <v>-13.58</v>
          </cell>
          <cell r="S26">
            <v>331.45162537910358</v>
          </cell>
          <cell r="T26">
            <v>33.299999999999997</v>
          </cell>
          <cell r="U26">
            <v>364.75162537910359</v>
          </cell>
          <cell r="V26">
            <v>0</v>
          </cell>
          <cell r="W26">
            <v>0</v>
          </cell>
          <cell r="X26">
            <v>0</v>
          </cell>
          <cell r="Y26">
            <v>364.75162537910359</v>
          </cell>
          <cell r="Z26">
            <v>210.11038328289376</v>
          </cell>
        </row>
        <row r="27">
          <cell r="A27" t="str">
            <v>SDS</v>
          </cell>
          <cell r="B27">
            <v>5523</v>
          </cell>
          <cell r="C27">
            <v>1868.32448</v>
          </cell>
          <cell r="D27">
            <v>214.0682834360467</v>
          </cell>
          <cell r="E27">
            <v>575.57034416671445</v>
          </cell>
          <cell r="F27" t="str">
            <v xml:space="preserve"> /////////</v>
          </cell>
          <cell r="G27">
            <v>0</v>
          </cell>
          <cell r="H27">
            <v>0</v>
          </cell>
          <cell r="I27">
            <v>2657.9631076027608</v>
          </cell>
          <cell r="J27">
            <v>176.6</v>
          </cell>
          <cell r="K27">
            <v>0</v>
          </cell>
          <cell r="L27">
            <v>2834.5631076027607</v>
          </cell>
          <cell r="M27">
            <v>0</v>
          </cell>
          <cell r="N27">
            <v>19</v>
          </cell>
          <cell r="O27" t="str">
            <v>Same Day Surgery</v>
          </cell>
          <cell r="P27" t="str">
            <v>SDS</v>
          </cell>
          <cell r="Q27">
            <v>0</v>
          </cell>
          <cell r="R27">
            <v>-111.56399999999999</v>
          </cell>
          <cell r="S27">
            <v>2722.9991076027609</v>
          </cell>
          <cell r="T27">
            <v>273.89999999999998</v>
          </cell>
          <cell r="U27">
            <v>2996.899107602761</v>
          </cell>
          <cell r="V27">
            <v>0</v>
          </cell>
          <cell r="W27">
            <v>0</v>
          </cell>
          <cell r="X27">
            <v>0</v>
          </cell>
          <cell r="Y27">
            <v>2996.899107602761</v>
          </cell>
          <cell r="Z27">
            <v>542.62160195595891</v>
          </cell>
        </row>
        <row r="28">
          <cell r="A28" t="str">
            <v>DEL</v>
          </cell>
          <cell r="B28">
            <v>97296</v>
          </cell>
          <cell r="C28">
            <v>4211.2879685443313</v>
          </cell>
          <cell r="D28">
            <v>579.16378101559064</v>
          </cell>
          <cell r="E28">
            <v>1408.2553519949056</v>
          </cell>
          <cell r="F28" t="str">
            <v xml:space="preserve"> /////////</v>
          </cell>
          <cell r="G28">
            <v>0</v>
          </cell>
          <cell r="H28">
            <v>0</v>
          </cell>
          <cell r="I28">
            <v>6198.7071015548281</v>
          </cell>
          <cell r="J28">
            <v>616.29999999999995</v>
          </cell>
          <cell r="K28">
            <v>0.06</v>
          </cell>
          <cell r="L28">
            <v>6815.0671015548287</v>
          </cell>
          <cell r="M28">
            <v>0</v>
          </cell>
          <cell r="N28">
            <v>20</v>
          </cell>
          <cell r="O28" t="str">
            <v>Labor &amp; Delivery Services</v>
          </cell>
          <cell r="P28" t="str">
            <v>DEL</v>
          </cell>
          <cell r="Q28">
            <v>0</v>
          </cell>
          <cell r="R28">
            <v>-268.23099999999999</v>
          </cell>
          <cell r="S28">
            <v>6546.8361015548289</v>
          </cell>
          <cell r="T28">
            <v>658.5</v>
          </cell>
          <cell r="U28">
            <v>7205.3361015548289</v>
          </cell>
          <cell r="V28">
            <v>0</v>
          </cell>
          <cell r="W28">
            <v>0</v>
          </cell>
          <cell r="X28">
            <v>0</v>
          </cell>
          <cell r="Y28">
            <v>7205.3361015548289</v>
          </cell>
          <cell r="Z28">
            <v>74.05583067705588</v>
          </cell>
        </row>
        <row r="29">
          <cell r="A29" t="str">
            <v>OR</v>
          </cell>
          <cell r="B29">
            <v>1190372</v>
          </cell>
          <cell r="C29">
            <v>15891.246628009467</v>
          </cell>
          <cell r="D29">
            <v>3272.2986088437638</v>
          </cell>
          <cell r="E29">
            <v>5754.2755295842599</v>
          </cell>
          <cell r="F29" t="str">
            <v xml:space="preserve"> /////////</v>
          </cell>
          <cell r="G29">
            <v>389.00670070521306</v>
          </cell>
          <cell r="H29">
            <v>0</v>
          </cell>
          <cell r="I29">
            <v>25306.827467142706</v>
          </cell>
          <cell r="J29">
            <v>3485.2</v>
          </cell>
          <cell r="K29">
            <v>1418.5443459999999</v>
          </cell>
          <cell r="L29">
            <v>30210.571813142706</v>
          </cell>
          <cell r="M29">
            <v>0</v>
          </cell>
          <cell r="N29">
            <v>21</v>
          </cell>
          <cell r="O29" t="str">
            <v>Operating Room</v>
          </cell>
          <cell r="P29" t="str">
            <v>OR</v>
          </cell>
          <cell r="Q29">
            <v>0</v>
          </cell>
          <cell r="R29">
            <v>-1189.0440000000001</v>
          </cell>
          <cell r="S29">
            <v>29021.527813142704</v>
          </cell>
          <cell r="T29">
            <v>2919.2</v>
          </cell>
          <cell r="U29">
            <v>31940.727813142705</v>
          </cell>
          <cell r="V29">
            <v>0</v>
          </cell>
          <cell r="W29">
            <v>0</v>
          </cell>
          <cell r="X29">
            <v>0</v>
          </cell>
          <cell r="Y29">
            <v>31940.727813142705</v>
          </cell>
          <cell r="Z29">
            <v>26.832559748669077</v>
          </cell>
        </row>
        <row r="30">
          <cell r="A30" t="str">
            <v>ORC</v>
          </cell>
          <cell r="B30">
            <v>4194</v>
          </cell>
          <cell r="C30">
            <v>11.43825</v>
          </cell>
          <cell r="D30">
            <v>2.5538971847254448</v>
          </cell>
          <cell r="E30">
            <v>4.8335195059979874</v>
          </cell>
          <cell r="F30" t="str">
            <v xml:space="preserve"> /////////</v>
          </cell>
          <cell r="G30">
            <v>0</v>
          </cell>
          <cell r="H30">
            <v>0</v>
          </cell>
          <cell r="I30">
            <v>18.82566669072343</v>
          </cell>
          <cell r="J30">
            <v>2.9</v>
          </cell>
          <cell r="K30">
            <v>0</v>
          </cell>
          <cell r="L30">
            <v>21.725666690723429</v>
          </cell>
          <cell r="M30">
            <v>0</v>
          </cell>
          <cell r="N30">
            <v>22</v>
          </cell>
          <cell r="O30" t="str">
            <v>Operating Room Clinic</v>
          </cell>
          <cell r="P30" t="str">
            <v>ORC</v>
          </cell>
          <cell r="Q30">
            <v>0</v>
          </cell>
          <cell r="R30">
            <v>-0.85499999999999998</v>
          </cell>
          <cell r="S30">
            <v>20.870666690723429</v>
          </cell>
          <cell r="T30">
            <v>2.1</v>
          </cell>
          <cell r="U30">
            <v>22.97066669072343</v>
          </cell>
          <cell r="V30">
            <v>0</v>
          </cell>
          <cell r="W30">
            <v>0</v>
          </cell>
          <cell r="X30">
            <v>0</v>
          </cell>
          <cell r="Y30">
            <v>22.97066669072343</v>
          </cell>
          <cell r="Z30">
            <v>5.4770306844834113</v>
          </cell>
        </row>
        <row r="31">
          <cell r="A31" t="str">
            <v>ANS</v>
          </cell>
          <cell r="B31">
            <v>1142348</v>
          </cell>
          <cell r="C31">
            <v>1283.6281209672156</v>
          </cell>
          <cell r="D31">
            <v>93.132725593592113</v>
          </cell>
          <cell r="E31">
            <v>451.5306629353687</v>
          </cell>
          <cell r="F31" t="str">
            <v xml:space="preserve"> /////////</v>
          </cell>
          <cell r="G31">
            <v>0</v>
          </cell>
          <cell r="H31">
            <v>0</v>
          </cell>
          <cell r="I31">
            <v>1828.2915094961763</v>
          </cell>
          <cell r="J31">
            <v>76</v>
          </cell>
          <cell r="K31">
            <v>0</v>
          </cell>
          <cell r="L31">
            <v>1904.2915094961763</v>
          </cell>
          <cell r="M31">
            <v>0</v>
          </cell>
          <cell r="N31">
            <v>23</v>
          </cell>
          <cell r="O31" t="str">
            <v>Anesthesiology</v>
          </cell>
          <cell r="P31" t="str">
            <v>ANS</v>
          </cell>
          <cell r="Q31">
            <v>0</v>
          </cell>
          <cell r="R31">
            <v>-74.95</v>
          </cell>
          <cell r="S31">
            <v>1829.3415094961763</v>
          </cell>
          <cell r="T31">
            <v>184</v>
          </cell>
          <cell r="U31">
            <v>2013.3415094961763</v>
          </cell>
          <cell r="V31">
            <v>0</v>
          </cell>
          <cell r="W31">
            <v>0</v>
          </cell>
          <cell r="X31">
            <v>0</v>
          </cell>
          <cell r="Y31">
            <v>2013.3415094961763</v>
          </cell>
          <cell r="Z31">
            <v>1.7624589962920023</v>
          </cell>
        </row>
        <row r="32">
          <cell r="A32" t="str">
            <v>LAB</v>
          </cell>
          <cell r="B32">
            <v>11691696</v>
          </cell>
          <cell r="C32">
            <v>10543.677055394794</v>
          </cell>
          <cell r="D32">
            <v>1394.7923830741233</v>
          </cell>
          <cell r="E32">
            <v>3733.8139409373548</v>
          </cell>
          <cell r="F32" t="str">
            <v xml:space="preserve"> /////////</v>
          </cell>
          <cell r="G32">
            <v>0</v>
          </cell>
          <cell r="H32">
            <v>0</v>
          </cell>
          <cell r="I32">
            <v>15672.283379406272</v>
          </cell>
          <cell r="J32">
            <v>1113.5999999999999</v>
          </cell>
          <cell r="K32">
            <v>197.38654700000001</v>
          </cell>
          <cell r="L32">
            <v>16983.269926406268</v>
          </cell>
          <cell r="M32">
            <v>0</v>
          </cell>
          <cell r="N32">
            <v>24</v>
          </cell>
          <cell r="O32" t="str">
            <v>Laboratory Services</v>
          </cell>
          <cell r="P32" t="str">
            <v>LAB</v>
          </cell>
          <cell r="Q32">
            <v>0</v>
          </cell>
          <cell r="R32">
            <v>-668.43700000000001</v>
          </cell>
          <cell r="S32">
            <v>16314.832926406269</v>
          </cell>
          <cell r="T32">
            <v>1641.1</v>
          </cell>
          <cell r="U32">
            <v>17955.932926406269</v>
          </cell>
          <cell r="V32">
            <v>0</v>
          </cell>
          <cell r="W32">
            <v>0</v>
          </cell>
          <cell r="X32">
            <v>0</v>
          </cell>
          <cell r="Y32">
            <v>17955.932926406269</v>
          </cell>
          <cell r="Z32">
            <v>1.5357851355702601</v>
          </cell>
        </row>
        <row r="33">
          <cell r="A33" t="str">
            <v>EKG</v>
          </cell>
          <cell r="B33">
            <v>752547</v>
          </cell>
          <cell r="C33">
            <v>989.82997607410675</v>
          </cell>
          <cell r="D33">
            <v>301.20026624583488</v>
          </cell>
          <cell r="E33">
            <v>363.7701946117291</v>
          </cell>
          <cell r="F33" t="str">
            <v xml:space="preserve"> /////////</v>
          </cell>
          <cell r="G33">
            <v>0.70195985556695129</v>
          </cell>
          <cell r="H33">
            <v>0</v>
          </cell>
          <cell r="I33">
            <v>1655.5023967872376</v>
          </cell>
          <cell r="J33">
            <v>344</v>
          </cell>
          <cell r="K33">
            <v>0</v>
          </cell>
          <cell r="L33">
            <v>1999.5023967872376</v>
          </cell>
          <cell r="M33">
            <v>0</v>
          </cell>
          <cell r="N33">
            <v>25</v>
          </cell>
          <cell r="O33" t="str">
            <v>Electrocardiography</v>
          </cell>
          <cell r="P33" t="str">
            <v>EKG</v>
          </cell>
          <cell r="Q33">
            <v>0</v>
          </cell>
          <cell r="R33">
            <v>-78.697000000000003</v>
          </cell>
          <cell r="S33">
            <v>1920.8053967872374</v>
          </cell>
          <cell r="T33">
            <v>193.2</v>
          </cell>
          <cell r="U33">
            <v>2114.0053967872373</v>
          </cell>
          <cell r="V33">
            <v>0</v>
          </cell>
          <cell r="W33">
            <v>0</v>
          </cell>
          <cell r="X33">
            <v>0</v>
          </cell>
          <cell r="Y33">
            <v>2114.0053967872373</v>
          </cell>
          <cell r="Z33">
            <v>2.8091340431723699</v>
          </cell>
        </row>
        <row r="34">
          <cell r="A34" t="str">
            <v>IRC</v>
          </cell>
          <cell r="B34">
            <v>130721</v>
          </cell>
          <cell r="C34">
            <v>5618.5887744248394</v>
          </cell>
          <cell r="D34">
            <v>1209.036140238318</v>
          </cell>
          <cell r="E34">
            <v>1977.9599831598819</v>
          </cell>
          <cell r="F34" t="str">
            <v xml:space="preserve"> /////////</v>
          </cell>
          <cell r="G34">
            <v>5.7069947415211528</v>
          </cell>
          <cell r="H34">
            <v>0</v>
          </cell>
          <cell r="I34">
            <v>8811.291892564559</v>
          </cell>
          <cell r="J34">
            <v>1342.7</v>
          </cell>
          <cell r="K34">
            <v>522.31406000000004</v>
          </cell>
          <cell r="L34">
            <v>10676.30595256456</v>
          </cell>
          <cell r="M34">
            <v>0</v>
          </cell>
          <cell r="N34">
            <v>26</v>
          </cell>
          <cell r="O34" t="str">
            <v>Invasive Radiology/Cardiovascular</v>
          </cell>
          <cell r="P34" t="str">
            <v>IRC</v>
          </cell>
          <cell r="Q34">
            <v>0</v>
          </cell>
          <cell r="R34">
            <v>-420.20400000000001</v>
          </cell>
          <cell r="S34">
            <v>10256.101952564561</v>
          </cell>
          <cell r="T34">
            <v>1031.5999999999999</v>
          </cell>
          <cell r="U34">
            <v>11287.701952564561</v>
          </cell>
          <cell r="V34">
            <v>0</v>
          </cell>
          <cell r="W34">
            <v>0</v>
          </cell>
          <cell r="X34">
            <v>0</v>
          </cell>
          <cell r="Y34">
            <v>11287.701952564561</v>
          </cell>
          <cell r="Z34">
            <v>86.34956856637082</v>
          </cell>
        </row>
        <row r="35">
          <cell r="A35" t="str">
            <v>RAD</v>
          </cell>
          <cell r="B35">
            <v>389100</v>
          </cell>
          <cell r="C35">
            <v>4565.8630791335709</v>
          </cell>
          <cell r="D35">
            <v>997.72531576129109</v>
          </cell>
          <cell r="E35">
            <v>1760.8725485749678</v>
          </cell>
          <cell r="F35" t="str">
            <v xml:space="preserve"> /////////</v>
          </cell>
          <cell r="G35">
            <v>0</v>
          </cell>
          <cell r="H35">
            <v>0</v>
          </cell>
          <cell r="I35">
            <v>7324.4609434698305</v>
          </cell>
          <cell r="J35">
            <v>1074</v>
          </cell>
          <cell r="K35">
            <v>658.78573400000016</v>
          </cell>
          <cell r="L35">
            <v>9057.2466774698314</v>
          </cell>
          <cell r="M35">
            <v>0</v>
          </cell>
          <cell r="N35">
            <v>27</v>
          </cell>
          <cell r="O35" t="str">
            <v>Radiology-Diagnostic</v>
          </cell>
          <cell r="P35" t="str">
            <v>RAD</v>
          </cell>
          <cell r="Q35">
            <v>0</v>
          </cell>
          <cell r="R35">
            <v>-356.48</v>
          </cell>
          <cell r="S35">
            <v>8700.7666774698318</v>
          </cell>
          <cell r="T35">
            <v>875.2</v>
          </cell>
          <cell r="U35">
            <v>9575.9666774698326</v>
          </cell>
          <cell r="V35">
            <v>0</v>
          </cell>
          <cell r="W35">
            <v>0</v>
          </cell>
          <cell r="X35">
            <v>0</v>
          </cell>
          <cell r="Y35">
            <v>9575.9666774698326</v>
          </cell>
          <cell r="Z35">
            <v>24.610554298303349</v>
          </cell>
        </row>
        <row r="36">
          <cell r="A36" t="str">
            <v>CAT</v>
          </cell>
          <cell r="B36">
            <v>583451</v>
          </cell>
          <cell r="C36">
            <v>1626.2420468019409</v>
          </cell>
          <cell r="D36">
            <v>90.81438948918597</v>
          </cell>
          <cell r="E36">
            <v>618.0990090960729</v>
          </cell>
          <cell r="F36" t="str">
            <v xml:space="preserve"> /////////</v>
          </cell>
          <cell r="G36">
            <v>0</v>
          </cell>
          <cell r="H36">
            <v>0</v>
          </cell>
          <cell r="I36">
            <v>2335.1554453871995</v>
          </cell>
          <cell r="J36">
            <v>43.2</v>
          </cell>
          <cell r="K36">
            <v>19.225999999999999</v>
          </cell>
          <cell r="L36">
            <v>2397.5814453871994</v>
          </cell>
          <cell r="M36">
            <v>0</v>
          </cell>
          <cell r="N36">
            <v>28</v>
          </cell>
          <cell r="O36" t="str">
            <v>CT Scanner</v>
          </cell>
          <cell r="P36" t="str">
            <v>CAT</v>
          </cell>
          <cell r="Q36">
            <v>0</v>
          </cell>
          <cell r="R36">
            <v>-94.364999999999995</v>
          </cell>
          <cell r="S36">
            <v>2303.2164453871997</v>
          </cell>
          <cell r="T36">
            <v>231.7</v>
          </cell>
          <cell r="U36">
            <v>2534.9164453871995</v>
          </cell>
          <cell r="V36">
            <v>0</v>
          </cell>
          <cell r="W36">
            <v>0</v>
          </cell>
          <cell r="X36">
            <v>0</v>
          </cell>
          <cell r="Y36">
            <v>2534.9164453871995</v>
          </cell>
          <cell r="Z36">
            <v>4.3446946622547555</v>
          </cell>
        </row>
        <row r="37">
          <cell r="A37" t="str">
            <v>RAT</v>
          </cell>
          <cell r="B37">
            <v>226184</v>
          </cell>
          <cell r="C37">
            <v>3686.3</v>
          </cell>
          <cell r="D37">
            <v>343.66845530824463</v>
          </cell>
          <cell r="E37">
            <v>1542.353398332504</v>
          </cell>
          <cell r="F37" t="str">
            <v xml:space="preserve"> /////////</v>
          </cell>
          <cell r="G37">
            <v>0</v>
          </cell>
          <cell r="H37">
            <v>0</v>
          </cell>
          <cell r="I37">
            <v>5572.3218536407485</v>
          </cell>
          <cell r="J37">
            <v>34.4</v>
          </cell>
          <cell r="K37">
            <v>0</v>
          </cell>
          <cell r="L37">
            <v>5606.7218536407481</v>
          </cell>
          <cell r="M37">
            <v>0</v>
          </cell>
          <cell r="N37">
            <v>29</v>
          </cell>
          <cell r="O37" t="str">
            <v>Radiology-Therapeutic</v>
          </cell>
          <cell r="P37" t="str">
            <v>RAT</v>
          </cell>
          <cell r="Q37">
            <v>0</v>
          </cell>
          <cell r="R37">
            <v>-220.672</v>
          </cell>
          <cell r="S37">
            <v>5386.0498536407486</v>
          </cell>
          <cell r="T37">
            <v>541.79999999999995</v>
          </cell>
          <cell r="U37">
            <v>5927.8498536407487</v>
          </cell>
          <cell r="V37">
            <v>0</v>
          </cell>
          <cell r="W37">
            <v>0</v>
          </cell>
          <cell r="X37">
            <v>0</v>
          </cell>
          <cell r="Y37">
            <v>5927.8498536407487</v>
          </cell>
          <cell r="Z37">
            <v>26.20808657394311</v>
          </cell>
        </row>
        <row r="38">
          <cell r="A38" t="str">
            <v>NUC</v>
          </cell>
          <cell r="B38">
            <v>181014</v>
          </cell>
          <cell r="C38">
            <v>2145.9086124702253</v>
          </cell>
          <cell r="D38">
            <v>804.33673879542664</v>
          </cell>
          <cell r="E38">
            <v>890.9790804922294</v>
          </cell>
          <cell r="F38" t="str">
            <v xml:space="preserve"> /////////</v>
          </cell>
          <cell r="G38">
            <v>0</v>
          </cell>
          <cell r="H38">
            <v>0</v>
          </cell>
          <cell r="I38">
            <v>3841.2244317578816</v>
          </cell>
          <cell r="J38">
            <v>763.6</v>
          </cell>
          <cell r="K38">
            <v>324.43219999999997</v>
          </cell>
          <cell r="L38">
            <v>4929.2566317578821</v>
          </cell>
          <cell r="M38">
            <v>0</v>
          </cell>
          <cell r="N38">
            <v>30</v>
          </cell>
          <cell r="O38" t="str">
            <v>Nuclear Medicine</v>
          </cell>
          <cell r="P38" t="str">
            <v>NUC</v>
          </cell>
          <cell r="Q38">
            <v>0</v>
          </cell>
          <cell r="R38">
            <v>-194.00800000000001</v>
          </cell>
          <cell r="S38">
            <v>4735.2486317578823</v>
          </cell>
          <cell r="T38">
            <v>476.3</v>
          </cell>
          <cell r="U38">
            <v>5211.5486317578825</v>
          </cell>
          <cell r="V38">
            <v>0</v>
          </cell>
          <cell r="W38">
            <v>0</v>
          </cell>
          <cell r="X38">
            <v>0</v>
          </cell>
          <cell r="Y38">
            <v>5211.5486317578825</v>
          </cell>
          <cell r="Z38">
            <v>28.790859445998006</v>
          </cell>
        </row>
        <row r="39">
          <cell r="A39" t="str">
            <v>RES</v>
          </cell>
          <cell r="B39">
            <v>3110049</v>
          </cell>
          <cell r="C39">
            <v>2967.3818536038821</v>
          </cell>
          <cell r="D39">
            <v>114.05317309133237</v>
          </cell>
          <cell r="E39">
            <v>920.78052567927625</v>
          </cell>
          <cell r="F39" t="str">
            <v xml:space="preserve"> /////////</v>
          </cell>
          <cell r="G39">
            <v>0</v>
          </cell>
          <cell r="H39">
            <v>0</v>
          </cell>
          <cell r="I39">
            <v>4002.2155523744905</v>
          </cell>
          <cell r="J39">
            <v>110.7</v>
          </cell>
          <cell r="K39">
            <v>0</v>
          </cell>
          <cell r="L39">
            <v>4112.9155523744903</v>
          </cell>
          <cell r="M39">
            <v>0</v>
          </cell>
          <cell r="N39">
            <v>31</v>
          </cell>
          <cell r="O39" t="str">
            <v>Respiratory Therapy</v>
          </cell>
          <cell r="P39" t="str">
            <v>RES</v>
          </cell>
          <cell r="Q39">
            <v>0</v>
          </cell>
          <cell r="R39">
            <v>-161.87799999999999</v>
          </cell>
          <cell r="S39">
            <v>3951.0375523744901</v>
          </cell>
          <cell r="T39">
            <v>397.4</v>
          </cell>
          <cell r="U39">
            <v>4348.4375523744902</v>
          </cell>
          <cell r="V39">
            <v>0</v>
          </cell>
          <cell r="W39">
            <v>0</v>
          </cell>
          <cell r="X39">
            <v>0</v>
          </cell>
          <cell r="Y39">
            <v>4348.4375523744902</v>
          </cell>
          <cell r="Z39">
            <v>1.3981894022809576</v>
          </cell>
        </row>
        <row r="40">
          <cell r="A40" t="str">
            <v>PUL</v>
          </cell>
          <cell r="B40">
            <v>98026</v>
          </cell>
          <cell r="C40">
            <v>178.44825020291134</v>
          </cell>
          <cell r="D40">
            <v>52.275328692645409</v>
          </cell>
          <cell r="E40">
            <v>74.008925345313997</v>
          </cell>
          <cell r="F40" t="str">
            <v xml:space="preserve"> /////////</v>
          </cell>
          <cell r="G40">
            <v>0</v>
          </cell>
          <cell r="H40">
            <v>0</v>
          </cell>
          <cell r="I40">
            <v>304.73250424087075</v>
          </cell>
          <cell r="J40">
            <v>55.7</v>
          </cell>
          <cell r="K40">
            <v>0</v>
          </cell>
          <cell r="L40">
            <v>360.43250424087074</v>
          </cell>
          <cell r="M40">
            <v>0</v>
          </cell>
          <cell r="N40">
            <v>32</v>
          </cell>
          <cell r="O40" t="str">
            <v>Pulmonary Function Testing</v>
          </cell>
          <cell r="P40" t="str">
            <v>PUL</v>
          </cell>
          <cell r="Q40">
            <v>0</v>
          </cell>
          <cell r="R40">
            <v>-14.186</v>
          </cell>
          <cell r="S40">
            <v>346.24650424087076</v>
          </cell>
          <cell r="T40">
            <v>34.799999999999997</v>
          </cell>
          <cell r="U40">
            <v>381.04650424087077</v>
          </cell>
          <cell r="V40">
            <v>0</v>
          </cell>
          <cell r="W40">
            <v>0</v>
          </cell>
          <cell r="X40">
            <v>0</v>
          </cell>
          <cell r="Y40">
            <v>381.04650424087077</v>
          </cell>
          <cell r="Z40">
            <v>3.8871983375927894</v>
          </cell>
        </row>
        <row r="41">
          <cell r="A41" t="str">
            <v>EEG</v>
          </cell>
          <cell r="B41">
            <v>110342</v>
          </cell>
          <cell r="C41">
            <v>444.25234473753869</v>
          </cell>
          <cell r="D41">
            <v>211.49230819620132</v>
          </cell>
          <cell r="E41">
            <v>189.60418977308797</v>
          </cell>
          <cell r="F41" t="str">
            <v xml:space="preserve"> /////////</v>
          </cell>
          <cell r="G41">
            <v>0</v>
          </cell>
          <cell r="H41">
            <v>0</v>
          </cell>
          <cell r="I41">
            <v>845.34884270682801</v>
          </cell>
          <cell r="J41">
            <v>238.1</v>
          </cell>
          <cell r="K41">
            <v>0</v>
          </cell>
          <cell r="L41">
            <v>1083.4488427068279</v>
          </cell>
          <cell r="M41">
            <v>0</v>
          </cell>
          <cell r="N41">
            <v>33</v>
          </cell>
          <cell r="O41" t="str">
            <v>Electroencephalography</v>
          </cell>
          <cell r="P41" t="str">
            <v>EEG</v>
          </cell>
          <cell r="Q41">
            <v>0</v>
          </cell>
          <cell r="R41">
            <v>-42.643000000000001</v>
          </cell>
          <cell r="S41">
            <v>1040.8058427068279</v>
          </cell>
          <cell r="T41">
            <v>104.7</v>
          </cell>
          <cell r="U41">
            <v>1145.5058427068279</v>
          </cell>
          <cell r="V41">
            <v>0</v>
          </cell>
          <cell r="W41">
            <v>0</v>
          </cell>
          <cell r="X41">
            <v>0</v>
          </cell>
          <cell r="Y41">
            <v>1145.5058427068279</v>
          </cell>
          <cell r="Z41">
            <v>10.381412723231662</v>
          </cell>
        </row>
        <row r="42">
          <cell r="A42" t="str">
            <v>PTH</v>
          </cell>
          <cell r="B42">
            <v>347704</v>
          </cell>
          <cell r="C42">
            <v>1387.9268313365683</v>
          </cell>
          <cell r="D42">
            <v>204.78326245041714</v>
          </cell>
          <cell r="E42">
            <v>459.40068669380344</v>
          </cell>
          <cell r="F42" t="str">
            <v xml:space="preserve"> /////////</v>
          </cell>
          <cell r="G42">
            <v>0</v>
          </cell>
          <cell r="H42">
            <v>0</v>
          </cell>
          <cell r="I42">
            <v>2052.1107804807889</v>
          </cell>
          <cell r="J42">
            <v>229.9</v>
          </cell>
          <cell r="K42">
            <v>0</v>
          </cell>
          <cell r="L42">
            <v>2282.010780480789</v>
          </cell>
          <cell r="M42">
            <v>0</v>
          </cell>
          <cell r="N42">
            <v>34</v>
          </cell>
          <cell r="O42" t="str">
            <v>Physical Therapy</v>
          </cell>
          <cell r="P42" t="str">
            <v>PTH</v>
          </cell>
          <cell r="Q42">
            <v>0</v>
          </cell>
          <cell r="R42">
            <v>-89.816999999999993</v>
          </cell>
          <cell r="S42">
            <v>2192.193780480789</v>
          </cell>
          <cell r="T42">
            <v>220.5</v>
          </cell>
          <cell r="U42">
            <v>2412.693780480789</v>
          </cell>
          <cell r="V42">
            <v>0</v>
          </cell>
          <cell r="W42">
            <v>0</v>
          </cell>
          <cell r="X42">
            <v>0</v>
          </cell>
          <cell r="Y42">
            <v>2412.693780480789</v>
          </cell>
          <cell r="Z42">
            <v>6.9389301833766339</v>
          </cell>
        </row>
        <row r="43">
          <cell r="A43" t="str">
            <v>OTH</v>
          </cell>
          <cell r="B43">
            <v>317989</v>
          </cell>
          <cell r="C43">
            <v>1348.4180368019411</v>
          </cell>
          <cell r="D43">
            <v>17.955823142989935</v>
          </cell>
          <cell r="E43">
            <v>413.83202996046526</v>
          </cell>
          <cell r="F43" t="str">
            <v xml:space="preserve"> /////////</v>
          </cell>
          <cell r="G43">
            <v>0</v>
          </cell>
          <cell r="H43">
            <v>0</v>
          </cell>
          <cell r="I43">
            <v>1780.2058899053961</v>
          </cell>
          <cell r="J43">
            <v>29.2</v>
          </cell>
          <cell r="K43">
            <v>0</v>
          </cell>
          <cell r="L43">
            <v>1809.4058899053962</v>
          </cell>
          <cell r="M43">
            <v>0</v>
          </cell>
          <cell r="N43">
            <v>35</v>
          </cell>
          <cell r="O43" t="str">
            <v>Occupational Therapy</v>
          </cell>
          <cell r="P43" t="str">
            <v>OTH</v>
          </cell>
          <cell r="Q43">
            <v>0</v>
          </cell>
          <cell r="R43">
            <v>-71.215999999999994</v>
          </cell>
          <cell r="S43">
            <v>1738.1898899053963</v>
          </cell>
          <cell r="T43">
            <v>174.8</v>
          </cell>
          <cell r="U43">
            <v>1912.9898899053962</v>
          </cell>
          <cell r="V43">
            <v>0</v>
          </cell>
          <cell r="W43">
            <v>0</v>
          </cell>
          <cell r="X43">
            <v>0</v>
          </cell>
          <cell r="Y43">
            <v>1912.9898899053962</v>
          </cell>
          <cell r="Z43">
            <v>6.0158995748450304</v>
          </cell>
        </row>
        <row r="44">
          <cell r="A44" t="str">
            <v>STH</v>
          </cell>
          <cell r="B44">
            <v>35670</v>
          </cell>
          <cell r="C44">
            <v>166.16693999999998</v>
          </cell>
          <cell r="D44">
            <v>4.55791767411612</v>
          </cell>
          <cell r="E44">
            <v>54.992562479579369</v>
          </cell>
          <cell r="F44" t="str">
            <v xml:space="preserve"> /////////</v>
          </cell>
          <cell r="G44">
            <v>0</v>
          </cell>
          <cell r="H44">
            <v>0</v>
          </cell>
          <cell r="I44">
            <v>225.71742015369546</v>
          </cell>
          <cell r="J44">
            <v>6.6</v>
          </cell>
          <cell r="K44">
            <v>0</v>
          </cell>
          <cell r="L44">
            <v>232.31742015369545</v>
          </cell>
          <cell r="M44">
            <v>0</v>
          </cell>
          <cell r="N44">
            <v>36</v>
          </cell>
          <cell r="O44" t="str">
            <v>Speech Language Pathology</v>
          </cell>
          <cell r="P44" t="str">
            <v>STH</v>
          </cell>
          <cell r="Q44">
            <v>0</v>
          </cell>
          <cell r="R44">
            <v>-9.1440000000000001</v>
          </cell>
          <cell r="S44">
            <v>223.17342015369545</v>
          </cell>
          <cell r="T44">
            <v>22.4</v>
          </cell>
          <cell r="U44">
            <v>245.57342015369545</v>
          </cell>
          <cell r="V44">
            <v>0</v>
          </cell>
          <cell r="W44">
            <v>0</v>
          </cell>
          <cell r="X44">
            <v>0</v>
          </cell>
          <cell r="Y44">
            <v>245.57342015369545</v>
          </cell>
          <cell r="Z44">
            <v>6.8845926592008819</v>
          </cell>
        </row>
        <row r="45">
          <cell r="A45" t="str">
            <v>REC</v>
          </cell>
          <cell r="B45">
            <v>0</v>
          </cell>
          <cell r="C45">
            <v>0</v>
          </cell>
          <cell r="D45">
            <v>0</v>
          </cell>
          <cell r="E45">
            <v>0</v>
          </cell>
          <cell r="F45" t="str">
            <v xml:space="preserve"> /////////</v>
          </cell>
          <cell r="G45">
            <v>0</v>
          </cell>
          <cell r="H45">
            <v>0</v>
          </cell>
          <cell r="I45">
            <v>0</v>
          </cell>
          <cell r="J45">
            <v>0</v>
          </cell>
          <cell r="K45">
            <v>0</v>
          </cell>
          <cell r="L45">
            <v>0</v>
          </cell>
          <cell r="M45">
            <v>0</v>
          </cell>
          <cell r="N45">
            <v>37</v>
          </cell>
          <cell r="O45" t="str">
            <v>Recreational Therapy</v>
          </cell>
          <cell r="P45" t="str">
            <v>REC</v>
          </cell>
          <cell r="Q45">
            <v>0</v>
          </cell>
          <cell r="R45">
            <v>0</v>
          </cell>
          <cell r="S45">
            <v>0</v>
          </cell>
          <cell r="T45">
            <v>0</v>
          </cell>
          <cell r="U45">
            <v>0</v>
          </cell>
          <cell r="V45">
            <v>0</v>
          </cell>
          <cell r="W45">
            <v>0</v>
          </cell>
          <cell r="X45">
            <v>0</v>
          </cell>
          <cell r="Y45">
            <v>0</v>
          </cell>
          <cell r="Z45">
            <v>0</v>
          </cell>
        </row>
        <row r="46">
          <cell r="A46" t="str">
            <v>AUD</v>
          </cell>
          <cell r="B46">
            <v>8456</v>
          </cell>
          <cell r="C46">
            <v>100.5</v>
          </cell>
          <cell r="D46">
            <v>9.3694706775028038</v>
          </cell>
          <cell r="E46">
            <v>30.888403159085748</v>
          </cell>
          <cell r="F46" t="str">
            <v xml:space="preserve"> /////////</v>
          </cell>
          <cell r="G46">
            <v>0</v>
          </cell>
          <cell r="H46">
            <v>0</v>
          </cell>
          <cell r="I46">
            <v>140.75787383658854</v>
          </cell>
          <cell r="J46">
            <v>0.9</v>
          </cell>
          <cell r="K46">
            <v>0</v>
          </cell>
          <cell r="L46">
            <v>141.65787383658855</v>
          </cell>
          <cell r="M46">
            <v>0</v>
          </cell>
          <cell r="N46">
            <v>38</v>
          </cell>
          <cell r="O46" t="str">
            <v>Audiology</v>
          </cell>
          <cell r="P46" t="str">
            <v>AUD</v>
          </cell>
          <cell r="Q46">
            <v>0</v>
          </cell>
          <cell r="R46">
            <v>-5.5750000000000002</v>
          </cell>
          <cell r="S46">
            <v>136.08287383658856</v>
          </cell>
          <cell r="T46">
            <v>13.7</v>
          </cell>
          <cell r="U46">
            <v>149.78287383658855</v>
          </cell>
          <cell r="V46">
            <v>0</v>
          </cell>
          <cell r="W46">
            <v>0</v>
          </cell>
          <cell r="X46">
            <v>0</v>
          </cell>
          <cell r="Y46">
            <v>149.78287383658855</v>
          </cell>
          <cell r="Z46">
            <v>17.713206461280574</v>
          </cell>
        </row>
        <row r="47">
          <cell r="A47" t="str">
            <v>OPM</v>
          </cell>
          <cell r="B47">
            <v>0</v>
          </cell>
          <cell r="C47">
            <v>0</v>
          </cell>
          <cell r="D47">
            <v>0</v>
          </cell>
          <cell r="E47">
            <v>0</v>
          </cell>
          <cell r="F47" t="str">
            <v xml:space="preserve"> /////////</v>
          </cell>
          <cell r="G47">
            <v>0</v>
          </cell>
          <cell r="H47">
            <v>0</v>
          </cell>
          <cell r="I47">
            <v>0</v>
          </cell>
          <cell r="J47">
            <v>0</v>
          </cell>
          <cell r="K47">
            <v>0</v>
          </cell>
          <cell r="L47">
            <v>0</v>
          </cell>
          <cell r="M47">
            <v>0</v>
          </cell>
          <cell r="N47">
            <v>39</v>
          </cell>
          <cell r="O47" t="str">
            <v>Other Physical Medicine</v>
          </cell>
          <cell r="P47" t="str">
            <v>OPM</v>
          </cell>
          <cell r="Q47">
            <v>0</v>
          </cell>
          <cell r="R47">
            <v>0</v>
          </cell>
          <cell r="S47">
            <v>0</v>
          </cell>
          <cell r="T47">
            <v>0</v>
          </cell>
          <cell r="U47">
            <v>0</v>
          </cell>
          <cell r="V47">
            <v>0</v>
          </cell>
          <cell r="W47">
            <v>0</v>
          </cell>
          <cell r="X47">
            <v>0</v>
          </cell>
          <cell r="Y47">
            <v>0</v>
          </cell>
          <cell r="Z47">
            <v>0</v>
          </cell>
        </row>
        <row r="48">
          <cell r="A48" t="str">
            <v>RDL</v>
          </cell>
          <cell r="B48">
            <v>0</v>
          </cell>
          <cell r="C48">
            <v>0</v>
          </cell>
          <cell r="D48">
            <v>0</v>
          </cell>
          <cell r="E48">
            <v>0</v>
          </cell>
          <cell r="F48" t="str">
            <v xml:space="preserve"> /////////</v>
          </cell>
          <cell r="G48">
            <v>0</v>
          </cell>
          <cell r="H48">
            <v>0</v>
          </cell>
          <cell r="I48">
            <v>0</v>
          </cell>
          <cell r="J48">
            <v>0</v>
          </cell>
          <cell r="K48">
            <v>0</v>
          </cell>
          <cell r="L48">
            <v>0</v>
          </cell>
          <cell r="M48">
            <v>0</v>
          </cell>
          <cell r="N48">
            <v>40</v>
          </cell>
          <cell r="O48" t="str">
            <v>Renal Dialysis</v>
          </cell>
          <cell r="P48" t="str">
            <v>RDL</v>
          </cell>
          <cell r="Q48">
            <v>0</v>
          </cell>
          <cell r="R48">
            <v>0</v>
          </cell>
          <cell r="S48">
            <v>0</v>
          </cell>
          <cell r="T48">
            <v>0</v>
          </cell>
          <cell r="U48">
            <v>0</v>
          </cell>
          <cell r="V48">
            <v>0</v>
          </cell>
          <cell r="W48">
            <v>0</v>
          </cell>
          <cell r="X48">
            <v>0</v>
          </cell>
          <cell r="Y48">
            <v>0</v>
          </cell>
          <cell r="Z48">
            <v>0</v>
          </cell>
        </row>
        <row r="49">
          <cell r="A49" t="str">
            <v>OA</v>
          </cell>
          <cell r="B49">
            <v>0</v>
          </cell>
          <cell r="C49">
            <v>0</v>
          </cell>
          <cell r="D49">
            <v>0</v>
          </cell>
          <cell r="E49">
            <v>0</v>
          </cell>
          <cell r="F49" t="str">
            <v xml:space="preserve"> /////////</v>
          </cell>
          <cell r="G49">
            <v>0</v>
          </cell>
          <cell r="H49">
            <v>0</v>
          </cell>
          <cell r="I49">
            <v>0</v>
          </cell>
          <cell r="J49">
            <v>0</v>
          </cell>
          <cell r="K49">
            <v>0</v>
          </cell>
          <cell r="L49">
            <v>0</v>
          </cell>
          <cell r="M49">
            <v>0</v>
          </cell>
          <cell r="N49">
            <v>41</v>
          </cell>
          <cell r="O49" t="str">
            <v>Organ Acquisition</v>
          </cell>
          <cell r="P49" t="str">
            <v>OA</v>
          </cell>
          <cell r="Q49">
            <v>0</v>
          </cell>
          <cell r="R49">
            <v>0</v>
          </cell>
          <cell r="S49">
            <v>0</v>
          </cell>
          <cell r="T49">
            <v>0</v>
          </cell>
          <cell r="U49">
            <v>0</v>
          </cell>
          <cell r="V49">
            <v>0</v>
          </cell>
          <cell r="W49">
            <v>0</v>
          </cell>
          <cell r="X49">
            <v>0</v>
          </cell>
          <cell r="Y49">
            <v>0</v>
          </cell>
          <cell r="Z49">
            <v>0</v>
          </cell>
        </row>
        <row r="50">
          <cell r="A50" t="str">
            <v>LEU</v>
          </cell>
          <cell r="B50">
            <v>0</v>
          </cell>
          <cell r="C50">
            <v>0</v>
          </cell>
          <cell r="D50">
            <v>0</v>
          </cell>
          <cell r="E50">
            <v>0</v>
          </cell>
          <cell r="F50" t="str">
            <v xml:space="preserve"> /////////</v>
          </cell>
          <cell r="G50">
            <v>0</v>
          </cell>
          <cell r="H50">
            <v>0</v>
          </cell>
          <cell r="I50">
            <v>0</v>
          </cell>
          <cell r="J50">
            <v>0</v>
          </cell>
          <cell r="K50">
            <v>0</v>
          </cell>
          <cell r="L50">
            <v>0</v>
          </cell>
          <cell r="M50">
            <v>0</v>
          </cell>
          <cell r="N50">
            <v>42</v>
          </cell>
          <cell r="O50" t="str">
            <v>Leukopheresis</v>
          </cell>
          <cell r="P50" t="str">
            <v>LEU</v>
          </cell>
          <cell r="Q50">
            <v>0</v>
          </cell>
          <cell r="R50">
            <v>0</v>
          </cell>
          <cell r="S50">
            <v>0</v>
          </cell>
          <cell r="T50">
            <v>0</v>
          </cell>
          <cell r="U50">
            <v>0</v>
          </cell>
          <cell r="V50">
            <v>0</v>
          </cell>
          <cell r="W50">
            <v>0</v>
          </cell>
          <cell r="X50">
            <v>0</v>
          </cell>
          <cell r="Y50">
            <v>0</v>
          </cell>
          <cell r="Z50">
            <v>0</v>
          </cell>
        </row>
        <row r="51">
          <cell r="A51" t="str">
            <v>HYP</v>
          </cell>
          <cell r="B51">
            <v>0</v>
          </cell>
          <cell r="C51">
            <v>0</v>
          </cell>
          <cell r="D51">
            <v>0</v>
          </cell>
          <cell r="E51">
            <v>0</v>
          </cell>
          <cell r="F51" t="str">
            <v xml:space="preserve"> /////////</v>
          </cell>
          <cell r="G51">
            <v>0</v>
          </cell>
          <cell r="H51">
            <v>0</v>
          </cell>
          <cell r="I51">
            <v>0</v>
          </cell>
          <cell r="J51">
            <v>0</v>
          </cell>
          <cell r="K51">
            <v>0</v>
          </cell>
          <cell r="L51">
            <v>0</v>
          </cell>
          <cell r="M51">
            <v>0</v>
          </cell>
          <cell r="N51">
            <v>43</v>
          </cell>
          <cell r="O51" t="str">
            <v>Hyperbaric Chamber</v>
          </cell>
          <cell r="P51" t="str">
            <v>HYP</v>
          </cell>
          <cell r="Q51">
            <v>0</v>
          </cell>
          <cell r="R51">
            <v>0</v>
          </cell>
          <cell r="S51">
            <v>0</v>
          </cell>
          <cell r="T51">
            <v>0</v>
          </cell>
          <cell r="U51">
            <v>0</v>
          </cell>
          <cell r="V51">
            <v>0</v>
          </cell>
          <cell r="W51">
            <v>0</v>
          </cell>
          <cell r="X51">
            <v>0</v>
          </cell>
          <cell r="Y51">
            <v>0</v>
          </cell>
          <cell r="Z51">
            <v>0</v>
          </cell>
        </row>
        <row r="52">
          <cell r="A52" t="str">
            <v>FSE</v>
          </cell>
          <cell r="B52">
            <v>0</v>
          </cell>
          <cell r="C52">
            <v>0</v>
          </cell>
          <cell r="D52">
            <v>0</v>
          </cell>
          <cell r="E52">
            <v>0</v>
          </cell>
          <cell r="F52" t="str">
            <v xml:space="preserve"> /////////</v>
          </cell>
          <cell r="G52">
            <v>0</v>
          </cell>
          <cell r="H52">
            <v>0</v>
          </cell>
          <cell r="I52">
            <v>0</v>
          </cell>
          <cell r="J52">
            <v>0</v>
          </cell>
          <cell r="K52">
            <v>0</v>
          </cell>
          <cell r="L52">
            <v>0</v>
          </cell>
          <cell r="M52">
            <v>0</v>
          </cell>
          <cell r="N52">
            <v>44</v>
          </cell>
          <cell r="O52" t="str">
            <v>Free Standing Emergency</v>
          </cell>
          <cell r="P52" t="str">
            <v>FSE</v>
          </cell>
          <cell r="Q52">
            <v>0</v>
          </cell>
          <cell r="R52">
            <v>0</v>
          </cell>
          <cell r="S52">
            <v>0</v>
          </cell>
          <cell r="T52">
            <v>0</v>
          </cell>
          <cell r="U52">
            <v>0</v>
          </cell>
          <cell r="V52">
            <v>0</v>
          </cell>
          <cell r="W52">
            <v>0</v>
          </cell>
          <cell r="X52">
            <v>0</v>
          </cell>
          <cell r="Y52">
            <v>0</v>
          </cell>
          <cell r="Z52">
            <v>0</v>
          </cell>
        </row>
        <row r="53">
          <cell r="A53" t="str">
            <v>MRI</v>
          </cell>
          <cell r="B53">
            <v>28018</v>
          </cell>
          <cell r="C53">
            <v>804.04016999999999</v>
          </cell>
          <cell r="D53">
            <v>76.118059183590418</v>
          </cell>
          <cell r="E53">
            <v>256.34139181605684</v>
          </cell>
          <cell r="F53" t="str">
            <v xml:space="preserve"> /////////</v>
          </cell>
          <cell r="G53">
            <v>0</v>
          </cell>
          <cell r="H53">
            <v>0</v>
          </cell>
          <cell r="I53">
            <v>1136.4996209996473</v>
          </cell>
          <cell r="J53">
            <v>7.5</v>
          </cell>
          <cell r="K53">
            <v>0</v>
          </cell>
          <cell r="L53">
            <v>1143.9996209996473</v>
          </cell>
          <cell r="M53">
            <v>0</v>
          </cell>
          <cell r="N53">
            <v>45</v>
          </cell>
          <cell r="O53" t="str">
            <v>Magnetic Resonance Imaging</v>
          </cell>
          <cell r="P53" t="str">
            <v>MRI</v>
          </cell>
          <cell r="Q53">
            <v>0</v>
          </cell>
          <cell r="R53">
            <v>-45.026000000000003</v>
          </cell>
          <cell r="S53">
            <v>1098.9736209996472</v>
          </cell>
          <cell r="T53">
            <v>110.5</v>
          </cell>
          <cell r="U53">
            <v>1209.4736209996472</v>
          </cell>
          <cell r="V53">
            <v>0</v>
          </cell>
          <cell r="W53">
            <v>0</v>
          </cell>
          <cell r="X53">
            <v>0</v>
          </cell>
          <cell r="Y53">
            <v>1209.4736209996472</v>
          </cell>
          <cell r="Z53">
            <v>43.167735776987911</v>
          </cell>
        </row>
        <row r="54">
          <cell r="A54" t="str">
            <v>LIT</v>
          </cell>
          <cell r="B54">
            <v>21</v>
          </cell>
          <cell r="C54">
            <v>24</v>
          </cell>
          <cell r="D54">
            <v>2.2374855349260425</v>
          </cell>
          <cell r="E54">
            <v>10.124963146745504</v>
          </cell>
          <cell r="F54" t="str">
            <v xml:space="preserve"> /////////</v>
          </cell>
          <cell r="G54">
            <v>0</v>
          </cell>
          <cell r="H54">
            <v>0</v>
          </cell>
          <cell r="I54">
            <v>36.362448681671552</v>
          </cell>
          <cell r="J54">
            <v>0.2</v>
          </cell>
          <cell r="K54">
            <v>0</v>
          </cell>
          <cell r="L54">
            <v>36.562448681671555</v>
          </cell>
          <cell r="M54">
            <v>0</v>
          </cell>
          <cell r="N54">
            <v>46</v>
          </cell>
          <cell r="O54" t="str">
            <v>Lithotripsy</v>
          </cell>
          <cell r="P54" t="str">
            <v>LIT</v>
          </cell>
          <cell r="Q54">
            <v>0</v>
          </cell>
          <cell r="R54">
            <v>-1.4390000000000001</v>
          </cell>
          <cell r="S54">
            <v>35.123448681671555</v>
          </cell>
          <cell r="T54">
            <v>3.5</v>
          </cell>
          <cell r="U54">
            <v>38.623448681671555</v>
          </cell>
          <cell r="V54">
            <v>0</v>
          </cell>
          <cell r="W54">
            <v>0</v>
          </cell>
          <cell r="X54">
            <v>0</v>
          </cell>
          <cell r="Y54">
            <v>38.623448681671555</v>
          </cell>
          <cell r="Z54">
            <v>1839.2118419843598</v>
          </cell>
        </row>
        <row r="55">
          <cell r="A55" t="str">
            <v>RHB</v>
          </cell>
          <cell r="B55">
            <v>0</v>
          </cell>
          <cell r="C55">
            <v>0</v>
          </cell>
          <cell r="D55">
            <v>0</v>
          </cell>
          <cell r="E55">
            <v>0</v>
          </cell>
          <cell r="F55" t="str">
            <v xml:space="preserve"> /////////</v>
          </cell>
          <cell r="G55">
            <v>0</v>
          </cell>
          <cell r="H55">
            <v>0</v>
          </cell>
          <cell r="I55">
            <v>0</v>
          </cell>
          <cell r="J55">
            <v>0</v>
          </cell>
          <cell r="K55">
            <v>0</v>
          </cell>
          <cell r="L55">
            <v>0</v>
          </cell>
          <cell r="M55">
            <v>0</v>
          </cell>
          <cell r="N55">
            <v>47</v>
          </cell>
          <cell r="O55" t="str">
            <v>Rehabilitation</v>
          </cell>
          <cell r="P55" t="str">
            <v>RHB</v>
          </cell>
          <cell r="Q55">
            <v>0</v>
          </cell>
          <cell r="R55">
            <v>0</v>
          </cell>
          <cell r="S55">
            <v>0</v>
          </cell>
          <cell r="T55">
            <v>0</v>
          </cell>
          <cell r="U55">
            <v>0</v>
          </cell>
          <cell r="V55">
            <v>0</v>
          </cell>
          <cell r="W55">
            <v>0</v>
          </cell>
          <cell r="X55">
            <v>0</v>
          </cell>
          <cell r="Y55">
            <v>0</v>
          </cell>
          <cell r="Z55">
            <v>0</v>
          </cell>
        </row>
        <row r="56">
          <cell r="A56" t="str">
            <v>OBV</v>
          </cell>
          <cell r="B56">
            <v>45365</v>
          </cell>
          <cell r="C56">
            <v>1330.7675948963388</v>
          </cell>
          <cell r="D56">
            <v>382.08891531883728</v>
          </cell>
          <cell r="E56">
            <v>698.31216084028574</v>
          </cell>
          <cell r="F56" t="str">
            <v xml:space="preserve"> /////////</v>
          </cell>
          <cell r="G56">
            <v>0</v>
          </cell>
          <cell r="H56">
            <v>0</v>
          </cell>
          <cell r="I56">
            <v>2411.1686710554618</v>
          </cell>
          <cell r="J56">
            <v>268.3</v>
          </cell>
          <cell r="K56">
            <v>0.03</v>
          </cell>
          <cell r="L56">
            <v>2679.4986710554622</v>
          </cell>
          <cell r="M56">
            <v>0</v>
          </cell>
          <cell r="N56">
            <v>48</v>
          </cell>
          <cell r="O56" t="str">
            <v>Observation</v>
          </cell>
          <cell r="P56" t="str">
            <v>OBV</v>
          </cell>
          <cell r="Q56">
            <v>0</v>
          </cell>
          <cell r="R56">
            <v>-105.461</v>
          </cell>
          <cell r="S56">
            <v>2574.0376710554624</v>
          </cell>
          <cell r="T56">
            <v>258.89999999999998</v>
          </cell>
          <cell r="U56">
            <v>2832.9376710554625</v>
          </cell>
          <cell r="V56">
            <v>0</v>
          </cell>
          <cell r="W56">
            <v>0</v>
          </cell>
          <cell r="X56">
            <v>0</v>
          </cell>
          <cell r="Y56">
            <v>2832.9376710554625</v>
          </cell>
          <cell r="Z56">
            <v>62.447650634971069</v>
          </cell>
        </row>
        <row r="57">
          <cell r="A57" t="str">
            <v>AMR</v>
          </cell>
          <cell r="B57">
            <v>0</v>
          </cell>
          <cell r="C57">
            <v>161.36261906925449</v>
          </cell>
          <cell r="D57">
            <v>15.016567840301065</v>
          </cell>
          <cell r="E57">
            <v>5.9513827699848854</v>
          </cell>
          <cell r="F57" t="str">
            <v xml:space="preserve"> /////////</v>
          </cell>
          <cell r="G57" t="str">
            <v>////////////</v>
          </cell>
          <cell r="H57" t="str">
            <v>////////////</v>
          </cell>
          <cell r="I57">
            <v>182.33056967954045</v>
          </cell>
          <cell r="J57" t="str">
            <v>////////////</v>
          </cell>
          <cell r="K57" t="str">
            <v>////////////</v>
          </cell>
          <cell r="L57">
            <v>182.33056967954045</v>
          </cell>
          <cell r="M57">
            <v>0</v>
          </cell>
          <cell r="N57">
            <v>49</v>
          </cell>
          <cell r="O57" t="str">
            <v>Ambulance Services-Rebundled</v>
          </cell>
          <cell r="P57" t="str">
            <v>AMR</v>
          </cell>
          <cell r="Q57">
            <v>0</v>
          </cell>
          <cell r="R57">
            <v>-7.1760000000000002</v>
          </cell>
          <cell r="S57">
            <v>175.15456967954046</v>
          </cell>
          <cell r="T57">
            <v>17.600000000000001</v>
          </cell>
          <cell r="U57">
            <v>192.75456967954045</v>
          </cell>
          <cell r="V57">
            <v>0</v>
          </cell>
          <cell r="W57">
            <v>0</v>
          </cell>
          <cell r="X57">
            <v>0</v>
          </cell>
          <cell r="Y57">
            <v>192.75456967954045</v>
          </cell>
          <cell r="Z57">
            <v>0</v>
          </cell>
        </row>
        <row r="58">
          <cell r="A58" t="str">
            <v>TMT</v>
          </cell>
          <cell r="B58">
            <v>0</v>
          </cell>
          <cell r="C58">
            <v>0</v>
          </cell>
          <cell r="D58">
            <v>0</v>
          </cell>
          <cell r="E58">
            <v>0</v>
          </cell>
          <cell r="F58" t="str">
            <v xml:space="preserve"> /////////</v>
          </cell>
          <cell r="G58">
            <v>0</v>
          </cell>
          <cell r="H58">
            <v>0</v>
          </cell>
          <cell r="I58">
            <v>0</v>
          </cell>
          <cell r="J58">
            <v>0</v>
          </cell>
          <cell r="K58">
            <v>0</v>
          </cell>
          <cell r="L58">
            <v>0</v>
          </cell>
          <cell r="M58">
            <v>0</v>
          </cell>
          <cell r="N58">
            <v>50</v>
          </cell>
          <cell r="O58" t="str">
            <v>Transurethal Microwave Thermotherapy</v>
          </cell>
          <cell r="P58" t="str">
            <v>TMT</v>
          </cell>
          <cell r="Q58">
            <v>0</v>
          </cell>
          <cell r="R58">
            <v>0</v>
          </cell>
          <cell r="S58">
            <v>0</v>
          </cell>
          <cell r="T58">
            <v>0</v>
          </cell>
          <cell r="U58">
            <v>0</v>
          </cell>
          <cell r="V58">
            <v>0</v>
          </cell>
          <cell r="W58">
            <v>0</v>
          </cell>
          <cell r="X58">
            <v>0</v>
          </cell>
          <cell r="Y58">
            <v>0</v>
          </cell>
          <cell r="Z58">
            <v>0</v>
          </cell>
        </row>
        <row r="59">
          <cell r="A59" t="str">
            <v>OCL</v>
          </cell>
          <cell r="B59">
            <v>0</v>
          </cell>
          <cell r="C59">
            <v>0</v>
          </cell>
          <cell r="D59">
            <v>0</v>
          </cell>
          <cell r="E59">
            <v>0</v>
          </cell>
          <cell r="F59" t="str">
            <v xml:space="preserve"> /////////</v>
          </cell>
          <cell r="G59">
            <v>0</v>
          </cell>
          <cell r="H59">
            <v>0</v>
          </cell>
          <cell r="I59">
            <v>0</v>
          </cell>
          <cell r="J59">
            <v>0</v>
          </cell>
          <cell r="K59">
            <v>0</v>
          </cell>
          <cell r="L59">
            <v>0</v>
          </cell>
          <cell r="M59">
            <v>0</v>
          </cell>
          <cell r="N59">
            <v>51</v>
          </cell>
          <cell r="O59" t="str">
            <v>Oncology O/P Clinic</v>
          </cell>
          <cell r="P59" t="str">
            <v>OCL</v>
          </cell>
          <cell r="Q59">
            <v>0</v>
          </cell>
          <cell r="R59">
            <v>0</v>
          </cell>
          <cell r="S59">
            <v>0</v>
          </cell>
          <cell r="T59">
            <v>0</v>
          </cell>
          <cell r="U59">
            <v>0</v>
          </cell>
          <cell r="V59">
            <v>0</v>
          </cell>
          <cell r="W59">
            <v>0</v>
          </cell>
          <cell r="X59">
            <v>0</v>
          </cell>
          <cell r="Y59">
            <v>0</v>
          </cell>
          <cell r="Z59">
            <v>0</v>
          </cell>
        </row>
        <row r="60">
          <cell r="A60" t="str">
            <v>TNA</v>
          </cell>
          <cell r="B60">
            <v>0</v>
          </cell>
          <cell r="C60">
            <v>5.7203311336568143</v>
          </cell>
          <cell r="D60">
            <v>0.52991823088424495</v>
          </cell>
          <cell r="E60">
            <v>0.21089578100455236</v>
          </cell>
          <cell r="F60" t="str">
            <v xml:space="preserve"> /////////</v>
          </cell>
          <cell r="G60">
            <v>0</v>
          </cell>
          <cell r="H60">
            <v>0</v>
          </cell>
          <cell r="I60">
            <v>6.4611451455456113</v>
          </cell>
          <cell r="J60">
            <v>0.1</v>
          </cell>
          <cell r="K60">
            <v>0</v>
          </cell>
          <cell r="L60">
            <v>6.5611451455456109</v>
          </cell>
          <cell r="M60">
            <v>0</v>
          </cell>
          <cell r="N60">
            <v>52</v>
          </cell>
          <cell r="O60" t="str">
            <v>Transurethal Needle Ablation</v>
          </cell>
          <cell r="P60" t="str">
            <v>TNA</v>
          </cell>
          <cell r="Q60">
            <v>0</v>
          </cell>
          <cell r="R60">
            <v>-0.25800000000000001</v>
          </cell>
          <cell r="S60">
            <v>6.3031451455456109</v>
          </cell>
          <cell r="T60">
            <v>0.6</v>
          </cell>
          <cell r="U60">
            <v>6.9031451455456105</v>
          </cell>
          <cell r="V60">
            <v>0</v>
          </cell>
          <cell r="W60">
            <v>0</v>
          </cell>
          <cell r="X60">
            <v>0</v>
          </cell>
          <cell r="Y60">
            <v>6.9031451455456105</v>
          </cell>
          <cell r="Z60">
            <v>0</v>
          </cell>
        </row>
        <row r="61">
          <cell r="A61" t="str">
            <v>ADM</v>
          </cell>
          <cell r="B61">
            <v>15176</v>
          </cell>
          <cell r="C61" t="str">
            <v>////////////</v>
          </cell>
          <cell r="D61">
            <v>548.58057793559772</v>
          </cell>
          <cell r="E61">
            <v>670.77846475290551</v>
          </cell>
          <cell r="F61" t="str">
            <v xml:space="preserve"> /////////</v>
          </cell>
          <cell r="G61" t="str">
            <v>////////////</v>
          </cell>
          <cell r="H61" t="str">
            <v>////////////</v>
          </cell>
          <cell r="I61">
            <v>1219.3590426885032</v>
          </cell>
          <cell r="J61" t="str">
            <v>////////////</v>
          </cell>
          <cell r="K61" t="str">
            <v>////////////</v>
          </cell>
          <cell r="L61">
            <v>1219.3590426885032</v>
          </cell>
          <cell r="M61">
            <v>0</v>
          </cell>
          <cell r="N61">
            <v>53</v>
          </cell>
          <cell r="O61" t="str">
            <v>Admission Services</v>
          </cell>
          <cell r="P61" t="str">
            <v>ADM</v>
          </cell>
          <cell r="Q61">
            <v>0</v>
          </cell>
          <cell r="R61">
            <v>-47.991999999999997</v>
          </cell>
          <cell r="S61">
            <v>1171.3670426885033</v>
          </cell>
          <cell r="T61">
            <v>117.8</v>
          </cell>
          <cell r="U61">
            <v>1289.1670426885032</v>
          </cell>
          <cell r="V61">
            <v>0</v>
          </cell>
          <cell r="W61">
            <v>0</v>
          </cell>
          <cell r="X61">
            <v>0</v>
          </cell>
          <cell r="Y61">
            <v>1289.1670426885032</v>
          </cell>
          <cell r="Z61">
            <v>84.947749254645714</v>
          </cell>
        </row>
        <row r="62">
          <cell r="A62" t="str">
            <v>MSS</v>
          </cell>
          <cell r="B62">
            <v>24887.001029999999</v>
          </cell>
          <cell r="C62">
            <v>39859.699999999997</v>
          </cell>
          <cell r="D62">
            <v>2664.2860083889332</v>
          </cell>
          <cell r="E62">
            <v>876.7513168352923</v>
          </cell>
          <cell r="F62" t="str">
            <v xml:space="preserve"> /////////</v>
          </cell>
          <cell r="G62" t="str">
            <v>////////////</v>
          </cell>
          <cell r="H62" t="str">
            <v>////////////</v>
          </cell>
          <cell r="I62">
            <v>43400.737325224218</v>
          </cell>
          <cell r="J62">
            <v>24.9</v>
          </cell>
          <cell r="K62" t="str">
            <v>////////////</v>
          </cell>
          <cell r="L62">
            <v>43425.637325224219</v>
          </cell>
          <cell r="M62">
            <v>0</v>
          </cell>
          <cell r="N62">
            <v>54</v>
          </cell>
          <cell r="O62" t="str">
            <v>Med/Surg Supplies</v>
          </cell>
          <cell r="P62" t="str">
            <v>MSS</v>
          </cell>
          <cell r="Q62">
            <v>0</v>
          </cell>
          <cell r="R62">
            <v>-1709.1690000000001</v>
          </cell>
          <cell r="S62">
            <v>41716.468325224218</v>
          </cell>
          <cell r="T62">
            <v>4196.2</v>
          </cell>
          <cell r="U62">
            <v>45912.668325224215</v>
          </cell>
          <cell r="V62">
            <v>0</v>
          </cell>
          <cell r="W62">
            <v>0</v>
          </cell>
          <cell r="X62">
            <v>0</v>
          </cell>
          <cell r="Y62">
            <v>45912.668325224215</v>
          </cell>
          <cell r="Z62">
            <v>1844.8453580195885</v>
          </cell>
        </row>
        <row r="63">
          <cell r="A63" t="str">
            <v>CDS</v>
          </cell>
          <cell r="B63">
            <v>24887.001029999999</v>
          </cell>
          <cell r="C63">
            <v>19398.3</v>
          </cell>
          <cell r="D63">
            <v>5010.36520494045</v>
          </cell>
          <cell r="E63">
            <v>1924.1198952707871</v>
          </cell>
          <cell r="F63" t="str">
            <v xml:space="preserve"> /////////</v>
          </cell>
          <cell r="G63" t="str">
            <v>////////////</v>
          </cell>
          <cell r="H63" t="str">
            <v>////////////</v>
          </cell>
          <cell r="I63">
            <v>26332.785100211237</v>
          </cell>
          <cell r="J63">
            <v>46.8</v>
          </cell>
          <cell r="K63" t="str">
            <v>////////////</v>
          </cell>
          <cell r="L63">
            <v>26379.585100211236</v>
          </cell>
          <cell r="M63">
            <v>0</v>
          </cell>
          <cell r="N63">
            <v>55</v>
          </cell>
          <cell r="O63" t="str">
            <v>Drugs Sold</v>
          </cell>
          <cell r="P63" t="str">
            <v>CDS</v>
          </cell>
          <cell r="Q63">
            <v>0</v>
          </cell>
          <cell r="R63">
            <v>-1038.2619999999999</v>
          </cell>
          <cell r="S63">
            <v>25341.323100211237</v>
          </cell>
          <cell r="T63">
            <v>2549</v>
          </cell>
          <cell r="U63">
            <v>27890.323100211237</v>
          </cell>
          <cell r="V63">
            <v>0</v>
          </cell>
          <cell r="W63">
            <v>0</v>
          </cell>
          <cell r="X63">
            <v>0</v>
          </cell>
          <cell r="Y63">
            <v>27890.323100211237</v>
          </cell>
          <cell r="Z63">
            <v>1120.678343951161</v>
          </cell>
        </row>
        <row r="64">
          <cell r="A64">
            <v>0</v>
          </cell>
          <cell r="B64">
            <v>0</v>
          </cell>
          <cell r="C64">
            <v>0</v>
          </cell>
          <cell r="D64">
            <v>0</v>
          </cell>
          <cell r="E64">
            <v>0</v>
          </cell>
          <cell r="F64" t="str">
            <v xml:space="preserve"> /////////</v>
          </cell>
          <cell r="G64">
            <v>0</v>
          </cell>
          <cell r="H64">
            <v>0</v>
          </cell>
          <cell r="I64">
            <v>0</v>
          </cell>
          <cell r="J64">
            <v>0</v>
          </cell>
          <cell r="K64">
            <v>0</v>
          </cell>
          <cell r="L64">
            <v>0</v>
          </cell>
          <cell r="M64">
            <v>0</v>
          </cell>
          <cell r="N64">
            <v>56</v>
          </cell>
          <cell r="O64">
            <v>0</v>
          </cell>
          <cell r="P64">
            <v>0</v>
          </cell>
          <cell r="Q64">
            <v>0</v>
          </cell>
          <cell r="R64">
            <v>0</v>
          </cell>
          <cell r="S64">
            <v>0</v>
          </cell>
          <cell r="T64">
            <v>0</v>
          </cell>
          <cell r="U64">
            <v>0</v>
          </cell>
          <cell r="V64">
            <v>0</v>
          </cell>
          <cell r="W64">
            <v>0</v>
          </cell>
          <cell r="X64">
            <v>0</v>
          </cell>
          <cell r="Y64">
            <v>0</v>
          </cell>
          <cell r="Z64">
            <v>0</v>
          </cell>
        </row>
        <row r="65">
          <cell r="A65">
            <v>0</v>
          </cell>
          <cell r="B65">
            <v>0</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row>
        <row r="66">
          <cell r="A66">
            <v>0</v>
          </cell>
          <cell r="B66">
            <v>21375527.002060004</v>
          </cell>
          <cell r="C66">
            <v>182282.29254629445</v>
          </cell>
          <cell r="D66">
            <v>31793.825480023865</v>
          </cell>
          <cell r="E66">
            <v>45165.780098428666</v>
          </cell>
          <cell r="F66">
            <v>0</v>
          </cell>
          <cell r="G66">
            <v>864.17752951154887</v>
          </cell>
          <cell r="H66">
            <v>0</v>
          </cell>
          <cell r="I66">
            <v>260106.07565425851</v>
          </cell>
          <cell r="J66">
            <v>20386.5</v>
          </cell>
          <cell r="K66">
            <v>3496.9768820000004</v>
          </cell>
          <cell r="L66">
            <v>283989.55253625853</v>
          </cell>
          <cell r="M66">
            <v>0</v>
          </cell>
          <cell r="N66" t="str">
            <v>B</v>
          </cell>
          <cell r="O66" t="str">
            <v>TOTAL</v>
          </cell>
          <cell r="P66">
            <v>0</v>
          </cell>
          <cell r="Q66">
            <v>0</v>
          </cell>
          <cell r="R66">
            <v>-11177.409999999996</v>
          </cell>
          <cell r="S66">
            <v>272812.14253625856</v>
          </cell>
          <cell r="T66">
            <v>27441.200000000001</v>
          </cell>
          <cell r="U66">
            <v>300253.34253625845</v>
          </cell>
          <cell r="V66">
            <v>0</v>
          </cell>
          <cell r="W66">
            <v>0</v>
          </cell>
          <cell r="X66">
            <v>0</v>
          </cell>
          <cell r="Y66">
            <v>300253.34253625845</v>
          </cell>
          <cell r="Z66" t="str">
            <v>//////////////</v>
          </cell>
        </row>
        <row r="67">
          <cell r="A67">
            <v>0</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row>
        <row r="68">
          <cell r="A68">
            <v>0</v>
          </cell>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row>
        <row r="69">
          <cell r="A69">
            <v>0</v>
          </cell>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row>
        <row r="70">
          <cell r="A70">
            <v>0</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row>
        <row r="71">
          <cell r="A71">
            <v>0</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row>
        <row r="72">
          <cell r="A72">
            <v>0</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row>
        <row r="73">
          <cell r="A73">
            <v>0</v>
          </cell>
          <cell r="B73">
            <v>0</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row>
        <row r="74">
          <cell r="A74">
            <v>0</v>
          </cell>
          <cell r="B74">
            <v>0</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row>
        <row r="75">
          <cell r="A75">
            <v>0</v>
          </cell>
          <cell r="B75">
            <v>0</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row>
        <row r="76">
          <cell r="A76">
            <v>0</v>
          </cell>
          <cell r="B76">
            <v>0</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row>
        <row r="77">
          <cell r="A77">
            <v>0</v>
          </cell>
          <cell r="B77">
            <v>0</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row>
        <row r="78">
          <cell r="A78">
            <v>0</v>
          </cell>
          <cell r="B78">
            <v>0</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row>
      </sheetData>
      <sheetData sheetId="105" refreshError="1"/>
      <sheetData sheetId="106" refreshError="1"/>
      <sheetData sheetId="107" refreshError="1"/>
      <sheetData sheetId="108">
        <row r="1">
          <cell r="P1">
            <v>1</v>
          </cell>
          <cell r="Q1" t="str">
            <v>January</v>
          </cell>
        </row>
        <row r="2">
          <cell r="P2">
            <v>2</v>
          </cell>
          <cell r="Q2" t="str">
            <v>February</v>
          </cell>
        </row>
        <row r="3">
          <cell r="P3">
            <v>3</v>
          </cell>
          <cell r="Q3" t="str">
            <v>March</v>
          </cell>
        </row>
        <row r="4">
          <cell r="P4">
            <v>4</v>
          </cell>
          <cell r="Q4" t="str">
            <v>April</v>
          </cell>
        </row>
        <row r="5">
          <cell r="P5">
            <v>5</v>
          </cell>
          <cell r="Q5" t="str">
            <v>May</v>
          </cell>
        </row>
        <row r="6">
          <cell r="P6">
            <v>6</v>
          </cell>
          <cell r="Q6" t="str">
            <v>June</v>
          </cell>
        </row>
        <row r="7">
          <cell r="P7">
            <v>7</v>
          </cell>
          <cell r="Q7" t="str">
            <v>July</v>
          </cell>
        </row>
        <row r="8">
          <cell r="P8">
            <v>8</v>
          </cell>
          <cell r="Q8" t="str">
            <v>August</v>
          </cell>
        </row>
        <row r="9">
          <cell r="P9">
            <v>9</v>
          </cell>
          <cell r="Q9" t="str">
            <v>September</v>
          </cell>
        </row>
        <row r="10">
          <cell r="P10">
            <v>10</v>
          </cell>
          <cell r="Q10" t="str">
            <v>October</v>
          </cell>
        </row>
        <row r="11">
          <cell r="P11">
            <v>11</v>
          </cell>
          <cell r="Q11" t="str">
            <v>November</v>
          </cell>
        </row>
        <row r="12">
          <cell r="P12">
            <v>12</v>
          </cell>
          <cell r="Q12" t="str">
            <v>December</v>
          </cell>
        </row>
      </sheetData>
      <sheetData sheetId="109" refreshError="1"/>
      <sheetData sheetId="110" refreshError="1"/>
      <sheetData sheetId="111" refreshError="1"/>
      <sheetData sheetId="112" refreshError="1"/>
      <sheetData sheetId="11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1)_Data Entry_Vol"/>
      <sheetName val="(Tab 2) Dept. Spons. Events"/>
      <sheetName val="(Tab 6) HSCRC_total By Category"/>
      <sheetName val="Wellness Center Reconciliat (2"/>
      <sheetName val="Schedule A Detail"/>
      <sheetName val="Schedule B Detail"/>
      <sheetName val="Schedule C Detail"/>
      <sheetName val="Schedule D_E_F_G_TDetail "/>
      <sheetName val="(Tab 4) Wellness Matters Publ"/>
      <sheetName val="Wellness Matters"/>
      <sheetName val="(Tab 5)Wellness MattersRecon"/>
      <sheetName val="Drop Down Choices"/>
      <sheetName val="Sheet1"/>
    </sheetNames>
    <sheetDataSet>
      <sheetData sheetId="0"/>
      <sheetData sheetId="1"/>
      <sheetData sheetId="2">
        <row r="7">
          <cell r="E7">
            <v>7185249</v>
          </cell>
          <cell r="F7">
            <v>0</v>
          </cell>
          <cell r="H7">
            <v>6144286</v>
          </cell>
        </row>
        <row r="11">
          <cell r="C11">
            <v>11273</v>
          </cell>
          <cell r="D11">
            <v>998473</v>
          </cell>
          <cell r="E11">
            <v>1174965.3744065783</v>
          </cell>
          <cell r="F11">
            <v>803722.14114411396</v>
          </cell>
          <cell r="H11">
            <v>346063</v>
          </cell>
        </row>
        <row r="12">
          <cell r="C12">
            <v>364</v>
          </cell>
          <cell r="D12">
            <v>1248</v>
          </cell>
          <cell r="E12">
            <v>21294.912428990403</v>
          </cell>
          <cell r="F12">
            <v>14566.550628395054</v>
          </cell>
          <cell r="H12">
            <v>0</v>
          </cell>
        </row>
        <row r="13">
          <cell r="C13">
            <v>216</v>
          </cell>
          <cell r="D13">
            <v>308</v>
          </cell>
          <cell r="E13">
            <v>17263</v>
          </cell>
          <cell r="F13">
            <v>11808.56527757535</v>
          </cell>
          <cell r="H13">
            <v>8094</v>
          </cell>
        </row>
        <row r="15">
          <cell r="C15">
            <v>3851</v>
          </cell>
          <cell r="D15">
            <v>5446</v>
          </cell>
          <cell r="E15">
            <v>306282.61366664869</v>
          </cell>
          <cell r="F15">
            <v>209509.25313497148</v>
          </cell>
          <cell r="H15">
            <v>143114</v>
          </cell>
        </row>
        <row r="16">
          <cell r="C16">
            <v>0</v>
          </cell>
          <cell r="D16">
            <v>0</v>
          </cell>
          <cell r="E16">
            <v>0</v>
          </cell>
          <cell r="F16">
            <v>0</v>
          </cell>
          <cell r="H16">
            <v>0</v>
          </cell>
        </row>
        <row r="19">
          <cell r="C19">
            <v>0</v>
          </cell>
          <cell r="D19">
            <v>0</v>
          </cell>
          <cell r="E19">
            <v>431169</v>
          </cell>
          <cell r="F19">
            <v>120971.61332178203</v>
          </cell>
          <cell r="H19">
            <v>0</v>
          </cell>
        </row>
        <row r="30">
          <cell r="C30">
            <v>1560</v>
          </cell>
          <cell r="D30">
            <v>4</v>
          </cell>
          <cell r="E30">
            <v>88833.864104939945</v>
          </cell>
          <cell r="F30">
            <v>0</v>
          </cell>
        </row>
        <row r="31">
          <cell r="C31">
            <v>6260</v>
          </cell>
          <cell r="D31">
            <v>40</v>
          </cell>
          <cell r="E31">
            <v>299389.5218156249</v>
          </cell>
        </row>
        <row r="32">
          <cell r="C32">
            <v>104</v>
          </cell>
          <cell r="D32">
            <v>0</v>
          </cell>
          <cell r="E32">
            <v>378815.92987009091</v>
          </cell>
        </row>
        <row r="33">
          <cell r="C33">
            <v>2545</v>
          </cell>
          <cell r="D33">
            <v>15001</v>
          </cell>
          <cell r="E33">
            <v>78803.316546136193</v>
          </cell>
        </row>
        <row r="37">
          <cell r="E37">
            <v>972272</v>
          </cell>
        </row>
        <row r="38">
          <cell r="E38">
            <v>906517</v>
          </cell>
        </row>
        <row r="39">
          <cell r="E39">
            <v>223404</v>
          </cell>
        </row>
        <row r="40">
          <cell r="E40">
            <v>579829</v>
          </cell>
        </row>
        <row r="41">
          <cell r="E41">
            <v>1092877</v>
          </cell>
        </row>
        <row r="42">
          <cell r="E42">
            <v>733417</v>
          </cell>
        </row>
        <row r="43">
          <cell r="E43">
            <v>94900</v>
          </cell>
        </row>
        <row r="44">
          <cell r="E44">
            <v>652773</v>
          </cell>
        </row>
        <row r="45">
          <cell r="E45">
            <v>3670606</v>
          </cell>
        </row>
        <row r="48">
          <cell r="C48">
            <v>0</v>
          </cell>
          <cell r="D48">
            <v>421</v>
          </cell>
          <cell r="E48">
            <v>27276</v>
          </cell>
        </row>
        <row r="49">
          <cell r="C49">
            <v>1248</v>
          </cell>
          <cell r="D49">
            <v>2317</v>
          </cell>
          <cell r="E49">
            <v>319762</v>
          </cell>
        </row>
        <row r="53">
          <cell r="E53">
            <v>746890</v>
          </cell>
          <cell r="H53">
            <v>558057</v>
          </cell>
        </row>
        <row r="55">
          <cell r="C55">
            <v>20.5</v>
          </cell>
          <cell r="D55">
            <v>38</v>
          </cell>
          <cell r="E55">
            <v>7860.5539893657706</v>
          </cell>
        </row>
        <row r="61">
          <cell r="C61">
            <v>100</v>
          </cell>
          <cell r="D61">
            <v>20442</v>
          </cell>
          <cell r="E61">
            <v>217925.51989631305</v>
          </cell>
          <cell r="F61">
            <v>0</v>
          </cell>
          <cell r="H61">
            <v>0</v>
          </cell>
        </row>
        <row r="63">
          <cell r="C63">
            <v>565</v>
          </cell>
          <cell r="D63">
            <v>8960</v>
          </cell>
          <cell r="E63">
            <v>243913.7764208169</v>
          </cell>
          <cell r="F63">
            <v>0</v>
          </cell>
          <cell r="H63">
            <v>0</v>
          </cell>
        </row>
        <row r="64">
          <cell r="C64">
            <v>0</v>
          </cell>
          <cell r="D64">
            <v>0</v>
          </cell>
          <cell r="E64">
            <v>250000</v>
          </cell>
          <cell r="F64">
            <v>47864.310485038011</v>
          </cell>
          <cell r="H64">
            <v>0</v>
          </cell>
        </row>
        <row r="68">
          <cell r="C68">
            <v>5</v>
          </cell>
          <cell r="D68">
            <v>300000</v>
          </cell>
          <cell r="E68">
            <v>248.44148015844507</v>
          </cell>
          <cell r="F68">
            <v>169.94366194221396</v>
          </cell>
          <cell r="H68">
            <v>0</v>
          </cell>
        </row>
        <row r="70">
          <cell r="C70">
            <v>1059</v>
          </cell>
          <cell r="D70">
            <v>85</v>
          </cell>
          <cell r="E70">
            <v>217381.17004406892</v>
          </cell>
          <cell r="F70">
            <v>148697.19843486618</v>
          </cell>
          <cell r="H70">
            <v>709</v>
          </cell>
        </row>
        <row r="80">
          <cell r="C80">
            <v>1711.5</v>
          </cell>
          <cell r="D80">
            <v>0</v>
          </cell>
          <cell r="E80">
            <v>126596.7937067766</v>
          </cell>
          <cell r="F80">
            <v>86597.144321277403</v>
          </cell>
          <cell r="H80">
            <v>0</v>
          </cell>
        </row>
        <row r="86">
          <cell r="C86">
            <v>3169655.23</v>
          </cell>
        </row>
        <row r="89">
          <cell r="C89">
            <v>0.68403900119187566</v>
          </cell>
        </row>
        <row r="92">
          <cell r="C92">
            <v>242890000</v>
          </cell>
        </row>
        <row r="93">
          <cell r="C93">
            <v>6695000</v>
          </cell>
        </row>
        <row r="96">
          <cell r="C96">
            <v>237010000</v>
          </cell>
        </row>
        <row r="100">
          <cell r="C100">
            <v>-3376000</v>
          </cell>
        </row>
      </sheetData>
      <sheetData sheetId="3"/>
      <sheetData sheetId="4"/>
      <sheetData sheetId="5"/>
      <sheetData sheetId="6"/>
      <sheetData sheetId="7"/>
      <sheetData sheetId="8"/>
      <sheetData sheetId="9"/>
      <sheetData sheetId="10"/>
      <sheetData sheetId="11"/>
      <sheetData sheetId="12"/>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27">
          <cell r="G27">
            <v>6202303.6349099334</v>
          </cell>
          <cell r="H27">
            <v>7253095.6238646954</v>
          </cell>
        </row>
      </sheetData>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 Line Item Detail"/>
      <sheetName val="CO Line Item Detail+"/>
    </sheetNames>
    <sheetDataSet>
      <sheetData sheetId="0">
        <row r="19">
          <cell r="T19">
            <v>-287887.38</v>
          </cell>
        </row>
      </sheetData>
      <sheetData sheetId="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FY14-FY15 Comparison"/>
      <sheetName val="2.FY 2015 Report"/>
      <sheetName val="3.CBISA Data"/>
      <sheetName val="4.Clinical Research"/>
      <sheetName val="5.St. Clare"/>
      <sheetName val="6.On Call"/>
      <sheetName val="7.WHA"/>
      <sheetName val="8.Deficit Assessment FY15"/>
      <sheetName val="9.Indirect Cost Ratio"/>
      <sheetName val="10.FY14 Peer Group Comparison"/>
    </sheetNames>
    <sheetDataSet>
      <sheetData sheetId="0"/>
      <sheetData sheetId="1"/>
      <sheetData sheetId="2">
        <row r="6">
          <cell r="A6" t="str">
            <v>A10</v>
          </cell>
          <cell r="E6">
            <v>11820</v>
          </cell>
          <cell r="F6">
            <v>0</v>
          </cell>
          <cell r="K6">
            <v>1000</v>
          </cell>
          <cell r="L6">
            <v>246.29618053385011</v>
          </cell>
        </row>
        <row r="7">
          <cell r="A7" t="str">
            <v>A10</v>
          </cell>
          <cell r="E7">
            <v>1782</v>
          </cell>
          <cell r="F7">
            <v>0</v>
          </cell>
          <cell r="K7">
            <v>482</v>
          </cell>
          <cell r="L7">
            <v>37.131962242920551</v>
          </cell>
        </row>
        <row r="8">
          <cell r="A8" t="str">
            <v>A10</v>
          </cell>
          <cell r="E8">
            <v>1214</v>
          </cell>
          <cell r="F8">
            <v>0</v>
          </cell>
          <cell r="K8">
            <v>56</v>
          </cell>
          <cell r="L8">
            <v>25.296409743493573</v>
          </cell>
        </row>
        <row r="9">
          <cell r="A9" t="str">
            <v>A10</v>
          </cell>
          <cell r="E9">
            <v>566</v>
          </cell>
          <cell r="F9">
            <v>0</v>
          </cell>
          <cell r="K9">
            <v>216</v>
          </cell>
          <cell r="L9">
            <v>11.793878018795191</v>
          </cell>
        </row>
        <row r="10">
          <cell r="A10" t="str">
            <v>A10</v>
          </cell>
          <cell r="E10">
            <v>28884</v>
          </cell>
          <cell r="F10">
            <v>0</v>
          </cell>
          <cell r="K10">
            <v>300</v>
          </cell>
          <cell r="L10">
            <v>601.86284928424084</v>
          </cell>
        </row>
        <row r="11">
          <cell r="A11" t="str">
            <v>A10</v>
          </cell>
          <cell r="E11">
            <v>640</v>
          </cell>
          <cell r="F11">
            <v>0</v>
          </cell>
          <cell r="K11">
            <v>722</v>
          </cell>
          <cell r="L11">
            <v>13.335833802171241</v>
          </cell>
        </row>
        <row r="12">
          <cell r="A12" t="str">
            <v>A10</v>
          </cell>
          <cell r="E12">
            <v>2308</v>
          </cell>
          <cell r="F12">
            <v>1140</v>
          </cell>
          <cell r="K12">
            <v>102</v>
          </cell>
          <cell r="L12">
            <v>48.092350649080039</v>
          </cell>
        </row>
        <row r="13">
          <cell r="A13" t="str">
            <v>A10</v>
          </cell>
          <cell r="E13">
            <v>8602</v>
          </cell>
          <cell r="F13">
            <v>0</v>
          </cell>
          <cell r="K13">
            <v>2433</v>
          </cell>
          <cell r="L13">
            <v>179.24194119730782</v>
          </cell>
        </row>
        <row r="14">
          <cell r="A14" t="str">
            <v>A10</v>
          </cell>
          <cell r="E14">
            <v>972</v>
          </cell>
          <cell r="F14">
            <v>490</v>
          </cell>
          <cell r="K14">
            <v>74</v>
          </cell>
          <cell r="L14">
            <v>20.253797587047572</v>
          </cell>
        </row>
        <row r="15">
          <cell r="A15" t="str">
            <v>A10</v>
          </cell>
          <cell r="E15">
            <v>81</v>
          </cell>
          <cell r="F15">
            <v>0</v>
          </cell>
          <cell r="K15">
            <v>25</v>
          </cell>
          <cell r="L15">
            <v>1.6878164655872976</v>
          </cell>
        </row>
        <row r="16">
          <cell r="A16" t="str">
            <v>A10</v>
          </cell>
          <cell r="E16">
            <v>364</v>
          </cell>
          <cell r="F16">
            <v>0</v>
          </cell>
          <cell r="K16">
            <v>25</v>
          </cell>
          <cell r="L16">
            <v>7.5847554749848927</v>
          </cell>
        </row>
        <row r="17">
          <cell r="A17" t="str">
            <v>A10</v>
          </cell>
          <cell r="E17">
            <v>1170</v>
          </cell>
          <cell r="F17">
            <v>540</v>
          </cell>
          <cell r="K17">
            <v>12</v>
          </cell>
          <cell r="L17">
            <v>24.3795711695943</v>
          </cell>
        </row>
        <row r="18">
          <cell r="A18" t="str">
            <v>A10</v>
          </cell>
          <cell r="E18">
            <v>4790</v>
          </cell>
          <cell r="F18">
            <v>0</v>
          </cell>
          <cell r="K18">
            <v>2000</v>
          </cell>
          <cell r="L18">
            <v>99.810381113125374</v>
          </cell>
        </row>
        <row r="19">
          <cell r="A19" t="str">
            <v>A10</v>
          </cell>
          <cell r="E19">
            <v>162</v>
          </cell>
          <cell r="F19">
            <v>0</v>
          </cell>
          <cell r="K19">
            <v>0</v>
          </cell>
          <cell r="L19">
            <v>3.3756329311745952</v>
          </cell>
        </row>
        <row r="20">
          <cell r="A20" t="str">
            <v>A10 Total</v>
          </cell>
          <cell r="E20">
            <v>63355</v>
          </cell>
          <cell r="F20">
            <v>2170</v>
          </cell>
          <cell r="K20">
            <v>7447</v>
          </cell>
          <cell r="L20">
            <v>1320.1433602133732</v>
          </cell>
        </row>
        <row r="21">
          <cell r="A21" t="str">
            <v>A11</v>
          </cell>
          <cell r="E21">
            <v>567</v>
          </cell>
          <cell r="F21">
            <v>0</v>
          </cell>
          <cell r="K21">
            <v>0</v>
          </cell>
          <cell r="L21">
            <v>11.814715259111084</v>
          </cell>
        </row>
        <row r="22">
          <cell r="A22" t="str">
            <v>A11</v>
          </cell>
          <cell r="E22">
            <v>6079</v>
          </cell>
          <cell r="F22">
            <v>0</v>
          </cell>
          <cell r="K22">
            <v>343</v>
          </cell>
          <cell r="L22">
            <v>126.6695838803109</v>
          </cell>
        </row>
        <row r="23">
          <cell r="A23" t="str">
            <v>A11</v>
          </cell>
          <cell r="E23">
            <v>1266</v>
          </cell>
          <cell r="F23">
            <v>0</v>
          </cell>
          <cell r="K23">
            <v>34</v>
          </cell>
          <cell r="L23">
            <v>26.379946239919985</v>
          </cell>
        </row>
        <row r="24">
          <cell r="A24" t="str">
            <v>A11 Total</v>
          </cell>
          <cell r="E24">
            <v>7912</v>
          </cell>
          <cell r="F24">
            <v>0</v>
          </cell>
          <cell r="K24">
            <v>377</v>
          </cell>
          <cell r="L24">
            <v>164.86424537934195</v>
          </cell>
        </row>
        <row r="25">
          <cell r="A25" t="str">
            <v>A20</v>
          </cell>
          <cell r="E25">
            <v>4853</v>
          </cell>
          <cell r="F25">
            <v>0</v>
          </cell>
          <cell r="K25">
            <v>302</v>
          </cell>
          <cell r="L25">
            <v>101.12312725302661</v>
          </cell>
        </row>
        <row r="26">
          <cell r="A26" t="str">
            <v>A20</v>
          </cell>
          <cell r="E26">
            <v>809</v>
          </cell>
          <cell r="F26">
            <v>0</v>
          </cell>
          <cell r="K26">
            <v>63</v>
          </cell>
          <cell r="L26">
            <v>16.857327415557084</v>
          </cell>
        </row>
        <row r="27">
          <cell r="A27" t="str">
            <v>A20</v>
          </cell>
          <cell r="E27">
            <v>2866</v>
          </cell>
          <cell r="F27">
            <v>0</v>
          </cell>
          <cell r="K27">
            <v>81</v>
          </cell>
          <cell r="L27">
            <v>59.719530745348088</v>
          </cell>
        </row>
        <row r="28">
          <cell r="A28" t="str">
            <v>A20</v>
          </cell>
          <cell r="E28">
            <v>4140</v>
          </cell>
          <cell r="F28">
            <v>0</v>
          </cell>
          <cell r="K28">
            <v>0</v>
          </cell>
          <cell r="L28">
            <v>86.266174907795218</v>
          </cell>
        </row>
        <row r="29">
          <cell r="A29" t="str">
            <v>A20</v>
          </cell>
          <cell r="E29">
            <v>43112</v>
          </cell>
          <cell r="F29">
            <v>0</v>
          </cell>
          <cell r="K29">
            <v>0</v>
          </cell>
          <cell r="L29">
            <v>898.33510449876019</v>
          </cell>
        </row>
        <row r="30">
          <cell r="A30" t="str">
            <v>A20</v>
          </cell>
          <cell r="E30">
            <v>34164</v>
          </cell>
          <cell r="F30">
            <v>0</v>
          </cell>
          <cell r="K30">
            <v>0</v>
          </cell>
          <cell r="L30">
            <v>711.88347815215354</v>
          </cell>
        </row>
        <row r="31">
          <cell r="A31" t="str">
            <v>A20 Total</v>
          </cell>
          <cell r="E31">
            <v>89944</v>
          </cell>
          <cell r="F31">
            <v>0</v>
          </cell>
          <cell r="K31">
            <v>446</v>
          </cell>
          <cell r="L31">
            <v>1874.1847429726408</v>
          </cell>
        </row>
        <row r="32">
          <cell r="A32" t="str">
            <v>A21</v>
          </cell>
          <cell r="E32">
            <v>243</v>
          </cell>
          <cell r="F32">
            <v>0</v>
          </cell>
          <cell r="K32">
            <v>2</v>
          </cell>
          <cell r="L32">
            <v>5.063449396761893</v>
          </cell>
        </row>
        <row r="33">
          <cell r="A33" t="str">
            <v>A21</v>
          </cell>
          <cell r="E33">
            <v>7070</v>
          </cell>
          <cell r="F33">
            <v>0</v>
          </cell>
          <cell r="K33">
            <v>351</v>
          </cell>
          <cell r="L33">
            <v>147.31928903336043</v>
          </cell>
        </row>
        <row r="34">
          <cell r="A34" t="str">
            <v>A21</v>
          </cell>
          <cell r="E34">
            <v>8407</v>
          </cell>
          <cell r="F34">
            <v>0</v>
          </cell>
          <cell r="K34">
            <v>163</v>
          </cell>
          <cell r="L34">
            <v>175.17867933570878</v>
          </cell>
        </row>
        <row r="35">
          <cell r="A35" t="str">
            <v>A21</v>
          </cell>
          <cell r="E35">
            <v>9766</v>
          </cell>
          <cell r="F35">
            <v>0</v>
          </cell>
          <cell r="K35">
            <v>121</v>
          </cell>
          <cell r="L35">
            <v>203.49648892500679</v>
          </cell>
        </row>
        <row r="36">
          <cell r="A36" t="str">
            <v>A21</v>
          </cell>
          <cell r="E36">
            <v>486</v>
          </cell>
          <cell r="F36">
            <v>0</v>
          </cell>
          <cell r="K36">
            <v>29</v>
          </cell>
          <cell r="L36">
            <v>10.126898793523786</v>
          </cell>
        </row>
        <row r="37">
          <cell r="A37" t="str">
            <v>A21</v>
          </cell>
          <cell r="E37">
            <v>2206</v>
          </cell>
          <cell r="F37">
            <v>0</v>
          </cell>
          <cell r="K37">
            <v>68</v>
          </cell>
          <cell r="L37">
            <v>45.966952136858993</v>
          </cell>
        </row>
        <row r="38">
          <cell r="A38" t="str">
            <v>A21</v>
          </cell>
          <cell r="E38">
            <v>245</v>
          </cell>
          <cell r="F38">
            <v>0</v>
          </cell>
          <cell r="K38">
            <v>57</v>
          </cell>
          <cell r="L38">
            <v>5.1051238773936785</v>
          </cell>
        </row>
        <row r="39">
          <cell r="A39" t="str">
            <v>A21</v>
          </cell>
          <cell r="E39">
            <v>2211</v>
          </cell>
          <cell r="F39">
            <v>0</v>
          </cell>
          <cell r="K39">
            <v>49</v>
          </cell>
          <cell r="L39">
            <v>46.071138338438459</v>
          </cell>
        </row>
        <row r="40">
          <cell r="A40" t="str">
            <v>A21</v>
          </cell>
          <cell r="E40">
            <v>2280</v>
          </cell>
          <cell r="F40">
            <v>0</v>
          </cell>
          <cell r="K40">
            <v>98</v>
          </cell>
          <cell r="L40">
            <v>47.508907920235046</v>
          </cell>
        </row>
        <row r="41">
          <cell r="A41" t="str">
            <v>A21</v>
          </cell>
          <cell r="E41">
            <v>3636</v>
          </cell>
          <cell r="F41">
            <v>0</v>
          </cell>
          <cell r="K41">
            <v>101</v>
          </cell>
          <cell r="L41">
            <v>75.764205788585357</v>
          </cell>
        </row>
        <row r="42">
          <cell r="A42" t="str">
            <v>A21</v>
          </cell>
          <cell r="E42">
            <v>202</v>
          </cell>
          <cell r="F42">
            <v>0</v>
          </cell>
          <cell r="K42">
            <v>58</v>
          </cell>
          <cell r="L42">
            <v>4.2091225438102979</v>
          </cell>
        </row>
        <row r="43">
          <cell r="A43" t="str">
            <v>A21 Total</v>
          </cell>
          <cell r="E43">
            <v>36752</v>
          </cell>
          <cell r="F43">
            <v>0</v>
          </cell>
          <cell r="K43">
            <v>1097</v>
          </cell>
          <cell r="L43">
            <v>765.81025608968355</v>
          </cell>
        </row>
        <row r="44">
          <cell r="A44" t="str">
            <v>A22</v>
          </cell>
          <cell r="E44">
            <v>47591</v>
          </cell>
          <cell r="F44">
            <v>0</v>
          </cell>
          <cell r="K44">
            <v>6158</v>
          </cell>
          <cell r="L44">
            <v>991.66510387364303</v>
          </cell>
        </row>
        <row r="45">
          <cell r="A45" t="str">
            <v>A22 Total</v>
          </cell>
          <cell r="E45">
            <v>47591</v>
          </cell>
          <cell r="F45">
            <v>0</v>
          </cell>
          <cell r="K45">
            <v>6158</v>
          </cell>
          <cell r="L45">
            <v>991.66510387364303</v>
          </cell>
        </row>
        <row r="46">
          <cell r="A46" t="str">
            <v>A23</v>
          </cell>
          <cell r="E46">
            <v>0</v>
          </cell>
          <cell r="F46">
            <v>0</v>
          </cell>
          <cell r="K46">
            <v>229</v>
          </cell>
          <cell r="L46">
            <v>0</v>
          </cell>
        </row>
        <row r="47">
          <cell r="A47" t="str">
            <v>A23 Total</v>
          </cell>
          <cell r="E47">
            <v>0</v>
          </cell>
          <cell r="F47">
            <v>0</v>
          </cell>
          <cell r="K47">
            <v>229</v>
          </cell>
          <cell r="L47">
            <v>0</v>
          </cell>
        </row>
        <row r="48">
          <cell r="A48" t="str">
            <v>A30</v>
          </cell>
          <cell r="E48">
            <v>95992</v>
          </cell>
          <cell r="F48">
            <v>0</v>
          </cell>
          <cell r="K48">
            <v>0</v>
          </cell>
          <cell r="L48">
            <v>2000.208372403159</v>
          </cell>
        </row>
        <row r="49">
          <cell r="A49" t="str">
            <v>A30</v>
          </cell>
          <cell r="E49">
            <v>55</v>
          </cell>
          <cell r="F49">
            <v>0</v>
          </cell>
          <cell r="K49">
            <v>2</v>
          </cell>
          <cell r="L49">
            <v>1.1460482173740909</v>
          </cell>
        </row>
        <row r="50">
          <cell r="A50" t="str">
            <v>A30 Total</v>
          </cell>
          <cell r="E50">
            <v>96047</v>
          </cell>
          <cell r="F50">
            <v>0</v>
          </cell>
          <cell r="K50">
            <v>2</v>
          </cell>
          <cell r="L50">
            <v>2001.3544206205331</v>
          </cell>
        </row>
        <row r="51">
          <cell r="A51" t="str">
            <v>A40</v>
          </cell>
          <cell r="E51">
            <v>1102</v>
          </cell>
          <cell r="F51">
            <v>0</v>
          </cell>
          <cell r="K51">
            <v>262</v>
          </cell>
          <cell r="L51">
            <v>22.962638828113604</v>
          </cell>
        </row>
        <row r="52">
          <cell r="A52" t="str">
            <v>A40</v>
          </cell>
          <cell r="E52">
            <v>121</v>
          </cell>
          <cell r="F52">
            <v>0</v>
          </cell>
          <cell r="K52">
            <v>21</v>
          </cell>
          <cell r="L52">
            <v>2.5213060782230001</v>
          </cell>
        </row>
        <row r="53">
          <cell r="A53" t="str">
            <v>A40</v>
          </cell>
          <cell r="E53">
            <v>243</v>
          </cell>
          <cell r="F53">
            <v>0</v>
          </cell>
          <cell r="K53">
            <v>7</v>
          </cell>
          <cell r="L53">
            <v>5.063449396761893</v>
          </cell>
        </row>
        <row r="54">
          <cell r="A54" t="str">
            <v>A40</v>
          </cell>
          <cell r="E54">
            <v>555</v>
          </cell>
          <cell r="F54">
            <v>0</v>
          </cell>
          <cell r="K54">
            <v>68</v>
          </cell>
          <cell r="L54">
            <v>11.564668375320373</v>
          </cell>
        </row>
        <row r="55">
          <cell r="A55" t="str">
            <v>A40</v>
          </cell>
          <cell r="E55">
            <v>1213</v>
          </cell>
          <cell r="F55">
            <v>0</v>
          </cell>
          <cell r="K55">
            <v>21</v>
          </cell>
          <cell r="L55">
            <v>25.275572503177678</v>
          </cell>
        </row>
        <row r="56">
          <cell r="A56" t="str">
            <v>A40</v>
          </cell>
          <cell r="E56">
            <v>150</v>
          </cell>
          <cell r="F56">
            <v>0</v>
          </cell>
          <cell r="K56">
            <v>0</v>
          </cell>
          <cell r="L56">
            <v>3.1255860473838846</v>
          </cell>
        </row>
        <row r="57">
          <cell r="A57" t="str">
            <v>A40</v>
          </cell>
          <cell r="E57">
            <v>4000</v>
          </cell>
          <cell r="F57">
            <v>0</v>
          </cell>
          <cell r="K57">
            <v>115</v>
          </cell>
          <cell r="L57">
            <v>83.34896126357026</v>
          </cell>
        </row>
        <row r="58">
          <cell r="A58" t="str">
            <v>A40 Total</v>
          </cell>
          <cell r="E58">
            <v>7384</v>
          </cell>
          <cell r="F58">
            <v>0</v>
          </cell>
          <cell r="K58">
            <v>494</v>
          </cell>
          <cell r="L58">
            <v>153.86218249255069</v>
          </cell>
        </row>
        <row r="59">
          <cell r="A59" t="str">
            <v>A41</v>
          </cell>
          <cell r="E59">
            <v>7884</v>
          </cell>
          <cell r="F59">
            <v>0</v>
          </cell>
          <cell r="K59">
            <v>0</v>
          </cell>
          <cell r="L59">
            <v>164.28080265049698</v>
          </cell>
        </row>
        <row r="60">
          <cell r="A60" t="str">
            <v>A41</v>
          </cell>
          <cell r="E60">
            <v>24288</v>
          </cell>
          <cell r="F60">
            <v>0</v>
          </cell>
          <cell r="K60">
            <v>0</v>
          </cell>
          <cell r="L60">
            <v>506.09489279239858</v>
          </cell>
        </row>
        <row r="61">
          <cell r="A61" t="str">
            <v>A41</v>
          </cell>
          <cell r="E61">
            <v>16313</v>
          </cell>
          <cell r="F61">
            <v>0</v>
          </cell>
          <cell r="K61">
            <v>0</v>
          </cell>
          <cell r="L61">
            <v>339.91790127315539</v>
          </cell>
        </row>
        <row r="62">
          <cell r="A62" t="str">
            <v>A41 Total</v>
          </cell>
          <cell r="E62">
            <v>48485</v>
          </cell>
          <cell r="F62">
            <v>0</v>
          </cell>
          <cell r="K62">
            <v>0</v>
          </cell>
          <cell r="L62">
            <v>1010.293596716051</v>
          </cell>
        </row>
        <row r="63">
          <cell r="A63" t="str">
            <v>B30</v>
          </cell>
          <cell r="E63">
            <v>1176677</v>
          </cell>
          <cell r="F63">
            <v>0</v>
          </cell>
          <cell r="K63">
            <v>1104</v>
          </cell>
          <cell r="L63">
            <v>24518.701423183513</v>
          </cell>
        </row>
        <row r="64">
          <cell r="A64" t="str">
            <v>B30 Total</v>
          </cell>
          <cell r="E64">
            <v>1176677</v>
          </cell>
          <cell r="F64">
            <v>0</v>
          </cell>
          <cell r="K64">
            <v>1104</v>
          </cell>
          <cell r="L64">
            <v>24518.701423183513</v>
          </cell>
        </row>
        <row r="65">
          <cell r="A65" t="str">
            <v>D30</v>
          </cell>
          <cell r="E65">
            <v>221581</v>
          </cell>
          <cell r="F65">
            <v>0</v>
          </cell>
          <cell r="K65">
            <v>0</v>
          </cell>
          <cell r="L65">
            <v>4617.1365464357905</v>
          </cell>
        </row>
        <row r="66">
          <cell r="A66" t="str">
            <v>D30 Total</v>
          </cell>
          <cell r="E66">
            <v>221581</v>
          </cell>
          <cell r="F66">
            <v>0</v>
          </cell>
          <cell r="K66">
            <v>0</v>
          </cell>
          <cell r="L66">
            <v>4617.1365464357905</v>
          </cell>
        </row>
        <row r="67">
          <cell r="A67" t="str">
            <v>E30</v>
          </cell>
          <cell r="E67">
            <v>5675</v>
          </cell>
          <cell r="F67">
            <v>0</v>
          </cell>
          <cell r="K67">
            <v>195</v>
          </cell>
          <cell r="L67">
            <v>118.25133879269029</v>
          </cell>
        </row>
        <row r="68">
          <cell r="A68" t="str">
            <v>E30</v>
          </cell>
          <cell r="E68">
            <v>18</v>
          </cell>
          <cell r="F68">
            <v>0</v>
          </cell>
          <cell r="K68">
            <v>3</v>
          </cell>
          <cell r="L68">
            <v>0.37507032568606613</v>
          </cell>
        </row>
        <row r="69">
          <cell r="A69" t="str">
            <v>E30 Total</v>
          </cell>
          <cell r="E69">
            <v>5693</v>
          </cell>
          <cell r="F69">
            <v>0</v>
          </cell>
          <cell r="K69">
            <v>198</v>
          </cell>
          <cell r="L69">
            <v>118.62640911837636</v>
          </cell>
        </row>
        <row r="70">
          <cell r="A70" t="str">
            <v>F60</v>
          </cell>
          <cell r="E70">
            <v>1374</v>
          </cell>
          <cell r="F70">
            <v>0</v>
          </cell>
          <cell r="K70">
            <v>537</v>
          </cell>
          <cell r="L70">
            <v>28.630368194036382</v>
          </cell>
        </row>
        <row r="71">
          <cell r="A71" t="str">
            <v>F60</v>
          </cell>
          <cell r="E71">
            <v>42163</v>
          </cell>
          <cell r="F71">
            <v>0</v>
          </cell>
          <cell r="K71">
            <v>260</v>
          </cell>
          <cell r="L71">
            <v>878.56056343897819</v>
          </cell>
        </row>
        <row r="72">
          <cell r="A72" t="str">
            <v>F60</v>
          </cell>
          <cell r="E72">
            <v>729</v>
          </cell>
          <cell r="F72">
            <v>0</v>
          </cell>
          <cell r="K72">
            <v>0</v>
          </cell>
          <cell r="L72">
            <v>15.190348190285679</v>
          </cell>
        </row>
      </sheetData>
      <sheetData sheetId="3">
        <row r="28">
          <cell r="K28">
            <v>-33827.5</v>
          </cell>
          <cell r="L28">
            <v>243249.50999999998</v>
          </cell>
        </row>
      </sheetData>
      <sheetData sheetId="4">
        <row r="36">
          <cell r="K36">
            <v>-84847.26</v>
          </cell>
          <cell r="L36">
            <v>761434.2</v>
          </cell>
        </row>
      </sheetData>
      <sheetData sheetId="5">
        <row r="3">
          <cell r="A3" t="str">
            <v>C10</v>
          </cell>
          <cell r="M3">
            <v>849999.63</v>
          </cell>
          <cell r="Q3">
            <v>5522.7056721460594</v>
          </cell>
        </row>
        <row r="4">
          <cell r="A4" t="str">
            <v>C10</v>
          </cell>
          <cell r="M4">
            <v>1461686.43</v>
          </cell>
          <cell r="Q4">
            <v>9497.0205314794366</v>
          </cell>
        </row>
        <row r="5">
          <cell r="A5" t="str">
            <v>C10 Total</v>
          </cell>
          <cell r="M5">
            <v>2311686.06</v>
          </cell>
          <cell r="Q5">
            <v>15019.726203625496</v>
          </cell>
        </row>
        <row r="6">
          <cell r="A6" t="str">
            <v>C20</v>
          </cell>
          <cell r="M6">
            <v>358966.64</v>
          </cell>
          <cell r="Q6">
            <v>2332.3152491715941</v>
          </cell>
        </row>
        <row r="7">
          <cell r="A7" t="str">
            <v>C20</v>
          </cell>
          <cell r="M7">
            <v>392668</v>
          </cell>
          <cell r="Q7">
            <v>2551.2832174647524</v>
          </cell>
        </row>
        <row r="8">
          <cell r="A8" t="str">
            <v>C20</v>
          </cell>
          <cell r="M8">
            <v>329876.46999999997</v>
          </cell>
          <cell r="Q8">
            <v>2143.3075823533231</v>
          </cell>
        </row>
        <row r="9">
          <cell r="A9" t="str">
            <v>C20</v>
          </cell>
          <cell r="M9">
            <v>26100</v>
          </cell>
          <cell r="Q9">
            <v>169.57962445585082</v>
          </cell>
        </row>
        <row r="10">
          <cell r="A10" t="str">
            <v>C20</v>
          </cell>
          <cell r="M10">
            <v>8985.2099999999991</v>
          </cell>
          <cell r="Q10">
            <v>58.379637450458056</v>
          </cell>
        </row>
        <row r="11">
          <cell r="A11" t="str">
            <v>C20</v>
          </cell>
          <cell r="M11">
            <v>915724.73</v>
          </cell>
          <cell r="Q11">
            <v>5949.7416022350726</v>
          </cell>
        </row>
        <row r="12">
          <cell r="A12" t="str">
            <v>C20</v>
          </cell>
          <cell r="M12">
            <v>2104220.67</v>
          </cell>
          <cell r="Q12">
            <v>13671.76057436164</v>
          </cell>
        </row>
        <row r="13">
          <cell r="A13" t="str">
            <v>C20</v>
          </cell>
          <cell r="M13">
            <v>194421.66</v>
          </cell>
          <cell r="Q13">
            <v>1263.2165551296212</v>
          </cell>
        </row>
        <row r="14">
          <cell r="A14" t="str">
            <v>C20</v>
          </cell>
          <cell r="M14">
            <v>471442</v>
          </cell>
          <cell r="Q14">
            <v>3063.1018127477096</v>
          </cell>
        </row>
        <row r="15">
          <cell r="A15" t="str">
            <v>C20</v>
          </cell>
          <cell r="M15">
            <v>58344</v>
          </cell>
          <cell r="Q15">
            <v>379.0786823468261</v>
          </cell>
        </row>
        <row r="16">
          <cell r="A16" t="str">
            <v>C20</v>
          </cell>
          <cell r="M16">
            <v>399996</v>
          </cell>
          <cell r="Q16">
            <v>2598.8954583847703</v>
          </cell>
        </row>
        <row r="17">
          <cell r="A17" t="str">
            <v>C20</v>
          </cell>
          <cell r="M17">
            <v>30000</v>
          </cell>
          <cell r="Q17">
            <v>194.91910856994349</v>
          </cell>
        </row>
        <row r="18">
          <cell r="A18" t="str">
            <v>C20</v>
          </cell>
          <cell r="M18">
            <v>58820</v>
          </cell>
          <cell r="Q18">
            <v>382.17139886946916</v>
          </cell>
        </row>
        <row r="19">
          <cell r="A19" t="str">
            <v>C20 Total</v>
          </cell>
          <cell r="M19">
            <v>5349565.38</v>
          </cell>
          <cell r="Q19">
            <v>34757.750503541029</v>
          </cell>
        </row>
        <row r="20">
          <cell r="A20" t="str">
            <v>C30</v>
          </cell>
          <cell r="M20">
            <v>1287565</v>
          </cell>
          <cell r="Q20">
            <v>8365.7007341953085</v>
          </cell>
        </row>
        <row r="21">
          <cell r="A21" t="str">
            <v>C30 Total</v>
          </cell>
          <cell r="M21">
            <v>1287565</v>
          </cell>
          <cell r="Q21">
            <v>8365.7007341953085</v>
          </cell>
        </row>
        <row r="22">
          <cell r="A22" t="str">
            <v>C40</v>
          </cell>
          <cell r="M22">
            <v>770411.33</v>
          </cell>
          <cell r="Q22">
            <v>5005.5963225261512</v>
          </cell>
        </row>
        <row r="23">
          <cell r="A23" t="str">
            <v>C40 Total</v>
          </cell>
          <cell r="M23">
            <v>770411.33</v>
          </cell>
          <cell r="Q23">
            <v>5005.5963225261512</v>
          </cell>
        </row>
        <row r="24">
          <cell r="A24" t="str">
            <v>C50</v>
          </cell>
          <cell r="M24">
            <v>335173.71999999997</v>
          </cell>
          <cell r="Q24">
            <v>2177.7254239490612</v>
          </cell>
        </row>
        <row r="25">
          <cell r="A25" t="str">
            <v>C50</v>
          </cell>
          <cell r="M25">
            <v>2614378.25</v>
          </cell>
          <cell r="Q25">
            <v>16986.409265154962</v>
          </cell>
        </row>
        <row r="26">
          <cell r="A26" t="str">
            <v>C50 Total</v>
          </cell>
          <cell r="M26">
            <v>2949551.9699999997</v>
          </cell>
          <cell r="Q26">
            <v>19164.134689104023</v>
          </cell>
        </row>
        <row r="27">
          <cell r="A27" t="str">
            <v>C70</v>
          </cell>
          <cell r="M27">
            <v>757189.56</v>
          </cell>
          <cell r="Q27">
            <v>4919.6904684555911</v>
          </cell>
        </row>
        <row r="28">
          <cell r="A28" t="str">
            <v>C70 Total</v>
          </cell>
          <cell r="M28">
            <v>757189.56</v>
          </cell>
          <cell r="Q28">
            <v>4919.6904684555911</v>
          </cell>
        </row>
        <row r="29">
          <cell r="A29" t="str">
            <v>C80</v>
          </cell>
          <cell r="M29">
            <v>187200</v>
          </cell>
          <cell r="Q29">
            <v>1216.2952374764473</v>
          </cell>
        </row>
        <row r="30">
          <cell r="A30" t="str">
            <v>C80 Total</v>
          </cell>
          <cell r="M30">
            <v>187200</v>
          </cell>
          <cell r="Q30">
            <v>1216.2952374764473</v>
          </cell>
        </row>
        <row r="31">
          <cell r="A31" t="str">
            <v>C90</v>
          </cell>
          <cell r="M31">
            <v>156390</v>
          </cell>
          <cell r="Q31">
            <v>1016.1133129751154</v>
          </cell>
        </row>
        <row r="32">
          <cell r="A32" t="str">
            <v>C90 Total</v>
          </cell>
          <cell r="M32">
            <v>156390</v>
          </cell>
          <cell r="Q32">
            <v>1016.1133129751154</v>
          </cell>
        </row>
        <row r="33">
          <cell r="A33" t="str">
            <v>C91</v>
          </cell>
          <cell r="M33">
            <v>913284.76</v>
          </cell>
          <cell r="Q33">
            <v>5933.8883763238255</v>
          </cell>
        </row>
      </sheetData>
      <sheetData sheetId="6">
        <row r="10">
          <cell r="J10">
            <v>781518.33</v>
          </cell>
          <cell r="M10">
            <v>5075.666038593984</v>
          </cell>
        </row>
      </sheetData>
      <sheetData sheetId="7">
        <row r="13">
          <cell r="D13">
            <v>7049155.8243681621</v>
          </cell>
          <cell r="E13">
            <v>8243421.1981960637</v>
          </cell>
        </row>
      </sheetData>
      <sheetData sheetId="8">
        <row r="79">
          <cell r="O79">
            <v>0.49693518777050483</v>
          </cell>
        </row>
      </sheetData>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UMH"/>
      <sheetName val="CC"/>
      <sheetName val="STC"/>
      <sheetName val="CORP"/>
    </sheetNames>
    <sheetDataSet>
      <sheetData sheetId="0" refreshError="1"/>
      <sheetData sheetId="1">
        <row r="976">
          <cell r="A976" t="str">
            <v>0167532</v>
          </cell>
          <cell r="B976" t="str">
            <v xml:space="preserve">  Transitional Rehab Center</v>
          </cell>
          <cell r="C976">
            <v>123</v>
          </cell>
          <cell r="E976" t="str">
            <v>D</v>
          </cell>
          <cell r="F976" t="str">
            <v xml:space="preserve"> </v>
          </cell>
          <cell r="G976" t="str">
            <v xml:space="preserve"> </v>
          </cell>
          <cell r="H976" t="str">
            <v>1INAC</v>
          </cell>
          <cell r="I976" t="str">
            <v>Zhang, Lingwei</v>
          </cell>
          <cell r="J976" t="str">
            <v>Walt Augustin</v>
          </cell>
          <cell r="L976" t="str">
            <v/>
          </cell>
          <cell r="M976" t="str">
            <v/>
          </cell>
          <cell r="N976" t="str">
            <v/>
          </cell>
          <cell r="O976" t="str">
            <v/>
          </cell>
          <cell r="P976" t="str">
            <v/>
          </cell>
          <cell r="Q976" t="str">
            <v/>
          </cell>
          <cell r="R976" t="str">
            <v>Augustin, W</v>
          </cell>
          <cell r="S976" t="str">
            <v/>
          </cell>
          <cell r="T976" t="str">
            <v>Franey, Hank</v>
          </cell>
          <cell r="U976" t="str">
            <v>Schimpff, Stephen</v>
          </cell>
          <cell r="V976" t="str">
            <v>Ashworth, John</v>
          </cell>
          <cell r="W976" t="str">
            <v>Inactive</v>
          </cell>
        </row>
        <row r="977">
          <cell r="A977" t="str">
            <v>0168212</v>
          </cell>
          <cell r="B977" t="str">
            <v xml:space="preserve">  Joslin at Shipleys</v>
          </cell>
          <cell r="C977">
            <v>128</v>
          </cell>
          <cell r="E977" t="str">
            <v>D</v>
          </cell>
          <cell r="F977" t="str">
            <v xml:space="preserve"> </v>
          </cell>
          <cell r="G977" t="str">
            <v xml:space="preserve"> </v>
          </cell>
          <cell r="H977" t="str">
            <v>1INAC</v>
          </cell>
          <cell r="I977" t="str">
            <v>Zhang, Lingwei</v>
          </cell>
          <cell r="J977" t="str">
            <v>Walt Augustin</v>
          </cell>
          <cell r="L977" t="str">
            <v/>
          </cell>
          <cell r="M977" t="str">
            <v/>
          </cell>
          <cell r="N977" t="str">
            <v/>
          </cell>
          <cell r="O977" t="str">
            <v/>
          </cell>
          <cell r="P977" t="str">
            <v/>
          </cell>
          <cell r="Q977" t="str">
            <v/>
          </cell>
          <cell r="R977" t="str">
            <v>Augustin, W</v>
          </cell>
          <cell r="S977" t="str">
            <v/>
          </cell>
          <cell r="T977" t="str">
            <v>Franey, Hank</v>
          </cell>
          <cell r="U977" t="str">
            <v>Schimpff, Stephen</v>
          </cell>
          <cell r="V977" t="str">
            <v>Ashworth, John</v>
          </cell>
          <cell r="W977" t="str">
            <v>Inactive</v>
          </cell>
        </row>
        <row r="978">
          <cell r="A978" t="str">
            <v>0176027</v>
          </cell>
          <cell r="B978" t="str">
            <v xml:space="preserve">  SRGN Acute 10 South</v>
          </cell>
          <cell r="C978">
            <v>146</v>
          </cell>
          <cell r="E978" t="str">
            <v>D</v>
          </cell>
          <cell r="F978" t="str">
            <v xml:space="preserve"> </v>
          </cell>
          <cell r="G978" t="str">
            <v xml:space="preserve"> </v>
          </cell>
          <cell r="H978" t="str">
            <v>1INAC</v>
          </cell>
          <cell r="I978" t="str">
            <v>Zhang, Lingwei</v>
          </cell>
          <cell r="J978" t="str">
            <v>Walt Augustin</v>
          </cell>
          <cell r="L978" t="str">
            <v/>
          </cell>
          <cell r="M978" t="str">
            <v/>
          </cell>
          <cell r="N978" t="str">
            <v/>
          </cell>
          <cell r="O978" t="str">
            <v/>
          </cell>
          <cell r="P978" t="str">
            <v/>
          </cell>
          <cell r="Q978" t="str">
            <v/>
          </cell>
          <cell r="R978" t="str">
            <v>Augustin, W</v>
          </cell>
          <cell r="S978" t="str">
            <v/>
          </cell>
          <cell r="T978" t="str">
            <v>Franey, Hank</v>
          </cell>
          <cell r="U978" t="str">
            <v>Schimpff, Stephen</v>
          </cell>
          <cell r="V978" t="str">
            <v>Ashworth, John</v>
          </cell>
          <cell r="W978" t="str">
            <v>Inactive</v>
          </cell>
        </row>
        <row r="979">
          <cell r="A979" t="str">
            <v>0176053</v>
          </cell>
          <cell r="B979" t="str">
            <v xml:space="preserve">  SRGN SICU/SD GUD 4W</v>
          </cell>
          <cell r="C979">
            <v>147</v>
          </cell>
          <cell r="E979" t="str">
            <v>D</v>
          </cell>
          <cell r="F979" t="str">
            <v xml:space="preserve"> </v>
          </cell>
          <cell r="G979" t="str">
            <v xml:space="preserve"> </v>
          </cell>
          <cell r="H979" t="str">
            <v>1INAC</v>
          </cell>
          <cell r="I979" t="str">
            <v>Zhang, Lingwei</v>
          </cell>
          <cell r="J979" t="str">
            <v>Walt Augustin</v>
          </cell>
          <cell r="L979" t="str">
            <v/>
          </cell>
          <cell r="M979" t="str">
            <v/>
          </cell>
          <cell r="N979" t="str">
            <v/>
          </cell>
          <cell r="O979" t="str">
            <v/>
          </cell>
          <cell r="P979" t="str">
            <v/>
          </cell>
          <cell r="Q979" t="str">
            <v/>
          </cell>
          <cell r="R979" t="str">
            <v>Augustin, W</v>
          </cell>
          <cell r="S979" t="str">
            <v/>
          </cell>
          <cell r="T979" t="str">
            <v>Franey, Hank</v>
          </cell>
          <cell r="U979" t="str">
            <v>Schimpff, Stephen</v>
          </cell>
          <cell r="V979" t="str">
            <v>Ashworth, John</v>
          </cell>
          <cell r="W979" t="str">
            <v>Inactive</v>
          </cell>
        </row>
        <row r="980">
          <cell r="A980" t="str">
            <v>0176105</v>
          </cell>
          <cell r="B980" t="str">
            <v xml:space="preserve">  Peds GI Clinic</v>
          </cell>
          <cell r="C980">
            <v>149</v>
          </cell>
          <cell r="E980" t="str">
            <v>D</v>
          </cell>
          <cell r="F980" t="str">
            <v xml:space="preserve"> </v>
          </cell>
          <cell r="G980" t="str">
            <v xml:space="preserve"> </v>
          </cell>
          <cell r="H980" t="str">
            <v>1INAC</v>
          </cell>
          <cell r="I980" t="str">
            <v>Zhang, Lingwei</v>
          </cell>
          <cell r="J980" t="str">
            <v>Walt Augustin</v>
          </cell>
          <cell r="L980" t="str">
            <v/>
          </cell>
          <cell r="M980" t="str">
            <v/>
          </cell>
          <cell r="N980" t="str">
            <v/>
          </cell>
          <cell r="O980" t="str">
            <v/>
          </cell>
          <cell r="P980" t="str">
            <v>Hernandez, Alexis</v>
          </cell>
          <cell r="Q980" t="str">
            <v/>
          </cell>
          <cell r="R980" t="str">
            <v>Augustin, W</v>
          </cell>
          <cell r="S980" t="str">
            <v/>
          </cell>
          <cell r="T980" t="str">
            <v>Franey, Hank</v>
          </cell>
          <cell r="U980" t="str">
            <v>Schimpff, Stephen</v>
          </cell>
          <cell r="V980" t="str">
            <v>Ashworth, John</v>
          </cell>
          <cell r="W980" t="str">
            <v>Inactive</v>
          </cell>
        </row>
        <row r="981">
          <cell r="A981" t="str">
            <v>0176270</v>
          </cell>
          <cell r="B981" t="str">
            <v xml:space="preserve">  SRGN Step Down</v>
          </cell>
          <cell r="C981">
            <v>169</v>
          </cell>
          <cell r="E981" t="str">
            <v>D</v>
          </cell>
          <cell r="F981" t="str">
            <v xml:space="preserve"> </v>
          </cell>
          <cell r="G981" t="str">
            <v xml:space="preserve"> </v>
          </cell>
          <cell r="H981" t="str">
            <v>1INAC</v>
          </cell>
          <cell r="I981" t="str">
            <v>Zhang, Lingwei</v>
          </cell>
          <cell r="J981" t="str">
            <v>Walt Augustin</v>
          </cell>
          <cell r="L981" t="str">
            <v/>
          </cell>
          <cell r="M981" t="str">
            <v/>
          </cell>
          <cell r="N981" t="str">
            <v/>
          </cell>
          <cell r="O981" t="str">
            <v/>
          </cell>
          <cell r="P981" t="str">
            <v/>
          </cell>
          <cell r="Q981" t="str">
            <v/>
          </cell>
          <cell r="R981" t="str">
            <v>Augustin, W</v>
          </cell>
          <cell r="S981" t="str">
            <v/>
          </cell>
          <cell r="T981" t="str">
            <v>Franey, Hank</v>
          </cell>
          <cell r="U981" t="str">
            <v>Schimpff, Stephen</v>
          </cell>
          <cell r="V981" t="str">
            <v>Ashworth, John</v>
          </cell>
          <cell r="W981" t="str">
            <v>Inactive</v>
          </cell>
        </row>
        <row r="982">
          <cell r="A982" t="str">
            <v>0176357</v>
          </cell>
          <cell r="B982" t="str">
            <v xml:space="preserve">  PEDN PICU Step Down</v>
          </cell>
          <cell r="C982">
            <v>171</v>
          </cell>
          <cell r="E982" t="str">
            <v>D</v>
          </cell>
          <cell r="F982" t="str">
            <v xml:space="preserve"> </v>
          </cell>
          <cell r="G982" t="str">
            <v xml:space="preserve"> </v>
          </cell>
          <cell r="H982" t="str">
            <v>1INAC</v>
          </cell>
          <cell r="I982" t="str">
            <v>Zhang, Lingwei</v>
          </cell>
          <cell r="J982" t="str">
            <v>Walt Augustin</v>
          </cell>
          <cell r="L982" t="str">
            <v/>
          </cell>
          <cell r="M982" t="str">
            <v/>
          </cell>
          <cell r="N982" t="str">
            <v/>
          </cell>
          <cell r="O982" t="str">
            <v/>
          </cell>
          <cell r="P982" t="str">
            <v/>
          </cell>
          <cell r="Q982" t="str">
            <v/>
          </cell>
          <cell r="R982" t="str">
            <v>Augustin, W</v>
          </cell>
          <cell r="S982" t="str">
            <v/>
          </cell>
          <cell r="T982" t="str">
            <v>Franey, Hank</v>
          </cell>
          <cell r="U982" t="str">
            <v>Schimpff, Stephen</v>
          </cell>
          <cell r="V982" t="str">
            <v>Ashworth, John</v>
          </cell>
          <cell r="W982" t="str">
            <v>Inactive</v>
          </cell>
        </row>
        <row r="983">
          <cell r="A983" t="str">
            <v>0176513</v>
          </cell>
          <cell r="B983" t="str">
            <v xml:space="preserve">  PEDN Transport</v>
          </cell>
          <cell r="C983">
            <v>173</v>
          </cell>
          <cell r="E983" t="str">
            <v>D</v>
          </cell>
          <cell r="F983" t="str">
            <v xml:space="preserve"> </v>
          </cell>
          <cell r="G983" t="str">
            <v xml:space="preserve"> </v>
          </cell>
          <cell r="H983" t="str">
            <v>1INAC</v>
          </cell>
          <cell r="I983" t="str">
            <v>Zhang, Lingwei</v>
          </cell>
          <cell r="J983" t="str">
            <v>Walt Augustin</v>
          </cell>
          <cell r="L983" t="str">
            <v/>
          </cell>
          <cell r="M983" t="str">
            <v/>
          </cell>
          <cell r="N983" t="str">
            <v/>
          </cell>
          <cell r="O983" t="str">
            <v/>
          </cell>
          <cell r="P983" t="str">
            <v/>
          </cell>
          <cell r="Q983" t="str">
            <v/>
          </cell>
          <cell r="R983" t="str">
            <v>Augustin, W</v>
          </cell>
          <cell r="S983" t="str">
            <v/>
          </cell>
          <cell r="T983" t="str">
            <v>Franey, Hank</v>
          </cell>
          <cell r="U983" t="str">
            <v>Schimpff, Stephen</v>
          </cell>
          <cell r="V983" t="str">
            <v>Ashworth, John</v>
          </cell>
          <cell r="W983" t="str">
            <v>Inactive</v>
          </cell>
        </row>
        <row r="984">
          <cell r="A984" t="str">
            <v>0177241</v>
          </cell>
          <cell r="B984" t="str">
            <v xml:space="preserve">  LABA Neuropathology</v>
          </cell>
          <cell r="C984">
            <v>227</v>
          </cell>
          <cell r="E984" t="str">
            <v>D</v>
          </cell>
          <cell r="F984" t="str">
            <v xml:space="preserve"> </v>
          </cell>
          <cell r="G984" t="str">
            <v xml:space="preserve"> </v>
          </cell>
          <cell r="H984" t="str">
            <v>1INAC</v>
          </cell>
          <cell r="I984" t="str">
            <v>Zhang, Lingwei</v>
          </cell>
          <cell r="J984" t="str">
            <v>Walt Augustin</v>
          </cell>
          <cell r="L984" t="str">
            <v/>
          </cell>
          <cell r="M984" t="str">
            <v/>
          </cell>
          <cell r="N984" t="str">
            <v/>
          </cell>
          <cell r="O984" t="str">
            <v/>
          </cell>
          <cell r="P984" t="str">
            <v/>
          </cell>
          <cell r="Q984" t="str">
            <v/>
          </cell>
          <cell r="R984" t="str">
            <v>Augustin, W</v>
          </cell>
          <cell r="S984" t="str">
            <v/>
          </cell>
          <cell r="T984" t="str">
            <v>Franey, Hank</v>
          </cell>
          <cell r="U984" t="str">
            <v>Schimpff, Stephen</v>
          </cell>
          <cell r="V984" t="str">
            <v>Ashworth, John</v>
          </cell>
          <cell r="W984" t="str">
            <v>Inactive</v>
          </cell>
        </row>
        <row r="985">
          <cell r="A985" t="str">
            <v>0177329</v>
          </cell>
          <cell r="B985" t="str">
            <v xml:space="preserve">  Rad Peds Card Cath</v>
          </cell>
          <cell r="C985">
            <v>238</v>
          </cell>
          <cell r="E985" t="str">
            <v>D</v>
          </cell>
          <cell r="F985" t="str">
            <v xml:space="preserve"> </v>
          </cell>
          <cell r="G985" t="str">
            <v xml:space="preserve"> </v>
          </cell>
          <cell r="H985" t="str">
            <v>1INAC</v>
          </cell>
          <cell r="I985" t="str">
            <v>Zhang, Lingwei</v>
          </cell>
          <cell r="J985" t="str">
            <v>Walt Augustin</v>
          </cell>
          <cell r="L985" t="str">
            <v/>
          </cell>
          <cell r="M985" t="str">
            <v/>
          </cell>
          <cell r="N985" t="str">
            <v/>
          </cell>
          <cell r="O985" t="str">
            <v/>
          </cell>
          <cell r="P985" t="str">
            <v/>
          </cell>
          <cell r="Q985" t="str">
            <v/>
          </cell>
          <cell r="R985" t="str">
            <v>Augustin, W</v>
          </cell>
          <cell r="S985" t="str">
            <v/>
          </cell>
          <cell r="T985" t="str">
            <v>Franey, Hank</v>
          </cell>
          <cell r="U985" t="str">
            <v>Schimpff, Stephen</v>
          </cell>
          <cell r="V985" t="str">
            <v>Ashworth, John</v>
          </cell>
          <cell r="W985" t="str">
            <v>Inactive</v>
          </cell>
        </row>
        <row r="986">
          <cell r="A986" t="str">
            <v>0177600</v>
          </cell>
          <cell r="B986" t="str">
            <v xml:space="preserve">  Dermatology</v>
          </cell>
          <cell r="C986">
            <v>252</v>
          </cell>
          <cell r="E986" t="str">
            <v>D</v>
          </cell>
          <cell r="F986" t="str">
            <v xml:space="preserve"> </v>
          </cell>
          <cell r="G986" t="str">
            <v xml:space="preserve"> </v>
          </cell>
          <cell r="H986" t="str">
            <v>1INAC</v>
          </cell>
          <cell r="I986" t="str">
            <v>Zhang, Lingwei</v>
          </cell>
          <cell r="J986" t="str">
            <v>Walt Augustin</v>
          </cell>
          <cell r="L986" t="str">
            <v/>
          </cell>
          <cell r="M986" t="str">
            <v/>
          </cell>
          <cell r="N986" t="str">
            <v/>
          </cell>
          <cell r="O986" t="str">
            <v/>
          </cell>
          <cell r="P986" t="str">
            <v/>
          </cell>
          <cell r="Q986" t="str">
            <v/>
          </cell>
          <cell r="R986" t="str">
            <v>Augustin, W</v>
          </cell>
          <cell r="S986" t="str">
            <v/>
          </cell>
          <cell r="T986" t="str">
            <v>Franey, Hank</v>
          </cell>
          <cell r="U986" t="str">
            <v>Schimpff, Stephen</v>
          </cell>
          <cell r="V986" t="str">
            <v>Ashworth, John</v>
          </cell>
          <cell r="W986" t="str">
            <v>Inactive</v>
          </cell>
        </row>
        <row r="987">
          <cell r="A987" t="str">
            <v>0178608</v>
          </cell>
          <cell r="B987" t="str">
            <v xml:space="preserve">  Post Acute Services Administration</v>
          </cell>
          <cell r="C987">
            <v>292</v>
          </cell>
          <cell r="E987" t="str">
            <v>D</v>
          </cell>
          <cell r="F987" t="str">
            <v xml:space="preserve"> </v>
          </cell>
          <cell r="G987" t="str">
            <v xml:space="preserve"> </v>
          </cell>
          <cell r="H987" t="str">
            <v>1INAC</v>
          </cell>
          <cell r="I987" t="str">
            <v>Zhang, Lingwei</v>
          </cell>
          <cell r="J987" t="str">
            <v>Walt Augustin</v>
          </cell>
          <cell r="L987" t="str">
            <v/>
          </cell>
          <cell r="M987" t="str">
            <v/>
          </cell>
          <cell r="N987" t="str">
            <v/>
          </cell>
          <cell r="O987" t="str">
            <v/>
          </cell>
          <cell r="P987" t="str">
            <v/>
          </cell>
          <cell r="Q987" t="str">
            <v/>
          </cell>
          <cell r="R987" t="str">
            <v>Augustin, W</v>
          </cell>
          <cell r="S987" t="str">
            <v/>
          </cell>
          <cell r="T987" t="str">
            <v>Franey, Hank</v>
          </cell>
          <cell r="U987" t="str">
            <v>Schimpff, Stephen</v>
          </cell>
          <cell r="V987" t="str">
            <v>Ashworth, John</v>
          </cell>
          <cell r="W987" t="str">
            <v>Inactive</v>
          </cell>
        </row>
        <row r="988">
          <cell r="A988" t="str">
            <v>0178740</v>
          </cell>
          <cell r="B988" t="str">
            <v xml:space="preserve">  Administration </v>
          </cell>
          <cell r="C988">
            <v>313</v>
          </cell>
          <cell r="E988" t="str">
            <v>D</v>
          </cell>
          <cell r="F988" t="str">
            <v xml:space="preserve"> </v>
          </cell>
          <cell r="G988" t="str">
            <v xml:space="preserve"> </v>
          </cell>
          <cell r="H988" t="str">
            <v>1INAC</v>
          </cell>
          <cell r="I988" t="str">
            <v>Zhang, Lingwei</v>
          </cell>
          <cell r="J988" t="str">
            <v>Walt Augustin</v>
          </cell>
          <cell r="L988" t="str">
            <v/>
          </cell>
          <cell r="M988" t="str">
            <v/>
          </cell>
          <cell r="N988" t="str">
            <v/>
          </cell>
          <cell r="O988" t="str">
            <v/>
          </cell>
          <cell r="P988" t="str">
            <v/>
          </cell>
          <cell r="Q988" t="str">
            <v/>
          </cell>
          <cell r="R988" t="str">
            <v>Augustin, W</v>
          </cell>
          <cell r="S988" t="str">
            <v/>
          </cell>
          <cell r="T988" t="str">
            <v>Franey, Hank</v>
          </cell>
          <cell r="U988" t="str">
            <v>Schimpff, Stephen</v>
          </cell>
          <cell r="V988" t="str">
            <v>Ashworth, John</v>
          </cell>
          <cell r="W988" t="str">
            <v>Inactive</v>
          </cell>
        </row>
        <row r="989">
          <cell r="A989" t="str">
            <v>0178769</v>
          </cell>
          <cell r="B989" t="str">
            <v xml:space="preserve">  Perioperative Nursing Plan Reduction</v>
          </cell>
          <cell r="C989">
            <v>327</v>
          </cell>
          <cell r="E989" t="str">
            <v>D</v>
          </cell>
          <cell r="F989" t="str">
            <v xml:space="preserve"> </v>
          </cell>
          <cell r="G989" t="str">
            <v xml:space="preserve"> </v>
          </cell>
          <cell r="H989" t="str">
            <v>1INAC</v>
          </cell>
          <cell r="I989" t="str">
            <v>Zhang, Lingwei</v>
          </cell>
          <cell r="J989" t="str">
            <v>Walt Augustin</v>
          </cell>
          <cell r="L989" t="str">
            <v/>
          </cell>
          <cell r="M989" t="str">
            <v/>
          </cell>
          <cell r="N989" t="str">
            <v/>
          </cell>
          <cell r="O989" t="str">
            <v/>
          </cell>
          <cell r="P989" t="str">
            <v/>
          </cell>
          <cell r="Q989" t="str">
            <v/>
          </cell>
          <cell r="R989" t="str">
            <v>Augustin, W</v>
          </cell>
          <cell r="S989" t="str">
            <v/>
          </cell>
          <cell r="T989" t="str">
            <v>Franey, Hank</v>
          </cell>
          <cell r="U989" t="str">
            <v>Schimpff, Stephen</v>
          </cell>
          <cell r="V989" t="str">
            <v>Ashworth, John</v>
          </cell>
          <cell r="W989" t="str">
            <v>Inactive</v>
          </cell>
        </row>
        <row r="990">
          <cell r="A990" t="str">
            <v>0178770</v>
          </cell>
          <cell r="B990" t="str">
            <v xml:space="preserve">  Neuro Care Plan Reduction</v>
          </cell>
          <cell r="C990">
            <v>328</v>
          </cell>
          <cell r="E990" t="str">
            <v>D</v>
          </cell>
          <cell r="F990" t="str">
            <v xml:space="preserve"> </v>
          </cell>
          <cell r="G990" t="str">
            <v xml:space="preserve"> </v>
          </cell>
          <cell r="H990" t="str">
            <v>1INAC</v>
          </cell>
          <cell r="I990" t="str">
            <v>Zhang, Lingwei</v>
          </cell>
          <cell r="J990" t="str">
            <v>Walt Augustin</v>
          </cell>
          <cell r="L990" t="str">
            <v/>
          </cell>
          <cell r="M990" t="str">
            <v/>
          </cell>
          <cell r="N990" t="str">
            <v/>
          </cell>
          <cell r="O990" t="str">
            <v/>
          </cell>
          <cell r="P990" t="str">
            <v/>
          </cell>
          <cell r="Q990" t="str">
            <v/>
          </cell>
          <cell r="R990" t="str">
            <v>Augustin, W</v>
          </cell>
          <cell r="S990" t="str">
            <v/>
          </cell>
          <cell r="T990" t="str">
            <v>Franey, Hank</v>
          </cell>
          <cell r="U990" t="str">
            <v>Schimpff, Stephen</v>
          </cell>
          <cell r="V990" t="str">
            <v>Ashworth, John</v>
          </cell>
          <cell r="W990" t="str">
            <v>Inactive</v>
          </cell>
        </row>
        <row r="991">
          <cell r="A991" t="str">
            <v>0188414</v>
          </cell>
          <cell r="B991" t="str">
            <v xml:space="preserve">  FAC Building Systems</v>
          </cell>
          <cell r="C991">
            <v>354</v>
          </cell>
          <cell r="E991" t="str">
            <v>D</v>
          </cell>
          <cell r="F991" t="str">
            <v xml:space="preserve"> </v>
          </cell>
          <cell r="G991" t="str">
            <v xml:space="preserve"> </v>
          </cell>
          <cell r="H991" t="str">
            <v>1INAC</v>
          </cell>
          <cell r="I991" t="str">
            <v>Zhang, Lingwei</v>
          </cell>
          <cell r="J991" t="str">
            <v>Walt Augustin</v>
          </cell>
          <cell r="L991" t="str">
            <v/>
          </cell>
          <cell r="M991" t="str">
            <v/>
          </cell>
          <cell r="N991" t="str">
            <v/>
          </cell>
          <cell r="O991" t="str">
            <v/>
          </cell>
          <cell r="P991" t="str">
            <v/>
          </cell>
          <cell r="Q991" t="str">
            <v/>
          </cell>
          <cell r="R991" t="str">
            <v>Augustin, W</v>
          </cell>
          <cell r="S991" t="str">
            <v/>
          </cell>
          <cell r="T991" t="str">
            <v>Franey, Hank</v>
          </cell>
          <cell r="U991" t="str">
            <v>Schimpff, Stephen</v>
          </cell>
          <cell r="V991" t="str">
            <v>Ashworth, John</v>
          </cell>
          <cell r="W991" t="str">
            <v>Inactive</v>
          </cell>
        </row>
        <row r="992">
          <cell r="A992" t="str">
            <v>0188517</v>
          </cell>
          <cell r="B992" t="str">
            <v xml:space="preserve">  Finance Admin Adj</v>
          </cell>
          <cell r="C992">
            <v>417</v>
          </cell>
          <cell r="F992" t="str">
            <v xml:space="preserve"> </v>
          </cell>
          <cell r="G992" t="str">
            <v xml:space="preserve"> </v>
          </cell>
          <cell r="H992" t="str">
            <v>1INAC</v>
          </cell>
          <cell r="I992" t="str">
            <v>Zhang, Lingwei</v>
          </cell>
          <cell r="J992" t="str">
            <v>Walt Augustin</v>
          </cell>
          <cell r="L992" t="str">
            <v/>
          </cell>
          <cell r="M992" t="str">
            <v/>
          </cell>
          <cell r="N992" t="str">
            <v/>
          </cell>
          <cell r="O992" t="str">
            <v/>
          </cell>
          <cell r="P992" t="str">
            <v/>
          </cell>
          <cell r="Q992" t="str">
            <v/>
          </cell>
          <cell r="R992" t="str">
            <v>Augustin, W</v>
          </cell>
          <cell r="S992" t="str">
            <v/>
          </cell>
          <cell r="T992" t="str">
            <v>Franey, Hank</v>
          </cell>
          <cell r="U992" t="str">
            <v>Schimpff, Stephen</v>
          </cell>
          <cell r="V992" t="str">
            <v>Ashworth, John</v>
          </cell>
          <cell r="W992" t="str">
            <v>Inactive</v>
          </cell>
        </row>
        <row r="993">
          <cell r="A993" t="str">
            <v>0188519</v>
          </cell>
          <cell r="B993" t="str">
            <v xml:space="preserve">  Shipley's PT</v>
          </cell>
          <cell r="C993">
            <v>419</v>
          </cell>
          <cell r="E993" t="str">
            <v>D</v>
          </cell>
          <cell r="F993" t="str">
            <v xml:space="preserve"> </v>
          </cell>
          <cell r="G993" t="str">
            <v xml:space="preserve"> </v>
          </cell>
          <cell r="H993" t="str">
            <v>1INAC</v>
          </cell>
          <cell r="I993" t="str">
            <v>Zhang, Lingwei</v>
          </cell>
          <cell r="J993" t="str">
            <v>Walt Augustin</v>
          </cell>
          <cell r="L993" t="str">
            <v/>
          </cell>
          <cell r="M993" t="str">
            <v/>
          </cell>
          <cell r="N993" t="str">
            <v/>
          </cell>
          <cell r="O993" t="str">
            <v/>
          </cell>
          <cell r="P993" t="str">
            <v/>
          </cell>
          <cell r="Q993" t="str">
            <v/>
          </cell>
          <cell r="R993" t="str">
            <v>Augustin, W</v>
          </cell>
          <cell r="S993" t="str">
            <v/>
          </cell>
          <cell r="T993" t="str">
            <v>Franey, Hank</v>
          </cell>
          <cell r="U993" t="str">
            <v>Schimpff, Stephen</v>
          </cell>
          <cell r="V993" t="str">
            <v>Ashworth, John</v>
          </cell>
          <cell r="W993" t="str">
            <v>Inactive</v>
          </cell>
        </row>
        <row r="994">
          <cell r="A994" t="str">
            <v>0188531</v>
          </cell>
          <cell r="B994" t="str">
            <v xml:space="preserve">  Business Practices Management</v>
          </cell>
          <cell r="C994">
            <v>431</v>
          </cell>
          <cell r="E994" t="str">
            <v>D</v>
          </cell>
          <cell r="F994" t="str">
            <v xml:space="preserve"> </v>
          </cell>
          <cell r="G994" t="str">
            <v xml:space="preserve"> </v>
          </cell>
          <cell r="H994" t="str">
            <v>1INAC</v>
          </cell>
          <cell r="I994" t="str">
            <v>Zhang, Lingwei</v>
          </cell>
          <cell r="J994" t="str">
            <v>Walt Augustin</v>
          </cell>
          <cell r="L994" t="str">
            <v/>
          </cell>
          <cell r="M994" t="str">
            <v/>
          </cell>
          <cell r="N994" t="str">
            <v/>
          </cell>
          <cell r="O994" t="str">
            <v/>
          </cell>
          <cell r="P994" t="str">
            <v/>
          </cell>
          <cell r="Q994" t="str">
            <v/>
          </cell>
          <cell r="R994" t="str">
            <v>Augustin, W</v>
          </cell>
          <cell r="S994" t="str">
            <v/>
          </cell>
          <cell r="T994" t="str">
            <v>Franey, Hank</v>
          </cell>
          <cell r="U994" t="str">
            <v>Schimpff, Stephen</v>
          </cell>
          <cell r="V994" t="str">
            <v>Ashworth, John</v>
          </cell>
          <cell r="W994" t="str">
            <v>Inactive</v>
          </cell>
        </row>
        <row r="995">
          <cell r="A995" t="str">
            <v>0188601</v>
          </cell>
          <cell r="B995" t="str">
            <v xml:space="preserve">  Corporate Rehabilitation</v>
          </cell>
          <cell r="C995">
            <v>444</v>
          </cell>
          <cell r="E995" t="str">
            <v>D</v>
          </cell>
          <cell r="F995" t="str">
            <v xml:space="preserve"> </v>
          </cell>
          <cell r="G995" t="str">
            <v xml:space="preserve"> </v>
          </cell>
          <cell r="H995" t="str">
            <v>1INAC</v>
          </cell>
          <cell r="I995" t="str">
            <v>Zhang, Lingwei</v>
          </cell>
          <cell r="J995" t="str">
            <v>Walt Augustin</v>
          </cell>
          <cell r="L995" t="str">
            <v/>
          </cell>
          <cell r="M995" t="str">
            <v/>
          </cell>
          <cell r="N995" t="str">
            <v/>
          </cell>
          <cell r="O995" t="str">
            <v/>
          </cell>
          <cell r="P995" t="str">
            <v/>
          </cell>
          <cell r="Q995" t="str">
            <v/>
          </cell>
          <cell r="R995" t="str">
            <v>Augustin, W</v>
          </cell>
          <cell r="S995" t="str">
            <v/>
          </cell>
          <cell r="T995" t="str">
            <v>Franey, Hank</v>
          </cell>
          <cell r="U995" t="str">
            <v>Schimpff, Stephen</v>
          </cell>
          <cell r="V995" t="str">
            <v>Ashworth, John</v>
          </cell>
          <cell r="W995" t="str">
            <v>Inactive</v>
          </cell>
        </row>
        <row r="996">
          <cell r="A996" t="str">
            <v>0188602</v>
          </cell>
          <cell r="B996" t="str">
            <v xml:space="preserve">  PLNA Strategic Development</v>
          </cell>
          <cell r="C996">
            <v>445</v>
          </cell>
          <cell r="E996" t="str">
            <v>D</v>
          </cell>
          <cell r="F996" t="str">
            <v xml:space="preserve"> </v>
          </cell>
          <cell r="G996" t="str">
            <v xml:space="preserve"> </v>
          </cell>
          <cell r="H996" t="str">
            <v>1INAC</v>
          </cell>
          <cell r="I996" t="str">
            <v>Zhang, Lingwei</v>
          </cell>
          <cell r="J996" t="str">
            <v>Walt Augustin</v>
          </cell>
          <cell r="L996" t="str">
            <v/>
          </cell>
          <cell r="M996" t="str">
            <v/>
          </cell>
          <cell r="N996" t="str">
            <v/>
          </cell>
          <cell r="O996" t="str">
            <v/>
          </cell>
          <cell r="P996" t="str">
            <v/>
          </cell>
          <cell r="Q996" t="str">
            <v/>
          </cell>
          <cell r="R996" t="str">
            <v>Augustin, W</v>
          </cell>
          <cell r="S996" t="str">
            <v/>
          </cell>
          <cell r="T996" t="str">
            <v>Franey, Hank</v>
          </cell>
          <cell r="U996" t="str">
            <v>Schimpff, Stephen</v>
          </cell>
          <cell r="V996" t="str">
            <v>Ashworth, John</v>
          </cell>
          <cell r="W996" t="str">
            <v>Inactive</v>
          </cell>
        </row>
        <row r="997">
          <cell r="A997" t="str">
            <v>0188637</v>
          </cell>
          <cell r="B997" t="str">
            <v xml:space="preserve">  PHO Development</v>
          </cell>
          <cell r="C997">
            <v>472</v>
          </cell>
          <cell r="E997" t="str">
            <v>D</v>
          </cell>
          <cell r="F997" t="str">
            <v xml:space="preserve"> </v>
          </cell>
          <cell r="G997" t="str">
            <v xml:space="preserve"> </v>
          </cell>
          <cell r="H997" t="str">
            <v>1INAC</v>
          </cell>
          <cell r="I997" t="str">
            <v>Zhang, Lingwei</v>
          </cell>
          <cell r="J997" t="str">
            <v>Walt Augustin</v>
          </cell>
          <cell r="L997" t="str">
            <v/>
          </cell>
          <cell r="M997" t="str">
            <v/>
          </cell>
          <cell r="N997" t="str">
            <v/>
          </cell>
          <cell r="O997" t="str">
            <v/>
          </cell>
          <cell r="P997" t="str">
            <v/>
          </cell>
          <cell r="Q997" t="str">
            <v/>
          </cell>
          <cell r="R997" t="str">
            <v>Augustin, W</v>
          </cell>
          <cell r="S997" t="str">
            <v/>
          </cell>
          <cell r="T997" t="str">
            <v>Franey, Hank</v>
          </cell>
          <cell r="U997" t="str">
            <v>Schimpff, Stephen</v>
          </cell>
          <cell r="V997" t="str">
            <v>Ashworth, John</v>
          </cell>
          <cell r="W997" t="str">
            <v>Inactive</v>
          </cell>
        </row>
        <row r="998">
          <cell r="A998" t="str">
            <v>0188758</v>
          </cell>
          <cell r="B998" t="str">
            <v xml:space="preserve">  QPPD Recruitment</v>
          </cell>
          <cell r="C998">
            <v>502</v>
          </cell>
          <cell r="E998" t="str">
            <v>D</v>
          </cell>
          <cell r="F998" t="str">
            <v xml:space="preserve"> </v>
          </cell>
          <cell r="G998" t="str">
            <v xml:space="preserve"> </v>
          </cell>
          <cell r="H998" t="str">
            <v>1INAC</v>
          </cell>
          <cell r="I998" t="str">
            <v>Zhang, Lingwei</v>
          </cell>
          <cell r="J998" t="str">
            <v>Walt Augustin</v>
          </cell>
          <cell r="L998" t="str">
            <v/>
          </cell>
          <cell r="M998" t="str">
            <v/>
          </cell>
          <cell r="N998" t="str">
            <v/>
          </cell>
          <cell r="O998" t="str">
            <v/>
          </cell>
          <cell r="P998" t="str">
            <v/>
          </cell>
          <cell r="Q998" t="str">
            <v/>
          </cell>
          <cell r="R998" t="str">
            <v>Augustin, W</v>
          </cell>
          <cell r="S998" t="str">
            <v/>
          </cell>
          <cell r="T998" t="str">
            <v>Franey, Hank</v>
          </cell>
          <cell r="U998" t="str">
            <v>Schimpff, Stephen</v>
          </cell>
          <cell r="V998" t="str">
            <v>Ashworth, John</v>
          </cell>
          <cell r="W998" t="str">
            <v>Inactive</v>
          </cell>
        </row>
        <row r="999">
          <cell r="A999" t="str">
            <v>0199500</v>
          </cell>
          <cell r="B999" t="str">
            <v xml:space="preserve">  Univcare/Edmondson</v>
          </cell>
          <cell r="C999">
            <v>591</v>
          </cell>
          <cell r="E999" t="str">
            <v>D</v>
          </cell>
          <cell r="F999" t="str">
            <v xml:space="preserve"> </v>
          </cell>
          <cell r="G999" t="str">
            <v xml:space="preserve"> </v>
          </cell>
          <cell r="H999" t="str">
            <v>1INAC</v>
          </cell>
          <cell r="I999" t="str">
            <v>Zhang, Lingwei</v>
          </cell>
          <cell r="J999" t="str">
            <v>Walt Augustin</v>
          </cell>
          <cell r="L999" t="str">
            <v/>
          </cell>
          <cell r="M999" t="str">
            <v/>
          </cell>
          <cell r="N999" t="str">
            <v/>
          </cell>
          <cell r="O999" t="str">
            <v/>
          </cell>
          <cell r="P999" t="str">
            <v/>
          </cell>
          <cell r="Q999" t="str">
            <v/>
          </cell>
          <cell r="R999" t="str">
            <v>Augustin, W</v>
          </cell>
          <cell r="S999" t="str">
            <v/>
          </cell>
          <cell r="T999" t="str">
            <v>Franey, Hank</v>
          </cell>
          <cell r="U999" t="str">
            <v>Schimpff, Stephen</v>
          </cell>
          <cell r="V999" t="str">
            <v>Ashworth, John</v>
          </cell>
          <cell r="W999" t="str">
            <v>Inactive</v>
          </cell>
        </row>
        <row r="1000">
          <cell r="A1000" t="str">
            <v>0199520</v>
          </cell>
          <cell r="B1000" t="str">
            <v xml:space="preserve">  Univcare/Westside</v>
          </cell>
          <cell r="C1000">
            <v>592</v>
          </cell>
          <cell r="E1000" t="str">
            <v>D</v>
          </cell>
          <cell r="F1000" t="str">
            <v xml:space="preserve"> </v>
          </cell>
          <cell r="G1000" t="str">
            <v xml:space="preserve"> </v>
          </cell>
          <cell r="H1000" t="str">
            <v>1INAC</v>
          </cell>
          <cell r="I1000" t="str">
            <v>Zhang, Lingwei</v>
          </cell>
          <cell r="J1000" t="str">
            <v>Walt Augustin</v>
          </cell>
          <cell r="L1000" t="str">
            <v/>
          </cell>
          <cell r="M1000" t="str">
            <v/>
          </cell>
          <cell r="N1000" t="str">
            <v/>
          </cell>
          <cell r="O1000" t="str">
            <v/>
          </cell>
          <cell r="P1000" t="str">
            <v/>
          </cell>
          <cell r="Q1000" t="str">
            <v/>
          </cell>
          <cell r="R1000" t="str">
            <v>Augustin, W</v>
          </cell>
          <cell r="S1000" t="str">
            <v/>
          </cell>
          <cell r="T1000" t="str">
            <v>Franey, Hank</v>
          </cell>
          <cell r="U1000" t="str">
            <v>Schimpff, Stephen</v>
          </cell>
          <cell r="V1000" t="str">
            <v>Ashworth, John</v>
          </cell>
          <cell r="W1000" t="str">
            <v>Inactive</v>
          </cell>
        </row>
        <row r="1001">
          <cell r="A1001" t="str">
            <v>0199530</v>
          </cell>
          <cell r="B1001" t="str">
            <v xml:space="preserve">  Univcare/Waxter</v>
          </cell>
          <cell r="C1001">
            <v>593</v>
          </cell>
          <cell r="E1001" t="str">
            <v>D</v>
          </cell>
          <cell r="F1001" t="str">
            <v xml:space="preserve"> </v>
          </cell>
          <cell r="G1001" t="str">
            <v xml:space="preserve"> </v>
          </cell>
          <cell r="H1001" t="str">
            <v>1INAC</v>
          </cell>
          <cell r="I1001" t="str">
            <v>Zhang, Lingwei</v>
          </cell>
          <cell r="J1001" t="str">
            <v>Walt Augustin</v>
          </cell>
          <cell r="L1001" t="str">
            <v/>
          </cell>
          <cell r="M1001" t="str">
            <v/>
          </cell>
          <cell r="N1001" t="str">
            <v/>
          </cell>
          <cell r="O1001" t="str">
            <v/>
          </cell>
          <cell r="P1001" t="str">
            <v/>
          </cell>
          <cell r="Q1001" t="str">
            <v/>
          </cell>
          <cell r="R1001" t="str">
            <v>Augustin, W</v>
          </cell>
          <cell r="S1001" t="str">
            <v/>
          </cell>
          <cell r="T1001" t="str">
            <v>Franey, Hank</v>
          </cell>
          <cell r="U1001" t="str">
            <v>Schimpff, Stephen</v>
          </cell>
          <cell r="V1001" t="str">
            <v>Ashworth, John</v>
          </cell>
          <cell r="W1001" t="str">
            <v>Inactive</v>
          </cell>
        </row>
        <row r="1002">
          <cell r="A1002" t="str">
            <v>0199540</v>
          </cell>
          <cell r="B1002" t="str">
            <v xml:space="preserve">  Univcare/Administration</v>
          </cell>
          <cell r="C1002">
            <v>594</v>
          </cell>
          <cell r="E1002" t="str">
            <v>D</v>
          </cell>
          <cell r="F1002" t="str">
            <v xml:space="preserve"> </v>
          </cell>
          <cell r="G1002" t="str">
            <v xml:space="preserve"> </v>
          </cell>
          <cell r="H1002" t="str">
            <v>1INAC</v>
          </cell>
          <cell r="I1002" t="str">
            <v>Zhang, Lingwei</v>
          </cell>
          <cell r="J1002" t="str">
            <v>Walt Augustin</v>
          </cell>
          <cell r="L1002" t="str">
            <v/>
          </cell>
          <cell r="M1002" t="str">
            <v/>
          </cell>
          <cell r="N1002" t="str">
            <v/>
          </cell>
          <cell r="O1002" t="str">
            <v/>
          </cell>
          <cell r="P1002" t="str">
            <v/>
          </cell>
          <cell r="Q1002" t="str">
            <v/>
          </cell>
          <cell r="R1002" t="str">
            <v>Augustin, W</v>
          </cell>
          <cell r="S1002" t="str">
            <v/>
          </cell>
          <cell r="T1002" t="str">
            <v>Franey, Hank</v>
          </cell>
          <cell r="U1002" t="str">
            <v>Schimpff, Stephen</v>
          </cell>
          <cell r="V1002" t="str">
            <v>Ashworth, John</v>
          </cell>
          <cell r="W1002" t="str">
            <v>Inactive</v>
          </cell>
        </row>
        <row r="1003">
          <cell r="A1003" t="str">
            <v>0199550</v>
          </cell>
          <cell r="B1003" t="str">
            <v xml:space="preserve">  Univcare/Opengates</v>
          </cell>
          <cell r="C1003">
            <v>595</v>
          </cell>
          <cell r="E1003" t="str">
            <v>D</v>
          </cell>
          <cell r="F1003" t="str">
            <v xml:space="preserve"> </v>
          </cell>
          <cell r="G1003" t="str">
            <v xml:space="preserve"> </v>
          </cell>
          <cell r="H1003" t="str">
            <v>1INAC</v>
          </cell>
          <cell r="I1003" t="str">
            <v>Zhang, Lingwei</v>
          </cell>
          <cell r="J1003" t="str">
            <v>Walt Augustin</v>
          </cell>
          <cell r="L1003" t="str">
            <v/>
          </cell>
          <cell r="M1003" t="str">
            <v/>
          </cell>
          <cell r="N1003" t="str">
            <v/>
          </cell>
          <cell r="O1003" t="str">
            <v/>
          </cell>
          <cell r="P1003" t="str">
            <v/>
          </cell>
          <cell r="Q1003" t="str">
            <v/>
          </cell>
          <cell r="R1003" t="str">
            <v>Augustin, W</v>
          </cell>
          <cell r="S1003" t="str">
            <v/>
          </cell>
          <cell r="T1003" t="str">
            <v>Franey, Hank</v>
          </cell>
          <cell r="U1003" t="str">
            <v>Schimpff, Stephen</v>
          </cell>
          <cell r="V1003" t="str">
            <v>Ashworth, John</v>
          </cell>
          <cell r="W1003" t="str">
            <v>Inactive</v>
          </cell>
        </row>
        <row r="1004">
          <cell r="A1004" t="str">
            <v>0199570</v>
          </cell>
          <cell r="B1004" t="str">
            <v xml:space="preserve">  Univcare/Howard Park</v>
          </cell>
          <cell r="C1004">
            <v>596</v>
          </cell>
          <cell r="E1004" t="str">
            <v>D</v>
          </cell>
          <cell r="F1004" t="str">
            <v xml:space="preserve"> </v>
          </cell>
          <cell r="G1004" t="str">
            <v xml:space="preserve"> </v>
          </cell>
          <cell r="H1004" t="str">
            <v>1INAC</v>
          </cell>
          <cell r="I1004" t="str">
            <v>Zhang, Lingwei</v>
          </cell>
          <cell r="J1004" t="str">
            <v>Walt Augustin</v>
          </cell>
          <cell r="L1004" t="str">
            <v/>
          </cell>
          <cell r="M1004" t="str">
            <v/>
          </cell>
          <cell r="N1004" t="str">
            <v/>
          </cell>
          <cell r="O1004" t="str">
            <v/>
          </cell>
          <cell r="P1004" t="str">
            <v/>
          </cell>
          <cell r="Q1004" t="str">
            <v/>
          </cell>
          <cell r="R1004" t="str">
            <v>Augustin, W</v>
          </cell>
          <cell r="S1004" t="str">
            <v/>
          </cell>
          <cell r="T1004" t="str">
            <v>Franey, Hank</v>
          </cell>
          <cell r="U1004" t="str">
            <v>Schimpff, Stephen</v>
          </cell>
          <cell r="V1004" t="str">
            <v>Ashworth, John</v>
          </cell>
          <cell r="W1004" t="str">
            <v>Inactive</v>
          </cell>
        </row>
        <row r="1005">
          <cell r="A1005" t="str">
            <v>0199580</v>
          </cell>
          <cell r="B1005" t="str">
            <v xml:space="preserve">  Univcare/Shipleys</v>
          </cell>
          <cell r="C1005">
            <v>597</v>
          </cell>
          <cell r="E1005" t="str">
            <v>D</v>
          </cell>
          <cell r="F1005" t="str">
            <v xml:space="preserve"> </v>
          </cell>
          <cell r="G1005" t="str">
            <v xml:space="preserve"> </v>
          </cell>
          <cell r="H1005" t="str">
            <v>1INAC</v>
          </cell>
          <cell r="I1005" t="str">
            <v>Zhang, Lingwei</v>
          </cell>
          <cell r="J1005" t="str">
            <v>Walt Augustin</v>
          </cell>
          <cell r="L1005" t="str">
            <v/>
          </cell>
          <cell r="M1005" t="str">
            <v/>
          </cell>
          <cell r="N1005" t="str">
            <v/>
          </cell>
          <cell r="O1005" t="str">
            <v/>
          </cell>
          <cell r="P1005" t="str">
            <v/>
          </cell>
          <cell r="Q1005" t="str">
            <v/>
          </cell>
          <cell r="R1005" t="str">
            <v>Augustin, W</v>
          </cell>
          <cell r="S1005" t="str">
            <v/>
          </cell>
          <cell r="T1005" t="str">
            <v>Franey, Hank</v>
          </cell>
          <cell r="U1005" t="str">
            <v>Schimpff, Stephen</v>
          </cell>
          <cell r="V1005" t="str">
            <v>Ashworth, John</v>
          </cell>
          <cell r="W1005" t="str">
            <v>Inactive</v>
          </cell>
        </row>
        <row r="1006">
          <cell r="A1006" t="str">
            <v>0199898</v>
          </cell>
          <cell r="B1006" t="str">
            <v xml:space="preserve">  Error/Suspense</v>
          </cell>
          <cell r="C1006">
            <v>598</v>
          </cell>
          <cell r="E1006" t="str">
            <v>D</v>
          </cell>
          <cell r="F1006" t="str">
            <v xml:space="preserve"> </v>
          </cell>
          <cell r="G1006" t="str">
            <v xml:space="preserve"> </v>
          </cell>
          <cell r="H1006" t="str">
            <v>1INAC</v>
          </cell>
          <cell r="I1006" t="str">
            <v>Zhang, Lingwei</v>
          </cell>
          <cell r="J1006" t="str">
            <v>Walt Augustin</v>
          </cell>
          <cell r="L1006" t="str">
            <v/>
          </cell>
          <cell r="M1006" t="str">
            <v/>
          </cell>
          <cell r="N1006" t="str">
            <v/>
          </cell>
          <cell r="O1006" t="str">
            <v/>
          </cell>
          <cell r="P1006" t="str">
            <v/>
          </cell>
          <cell r="Q1006" t="str">
            <v/>
          </cell>
          <cell r="R1006" t="str">
            <v>Augustin, W</v>
          </cell>
          <cell r="S1006" t="str">
            <v/>
          </cell>
          <cell r="T1006" t="str">
            <v>Franey, Hank</v>
          </cell>
          <cell r="U1006" t="str">
            <v>Schimpff, Stephen</v>
          </cell>
          <cell r="V1006" t="str">
            <v>Ashworth, John</v>
          </cell>
          <cell r="W1006" t="str">
            <v>Inactive</v>
          </cell>
        </row>
        <row r="1007">
          <cell r="A1007" t="str">
            <v>0248302</v>
          </cell>
          <cell r="B1007" t="str">
            <v xml:space="preserve">  Inpatient Revenue</v>
          </cell>
          <cell r="C1007">
            <v>599</v>
          </cell>
          <cell r="E1007" t="str">
            <v>D</v>
          </cell>
          <cell r="F1007" t="str">
            <v xml:space="preserve"> </v>
          </cell>
          <cell r="G1007" t="str">
            <v xml:space="preserve"> </v>
          </cell>
          <cell r="H1007" t="str">
            <v>9SNF</v>
          </cell>
          <cell r="I1007" t="str">
            <v>Zhang, Lingwei</v>
          </cell>
          <cell r="J1007" t="str">
            <v>Walt Augustin</v>
          </cell>
          <cell r="L1007" t="str">
            <v/>
          </cell>
          <cell r="M1007" t="str">
            <v/>
          </cell>
          <cell r="N1007" t="str">
            <v/>
          </cell>
          <cell r="O1007" t="str">
            <v/>
          </cell>
          <cell r="P1007" t="str">
            <v/>
          </cell>
          <cell r="Q1007" t="str">
            <v/>
          </cell>
          <cell r="R1007" t="str">
            <v>Augustin, W</v>
          </cell>
          <cell r="S1007" t="str">
            <v/>
          </cell>
          <cell r="T1007" t="str">
            <v>Franey, Hank</v>
          </cell>
          <cell r="U1007" t="str">
            <v>Schimpff, Stephen</v>
          </cell>
          <cell r="V1007" t="str">
            <v>Ashworth, John</v>
          </cell>
          <cell r="W1007" t="str">
            <v>Inactive</v>
          </cell>
        </row>
        <row r="1008">
          <cell r="A1008" t="str">
            <v>0258304</v>
          </cell>
          <cell r="B1008" t="str">
            <v xml:space="preserve">  Contractuals</v>
          </cell>
          <cell r="C1008">
            <v>600</v>
          </cell>
          <cell r="E1008" t="str">
            <v>D</v>
          </cell>
          <cell r="F1008" t="str">
            <v xml:space="preserve"> </v>
          </cell>
          <cell r="G1008" t="str">
            <v xml:space="preserve"> </v>
          </cell>
          <cell r="H1008" t="str">
            <v>9SNF</v>
          </cell>
          <cell r="I1008" t="str">
            <v>Zhang, Lingwei</v>
          </cell>
          <cell r="J1008" t="str">
            <v>Walt Augustin</v>
          </cell>
          <cell r="L1008" t="str">
            <v/>
          </cell>
          <cell r="M1008" t="str">
            <v/>
          </cell>
          <cell r="N1008" t="str">
            <v/>
          </cell>
          <cell r="O1008" t="str">
            <v/>
          </cell>
          <cell r="P1008" t="str">
            <v/>
          </cell>
          <cell r="Q1008" t="str">
            <v/>
          </cell>
          <cell r="R1008" t="str">
            <v>Augustin, W</v>
          </cell>
          <cell r="S1008" t="str">
            <v/>
          </cell>
          <cell r="T1008" t="str">
            <v>Franey, Hank</v>
          </cell>
          <cell r="U1008" t="str">
            <v>Schimpff, Stephen</v>
          </cell>
          <cell r="V1008" t="str">
            <v>Ashworth, John</v>
          </cell>
          <cell r="W1008" t="str">
            <v>Inactive</v>
          </cell>
        </row>
        <row r="1009">
          <cell r="A1009" t="str">
            <v>0258306</v>
          </cell>
          <cell r="B1009" t="str">
            <v xml:space="preserve">  Other Revenue</v>
          </cell>
          <cell r="C1009">
            <v>601</v>
          </cell>
          <cell r="E1009" t="str">
            <v>D</v>
          </cell>
          <cell r="F1009" t="str">
            <v xml:space="preserve"> </v>
          </cell>
          <cell r="G1009" t="str">
            <v xml:space="preserve"> </v>
          </cell>
          <cell r="H1009" t="str">
            <v>9SNF</v>
          </cell>
          <cell r="I1009" t="str">
            <v>Zhang, Lingwei</v>
          </cell>
          <cell r="J1009" t="str">
            <v>Walt Augustin</v>
          </cell>
          <cell r="L1009" t="str">
            <v/>
          </cell>
          <cell r="M1009" t="str">
            <v/>
          </cell>
          <cell r="N1009" t="str">
            <v/>
          </cell>
          <cell r="O1009" t="str">
            <v/>
          </cell>
          <cell r="P1009" t="str">
            <v/>
          </cell>
          <cell r="Q1009" t="str">
            <v/>
          </cell>
          <cell r="R1009" t="str">
            <v>Augustin, W</v>
          </cell>
          <cell r="S1009" t="str">
            <v/>
          </cell>
          <cell r="T1009" t="str">
            <v>Franey, Hank</v>
          </cell>
          <cell r="U1009" t="str">
            <v>Schimpff, Stephen</v>
          </cell>
          <cell r="V1009" t="str">
            <v>Ashworth, John</v>
          </cell>
          <cell r="W1009" t="str">
            <v>Inactive</v>
          </cell>
        </row>
        <row r="1010">
          <cell r="A1010" t="str">
            <v>0258334</v>
          </cell>
          <cell r="B1010" t="str">
            <v xml:space="preserve">  Bad Debt</v>
          </cell>
          <cell r="C1010">
            <v>602</v>
          </cell>
          <cell r="E1010" t="str">
            <v>D</v>
          </cell>
          <cell r="F1010" t="str">
            <v xml:space="preserve"> </v>
          </cell>
          <cell r="G1010" t="str">
            <v xml:space="preserve"> </v>
          </cell>
          <cell r="H1010" t="str">
            <v>9SNF</v>
          </cell>
          <cell r="I1010" t="str">
            <v>Zhang, Lingwei</v>
          </cell>
          <cell r="J1010" t="str">
            <v>Walt Augustin</v>
          </cell>
          <cell r="L1010" t="str">
            <v/>
          </cell>
          <cell r="M1010" t="str">
            <v/>
          </cell>
          <cell r="N1010" t="str">
            <v/>
          </cell>
          <cell r="O1010" t="str">
            <v/>
          </cell>
          <cell r="P1010" t="str">
            <v/>
          </cell>
          <cell r="Q1010" t="str">
            <v/>
          </cell>
          <cell r="R1010" t="str">
            <v>Augustin, W</v>
          </cell>
          <cell r="S1010" t="str">
            <v/>
          </cell>
          <cell r="T1010" t="str">
            <v>Franey, Hank</v>
          </cell>
          <cell r="U1010" t="str">
            <v>Schimpff, Stephen</v>
          </cell>
          <cell r="V1010" t="str">
            <v>Ashworth, John</v>
          </cell>
          <cell r="W1010" t="str">
            <v>Inactive</v>
          </cell>
        </row>
        <row r="1011">
          <cell r="A1011" t="str">
            <v>0278320</v>
          </cell>
          <cell r="B1011" t="str">
            <v xml:space="preserve">  Nursing Care Services</v>
          </cell>
          <cell r="C1011">
            <v>603</v>
          </cell>
          <cell r="E1011" t="str">
            <v>D</v>
          </cell>
          <cell r="F1011" t="str">
            <v xml:space="preserve"> </v>
          </cell>
          <cell r="G1011" t="str">
            <v xml:space="preserve"> </v>
          </cell>
          <cell r="H1011" t="str">
            <v>9SNF</v>
          </cell>
          <cell r="I1011" t="str">
            <v>Zhang, Lingwei</v>
          </cell>
          <cell r="J1011" t="str">
            <v>Walt Augustin</v>
          </cell>
          <cell r="L1011" t="str">
            <v/>
          </cell>
          <cell r="M1011" t="str">
            <v/>
          </cell>
          <cell r="N1011" t="str">
            <v/>
          </cell>
          <cell r="O1011" t="str">
            <v/>
          </cell>
          <cell r="P1011" t="str">
            <v/>
          </cell>
          <cell r="Q1011" t="str">
            <v/>
          </cell>
          <cell r="R1011" t="str">
            <v>Augustin, W</v>
          </cell>
          <cell r="S1011" t="str">
            <v/>
          </cell>
          <cell r="T1011" t="str">
            <v>Franey, Hank</v>
          </cell>
          <cell r="U1011" t="str">
            <v>Schimpff, Stephen</v>
          </cell>
          <cell r="V1011" t="str">
            <v>Ashworth, John</v>
          </cell>
          <cell r="W1011" t="str">
            <v>Inactive</v>
          </cell>
        </row>
        <row r="1012">
          <cell r="A1012" t="str">
            <v>0278322</v>
          </cell>
          <cell r="B1012" t="str">
            <v xml:space="preserve">  Other Patient Care</v>
          </cell>
          <cell r="C1012">
            <v>604</v>
          </cell>
          <cell r="E1012" t="str">
            <v>D</v>
          </cell>
          <cell r="F1012" t="str">
            <v xml:space="preserve"> </v>
          </cell>
          <cell r="G1012" t="str">
            <v xml:space="preserve"> </v>
          </cell>
          <cell r="H1012" t="str">
            <v>9SNF</v>
          </cell>
          <cell r="I1012" t="str">
            <v>Zhang, Lingwei</v>
          </cell>
          <cell r="J1012" t="str">
            <v>Walt Augustin</v>
          </cell>
          <cell r="L1012" t="str">
            <v/>
          </cell>
          <cell r="M1012" t="str">
            <v/>
          </cell>
          <cell r="N1012" t="str">
            <v/>
          </cell>
          <cell r="O1012" t="str">
            <v/>
          </cell>
          <cell r="P1012" t="str">
            <v/>
          </cell>
          <cell r="Q1012" t="str">
            <v/>
          </cell>
          <cell r="R1012" t="str">
            <v>Augustin, W</v>
          </cell>
          <cell r="S1012" t="str">
            <v/>
          </cell>
          <cell r="T1012" t="str">
            <v>Franey, Hank</v>
          </cell>
          <cell r="U1012" t="str">
            <v>Schimpff, Stephen</v>
          </cell>
          <cell r="V1012" t="str">
            <v>Ashworth, John</v>
          </cell>
          <cell r="W1012" t="str">
            <v>Inactive</v>
          </cell>
        </row>
        <row r="1013">
          <cell r="A1013" t="str">
            <v>0278324</v>
          </cell>
          <cell r="B1013" t="str">
            <v xml:space="preserve">  Routine Services</v>
          </cell>
          <cell r="C1013">
            <v>605</v>
          </cell>
          <cell r="E1013" t="str">
            <v>D</v>
          </cell>
          <cell r="F1013" t="str">
            <v xml:space="preserve"> </v>
          </cell>
          <cell r="G1013" t="str">
            <v xml:space="preserve"> </v>
          </cell>
          <cell r="H1013" t="str">
            <v>9SNF</v>
          </cell>
          <cell r="I1013" t="str">
            <v>Zhang, Lingwei</v>
          </cell>
          <cell r="J1013" t="str">
            <v>Walt Augustin</v>
          </cell>
          <cell r="L1013" t="str">
            <v/>
          </cell>
          <cell r="M1013" t="str">
            <v/>
          </cell>
          <cell r="N1013" t="str">
            <v/>
          </cell>
          <cell r="O1013" t="str">
            <v/>
          </cell>
          <cell r="P1013" t="str">
            <v/>
          </cell>
          <cell r="Q1013" t="str">
            <v/>
          </cell>
          <cell r="R1013" t="str">
            <v>Augustin, W</v>
          </cell>
          <cell r="S1013" t="str">
            <v/>
          </cell>
          <cell r="T1013" t="str">
            <v>Franey, Hank</v>
          </cell>
          <cell r="U1013" t="str">
            <v>Schimpff, Stephen</v>
          </cell>
          <cell r="V1013" t="str">
            <v>Ashworth, John</v>
          </cell>
          <cell r="W1013" t="str">
            <v>Inactive</v>
          </cell>
        </row>
        <row r="1014">
          <cell r="A1014" t="str">
            <v>0278330</v>
          </cell>
          <cell r="B1014" t="str">
            <v xml:space="preserve">  Other Ancillary Cost</v>
          </cell>
          <cell r="C1014">
            <v>606</v>
          </cell>
          <cell r="E1014" t="str">
            <v>D</v>
          </cell>
          <cell r="F1014" t="str">
            <v xml:space="preserve"> </v>
          </cell>
          <cell r="G1014" t="str">
            <v xml:space="preserve"> </v>
          </cell>
          <cell r="H1014" t="str">
            <v>9SNF</v>
          </cell>
          <cell r="I1014" t="str">
            <v>Zhang, Lingwei</v>
          </cell>
          <cell r="J1014" t="str">
            <v>Walt Augustin</v>
          </cell>
          <cell r="L1014" t="str">
            <v/>
          </cell>
          <cell r="M1014" t="str">
            <v/>
          </cell>
          <cell r="N1014" t="str">
            <v/>
          </cell>
          <cell r="O1014" t="str">
            <v/>
          </cell>
          <cell r="P1014" t="str">
            <v/>
          </cell>
          <cell r="Q1014" t="str">
            <v/>
          </cell>
          <cell r="R1014" t="str">
            <v>Augustin, W</v>
          </cell>
          <cell r="S1014" t="str">
            <v/>
          </cell>
          <cell r="T1014" t="str">
            <v>Franey, Hank</v>
          </cell>
          <cell r="U1014" t="str">
            <v>Schimpff, Stephen</v>
          </cell>
          <cell r="V1014" t="str">
            <v>Ashworth, John</v>
          </cell>
          <cell r="W1014" t="str">
            <v>Inactive</v>
          </cell>
        </row>
        <row r="1015">
          <cell r="A1015" t="str">
            <v>0278332</v>
          </cell>
          <cell r="B1015" t="str">
            <v xml:space="preserve">  Medical Supplies &amp; Drugs</v>
          </cell>
          <cell r="C1015">
            <v>607</v>
          </cell>
          <cell r="E1015" t="str">
            <v>D</v>
          </cell>
          <cell r="F1015" t="str">
            <v xml:space="preserve"> </v>
          </cell>
          <cell r="G1015" t="str">
            <v xml:space="preserve"> </v>
          </cell>
          <cell r="H1015" t="str">
            <v>9SNF</v>
          </cell>
          <cell r="I1015" t="str">
            <v>Zhang, Lingwei</v>
          </cell>
          <cell r="J1015" t="str">
            <v>Walt Augustin</v>
          </cell>
          <cell r="L1015" t="str">
            <v/>
          </cell>
          <cell r="M1015" t="str">
            <v/>
          </cell>
          <cell r="N1015" t="str">
            <v/>
          </cell>
          <cell r="O1015" t="str">
            <v/>
          </cell>
          <cell r="P1015" t="str">
            <v/>
          </cell>
          <cell r="Q1015" t="str">
            <v/>
          </cell>
          <cell r="R1015" t="str">
            <v>Augustin, W</v>
          </cell>
          <cell r="S1015" t="str">
            <v/>
          </cell>
          <cell r="T1015" t="str">
            <v>Franey, Hank</v>
          </cell>
          <cell r="U1015" t="str">
            <v>Schimpff, Stephen</v>
          </cell>
          <cell r="V1015" t="str">
            <v>Ashworth, John</v>
          </cell>
          <cell r="W1015" t="str">
            <v>Inactive</v>
          </cell>
        </row>
        <row r="1016">
          <cell r="A1016" t="str">
            <v>0288326</v>
          </cell>
          <cell r="B1016" t="str">
            <v xml:space="preserve">  Administrative Services</v>
          </cell>
          <cell r="C1016">
            <v>608</v>
          </cell>
          <cell r="E1016" t="str">
            <v>D</v>
          </cell>
          <cell r="F1016" t="str">
            <v xml:space="preserve"> </v>
          </cell>
          <cell r="G1016" t="str">
            <v xml:space="preserve"> </v>
          </cell>
          <cell r="H1016" t="str">
            <v>9SNF</v>
          </cell>
          <cell r="I1016" t="str">
            <v>Zhang, Lingwei</v>
          </cell>
          <cell r="J1016" t="str">
            <v>Walt Augustin</v>
          </cell>
          <cell r="L1016" t="str">
            <v/>
          </cell>
          <cell r="M1016" t="str">
            <v/>
          </cell>
          <cell r="N1016" t="str">
            <v/>
          </cell>
          <cell r="O1016" t="str">
            <v/>
          </cell>
          <cell r="P1016" t="str">
            <v/>
          </cell>
          <cell r="Q1016" t="str">
            <v/>
          </cell>
          <cell r="R1016" t="str">
            <v>Augustin, W</v>
          </cell>
          <cell r="S1016" t="str">
            <v/>
          </cell>
          <cell r="T1016" t="str">
            <v>Franey, Hank</v>
          </cell>
          <cell r="U1016" t="str">
            <v>Schimpff, Stephen</v>
          </cell>
          <cell r="V1016" t="str">
            <v>Ashworth, John</v>
          </cell>
          <cell r="W1016" t="str">
            <v>Inactive</v>
          </cell>
        </row>
        <row r="1017">
          <cell r="A1017" t="str">
            <v>0288328</v>
          </cell>
          <cell r="B1017" t="str">
            <v xml:space="preserve">  Admin/Capital Costs</v>
          </cell>
          <cell r="C1017">
            <v>609</v>
          </cell>
          <cell r="E1017" t="str">
            <v>D</v>
          </cell>
          <cell r="F1017" t="str">
            <v xml:space="preserve"> </v>
          </cell>
          <cell r="G1017" t="str">
            <v xml:space="preserve"> </v>
          </cell>
          <cell r="H1017" t="str">
            <v>9SNF</v>
          </cell>
          <cell r="I1017" t="str">
            <v>Zhang, Lingwei</v>
          </cell>
          <cell r="J1017" t="str">
            <v>Walt Augustin</v>
          </cell>
          <cell r="L1017" t="str">
            <v/>
          </cell>
          <cell r="M1017" t="str">
            <v/>
          </cell>
          <cell r="N1017" t="str">
            <v/>
          </cell>
          <cell r="O1017" t="str">
            <v/>
          </cell>
          <cell r="P1017" t="str">
            <v/>
          </cell>
          <cell r="Q1017" t="str">
            <v/>
          </cell>
          <cell r="R1017" t="str">
            <v>Augustin, W</v>
          </cell>
          <cell r="S1017" t="str">
            <v/>
          </cell>
          <cell r="T1017" t="str">
            <v>Franey, Hank</v>
          </cell>
          <cell r="U1017" t="str">
            <v>Schimpff, Stephen</v>
          </cell>
          <cell r="V1017" t="str">
            <v>Ashworth, John</v>
          </cell>
          <cell r="W1017" t="str">
            <v>Inactive</v>
          </cell>
        </row>
        <row r="1018">
          <cell r="A1018" t="str">
            <v>0298308</v>
          </cell>
          <cell r="B1018" t="str">
            <v xml:space="preserve">  Non-Operating Revenue</v>
          </cell>
          <cell r="C1018">
            <v>610</v>
          </cell>
          <cell r="E1018" t="str">
            <v>D</v>
          </cell>
          <cell r="F1018" t="str">
            <v xml:space="preserve"> </v>
          </cell>
          <cell r="G1018" t="str">
            <v xml:space="preserve"> </v>
          </cell>
          <cell r="H1018" t="str">
            <v>9SNF</v>
          </cell>
          <cell r="I1018" t="str">
            <v>Zhang, Lingwei</v>
          </cell>
          <cell r="J1018" t="str">
            <v>Walt Augustin</v>
          </cell>
          <cell r="L1018" t="str">
            <v/>
          </cell>
          <cell r="M1018" t="str">
            <v/>
          </cell>
          <cell r="N1018" t="str">
            <v/>
          </cell>
          <cell r="O1018" t="str">
            <v/>
          </cell>
          <cell r="P1018" t="str">
            <v/>
          </cell>
          <cell r="Q1018" t="str">
            <v/>
          </cell>
          <cell r="R1018" t="str">
            <v>Augustin, W</v>
          </cell>
          <cell r="S1018" t="str">
            <v/>
          </cell>
          <cell r="T1018" t="str">
            <v>Franey, Hank</v>
          </cell>
          <cell r="U1018" t="str">
            <v>Schimpff, Stephen</v>
          </cell>
          <cell r="V1018" t="str">
            <v>Ashworth, John</v>
          </cell>
          <cell r="W1018" t="str">
            <v>Inactive</v>
          </cell>
        </row>
        <row r="1019">
          <cell r="A1019" t="str">
            <v>0298336</v>
          </cell>
          <cell r="B1019" t="str">
            <v xml:space="preserve">  Insurance</v>
          </cell>
          <cell r="C1019">
            <v>611</v>
          </cell>
          <cell r="E1019" t="str">
            <v>D</v>
          </cell>
          <cell r="F1019" t="str">
            <v xml:space="preserve"> </v>
          </cell>
          <cell r="G1019" t="str">
            <v xml:space="preserve"> </v>
          </cell>
          <cell r="H1019" t="str">
            <v>9SNF</v>
          </cell>
          <cell r="I1019" t="str">
            <v>Zhang, Lingwei</v>
          </cell>
          <cell r="J1019" t="str">
            <v>Walt Augustin</v>
          </cell>
          <cell r="L1019" t="str">
            <v/>
          </cell>
          <cell r="M1019" t="str">
            <v/>
          </cell>
          <cell r="N1019" t="str">
            <v/>
          </cell>
          <cell r="O1019" t="str">
            <v/>
          </cell>
          <cell r="P1019" t="str">
            <v/>
          </cell>
          <cell r="Q1019" t="str">
            <v/>
          </cell>
          <cell r="R1019" t="str">
            <v>Augustin, W</v>
          </cell>
          <cell r="S1019" t="str">
            <v/>
          </cell>
          <cell r="T1019" t="str">
            <v>Franey, Hank</v>
          </cell>
          <cell r="U1019" t="str">
            <v>Schimpff, Stephen</v>
          </cell>
          <cell r="V1019" t="str">
            <v>Ashworth, John</v>
          </cell>
          <cell r="W1019" t="str">
            <v>Inactive</v>
          </cell>
        </row>
        <row r="1020">
          <cell r="A1020" t="str">
            <v>0298338</v>
          </cell>
          <cell r="B1020" t="str">
            <v xml:space="preserve">  Depreciation</v>
          </cell>
          <cell r="C1020">
            <v>612</v>
          </cell>
          <cell r="E1020" t="str">
            <v>D</v>
          </cell>
          <cell r="F1020" t="str">
            <v xml:space="preserve"> </v>
          </cell>
          <cell r="G1020" t="str">
            <v xml:space="preserve"> </v>
          </cell>
          <cell r="H1020" t="str">
            <v>9SNF</v>
          </cell>
          <cell r="I1020" t="str">
            <v>Zhang, Lingwei</v>
          </cell>
          <cell r="J1020" t="str">
            <v>Walt Augustin</v>
          </cell>
          <cell r="L1020" t="str">
            <v/>
          </cell>
          <cell r="M1020" t="str">
            <v/>
          </cell>
          <cell r="N1020" t="str">
            <v/>
          </cell>
          <cell r="O1020" t="str">
            <v/>
          </cell>
          <cell r="P1020" t="str">
            <v/>
          </cell>
          <cell r="Q1020" t="str">
            <v/>
          </cell>
          <cell r="R1020" t="str">
            <v>Augustin, W</v>
          </cell>
          <cell r="S1020" t="str">
            <v/>
          </cell>
          <cell r="T1020" t="str">
            <v>Franey, Hank</v>
          </cell>
          <cell r="U1020" t="str">
            <v>Schimpff, Stephen</v>
          </cell>
          <cell r="V1020" t="str">
            <v>Ashworth, John</v>
          </cell>
          <cell r="W1020" t="str">
            <v>Inactive</v>
          </cell>
        </row>
        <row r="1021">
          <cell r="A1021" t="str">
            <v>0298340</v>
          </cell>
          <cell r="B1021" t="str">
            <v xml:space="preserve">  Interest Expense</v>
          </cell>
          <cell r="C1021">
            <v>613</v>
          </cell>
          <cell r="E1021" t="str">
            <v>D</v>
          </cell>
          <cell r="F1021" t="str">
            <v xml:space="preserve"> </v>
          </cell>
          <cell r="G1021" t="str">
            <v xml:space="preserve"> </v>
          </cell>
          <cell r="H1021" t="str">
            <v>9SNF</v>
          </cell>
          <cell r="I1021" t="str">
            <v>Zhang, Lingwei</v>
          </cell>
          <cell r="J1021" t="str">
            <v>Walt Augustin</v>
          </cell>
          <cell r="L1021" t="str">
            <v/>
          </cell>
          <cell r="M1021" t="str">
            <v/>
          </cell>
          <cell r="N1021" t="str">
            <v/>
          </cell>
          <cell r="O1021" t="str">
            <v/>
          </cell>
          <cell r="P1021" t="str">
            <v/>
          </cell>
          <cell r="Q1021" t="str">
            <v/>
          </cell>
          <cell r="R1021" t="str">
            <v>Augustin, W</v>
          </cell>
          <cell r="S1021" t="str">
            <v/>
          </cell>
          <cell r="T1021" t="str">
            <v>Franey, Hank</v>
          </cell>
          <cell r="U1021" t="str">
            <v>Schimpff, Stephen</v>
          </cell>
          <cell r="V1021" t="str">
            <v>Ashworth, John</v>
          </cell>
          <cell r="W1021" t="str">
            <v>Inactive</v>
          </cell>
        </row>
        <row r="1022">
          <cell r="A1022" t="str">
            <v>0298342</v>
          </cell>
          <cell r="B1022" t="str">
            <v xml:space="preserve">  Fringe Benefits</v>
          </cell>
          <cell r="C1022">
            <v>614</v>
          </cell>
          <cell r="E1022" t="str">
            <v>D</v>
          </cell>
          <cell r="F1022" t="str">
            <v xml:space="preserve"> </v>
          </cell>
          <cell r="G1022" t="str">
            <v xml:space="preserve"> </v>
          </cell>
          <cell r="H1022" t="str">
            <v>9SNF</v>
          </cell>
          <cell r="I1022" t="str">
            <v>Zhang, Lingwei</v>
          </cell>
          <cell r="J1022" t="str">
            <v>Walt Augustin</v>
          </cell>
          <cell r="L1022" t="str">
            <v/>
          </cell>
          <cell r="M1022" t="str">
            <v/>
          </cell>
          <cell r="N1022" t="str">
            <v/>
          </cell>
          <cell r="O1022" t="str">
            <v/>
          </cell>
          <cell r="P1022" t="str">
            <v/>
          </cell>
          <cell r="Q1022" t="str">
            <v/>
          </cell>
          <cell r="R1022" t="str">
            <v>Augustin, W</v>
          </cell>
          <cell r="S1022" t="str">
            <v/>
          </cell>
          <cell r="T1022" t="str">
            <v>Franey, Hank</v>
          </cell>
          <cell r="U1022" t="str">
            <v>Schimpff, Stephen</v>
          </cell>
          <cell r="V1022" t="str">
            <v>Ashworth, John</v>
          </cell>
          <cell r="W1022" t="str">
            <v>Inactive</v>
          </cell>
        </row>
      </sheetData>
      <sheetData sheetId="2">
        <row r="136">
          <cell r="A136" t="str">
            <v>0467361</v>
          </cell>
          <cell r="B136" t="str">
            <v xml:space="preserve">  Radiation Oncology</v>
          </cell>
          <cell r="C136">
            <v>630</v>
          </cell>
          <cell r="F136" t="str">
            <v xml:space="preserve"> </v>
          </cell>
          <cell r="G136" t="str">
            <v xml:space="preserve"> </v>
          </cell>
          <cell r="H136" t="str">
            <v>4INAC</v>
          </cell>
          <cell r="I136" t="str">
            <v>Zhang, Lingwei</v>
          </cell>
          <cell r="J136" t="str">
            <v>Walt Augustin</v>
          </cell>
          <cell r="K136" t="str">
            <v>B. Rayme</v>
          </cell>
          <cell r="L136" t="str">
            <v/>
          </cell>
          <cell r="M136" t="str">
            <v/>
          </cell>
          <cell r="N136" t="str">
            <v/>
          </cell>
          <cell r="O136" t="str">
            <v/>
          </cell>
          <cell r="P136" t="str">
            <v/>
          </cell>
          <cell r="Q136" t="str">
            <v/>
          </cell>
          <cell r="R136" t="str">
            <v>Augustin, W</v>
          </cell>
          <cell r="S136" t="str">
            <v/>
          </cell>
          <cell r="T136" t="str">
            <v>Franey, Hank</v>
          </cell>
          <cell r="U136" t="str">
            <v>Schimpff, Stephen</v>
          </cell>
          <cell r="V136" t="str">
            <v>Ashworth, John</v>
          </cell>
          <cell r="W136" t="str">
            <v>Inactive</v>
          </cell>
        </row>
        <row r="137">
          <cell r="A137" t="str">
            <v>0476457</v>
          </cell>
          <cell r="B137" t="str">
            <v xml:space="preserve">  Patient Care Services</v>
          </cell>
          <cell r="C137">
            <v>641</v>
          </cell>
          <cell r="F137" t="str">
            <v xml:space="preserve"> </v>
          </cell>
          <cell r="G137" t="str">
            <v xml:space="preserve"> </v>
          </cell>
          <cell r="H137" t="str">
            <v>4INAC</v>
          </cell>
          <cell r="I137" t="str">
            <v>Zhang, Lingwei</v>
          </cell>
          <cell r="J137" t="str">
            <v>Walt Augustin</v>
          </cell>
          <cell r="K137" t="str">
            <v>B. Rayme</v>
          </cell>
          <cell r="L137" t="str">
            <v/>
          </cell>
          <cell r="M137" t="str">
            <v/>
          </cell>
          <cell r="N137" t="str">
            <v/>
          </cell>
          <cell r="O137" t="str">
            <v/>
          </cell>
          <cell r="P137" t="str">
            <v/>
          </cell>
          <cell r="Q137" t="str">
            <v/>
          </cell>
          <cell r="R137" t="str">
            <v>Augustin, W</v>
          </cell>
          <cell r="S137" t="str">
            <v/>
          </cell>
          <cell r="T137" t="str">
            <v>Franey, Hank</v>
          </cell>
          <cell r="U137" t="str">
            <v>Schimpff, Stephen</v>
          </cell>
          <cell r="V137" t="str">
            <v>Ashworth, John</v>
          </cell>
          <cell r="W137" t="str">
            <v>Inactive</v>
          </cell>
        </row>
        <row r="138">
          <cell r="A138" t="str">
            <v>0476440</v>
          </cell>
          <cell r="B138" t="str">
            <v xml:space="preserve">  Outpatient Pharmacy</v>
          </cell>
          <cell r="C138">
            <v>631</v>
          </cell>
          <cell r="E138" t="str">
            <v>R</v>
          </cell>
          <cell r="F138" t="str">
            <v xml:space="preserve"> </v>
          </cell>
          <cell r="G138" t="str">
            <v xml:space="preserve"> </v>
          </cell>
          <cell r="H138" t="str">
            <v>4INAC</v>
          </cell>
          <cell r="I138" t="str">
            <v>Zhang, Lingwei</v>
          </cell>
          <cell r="J138" t="str">
            <v>Walt Augustin</v>
          </cell>
          <cell r="L138" t="str">
            <v/>
          </cell>
          <cell r="M138" t="str">
            <v/>
          </cell>
          <cell r="N138" t="str">
            <v/>
          </cell>
          <cell r="O138" t="str">
            <v/>
          </cell>
          <cell r="P138" t="str">
            <v/>
          </cell>
          <cell r="Q138" t="str">
            <v/>
          </cell>
          <cell r="R138" t="str">
            <v>Augustin, W</v>
          </cell>
          <cell r="S138" t="str">
            <v/>
          </cell>
          <cell r="T138" t="str">
            <v>Franey, Hank</v>
          </cell>
          <cell r="U138" t="str">
            <v>Schimpff, Stephen</v>
          </cell>
          <cell r="V138" t="str">
            <v>Ashworth, John</v>
          </cell>
          <cell r="W138" t="str">
            <v>Inactive</v>
          </cell>
        </row>
        <row r="139">
          <cell r="A139" t="str">
            <v>0476480</v>
          </cell>
          <cell r="B139" t="str">
            <v xml:space="preserve">  Mobile Mammography</v>
          </cell>
          <cell r="C139">
            <v>649</v>
          </cell>
          <cell r="E139" t="str">
            <v>C</v>
          </cell>
          <cell r="F139" t="str">
            <v xml:space="preserve"> </v>
          </cell>
          <cell r="G139" t="str">
            <v xml:space="preserve"> </v>
          </cell>
          <cell r="H139" t="str">
            <v>4INAC</v>
          </cell>
          <cell r="I139" t="str">
            <v>Zhang, Lingwei</v>
          </cell>
          <cell r="J139" t="str">
            <v>Walt Augustin</v>
          </cell>
          <cell r="K139" t="str">
            <v>K. Franz</v>
          </cell>
          <cell r="L139" t="str">
            <v/>
          </cell>
          <cell r="M139" t="str">
            <v/>
          </cell>
          <cell r="N139" t="str">
            <v/>
          </cell>
          <cell r="O139" t="str">
            <v/>
          </cell>
          <cell r="P139" t="str">
            <v/>
          </cell>
          <cell r="Q139" t="str">
            <v/>
          </cell>
          <cell r="R139" t="str">
            <v>Augustin, W</v>
          </cell>
          <cell r="S139" t="str">
            <v/>
          </cell>
          <cell r="T139" t="str">
            <v>Franey, Hank</v>
          </cell>
          <cell r="U139" t="str">
            <v>Schimpff, Stephen</v>
          </cell>
          <cell r="V139" t="str">
            <v>Ashworth, John</v>
          </cell>
          <cell r="W139" t="str">
            <v>Inactive</v>
          </cell>
        </row>
        <row r="140">
          <cell r="A140" t="str">
            <v>0478263</v>
          </cell>
          <cell r="B140" t="str">
            <v xml:space="preserve">  Residents</v>
          </cell>
          <cell r="C140">
            <v>651</v>
          </cell>
          <cell r="F140" t="str">
            <v xml:space="preserve"> </v>
          </cell>
          <cell r="G140" t="str">
            <v xml:space="preserve"> </v>
          </cell>
          <cell r="H140" t="str">
            <v>4INAC</v>
          </cell>
          <cell r="I140" t="str">
            <v>Naqvi, Mariam</v>
          </cell>
          <cell r="J140" t="str">
            <v>Walt Augustin</v>
          </cell>
          <cell r="L140" t="str">
            <v/>
          </cell>
          <cell r="M140" t="str">
            <v>Zanti, Laura</v>
          </cell>
          <cell r="N140" t="str">
            <v>Rorison, David</v>
          </cell>
          <cell r="O140" t="str">
            <v/>
          </cell>
          <cell r="P140" t="str">
            <v/>
          </cell>
          <cell r="Q140" t="str">
            <v/>
          </cell>
          <cell r="R140" t="str">
            <v>Augustin, W</v>
          </cell>
          <cell r="S140" t="str">
            <v/>
          </cell>
          <cell r="T140" t="str">
            <v>Franey, Hank</v>
          </cell>
          <cell r="U140" t="str">
            <v>Schimpff, Stephen</v>
          </cell>
          <cell r="V140" t="str">
            <v>Ashworth, John</v>
          </cell>
          <cell r="W140" t="str">
            <v>Inactive</v>
          </cell>
        </row>
      </sheetData>
      <sheetData sheetId="3">
        <row r="208">
          <cell r="A208" t="str">
            <v>0787838</v>
          </cell>
          <cell r="B208" t="str">
            <v xml:space="preserve">  Biomedia Services</v>
          </cell>
          <cell r="C208">
            <v>762</v>
          </cell>
          <cell r="E208" t="str">
            <v>C</v>
          </cell>
          <cell r="F208" t="str">
            <v xml:space="preserve"> </v>
          </cell>
          <cell r="G208" t="str">
            <v xml:space="preserve"> </v>
          </cell>
          <cell r="H208" t="str">
            <v>7INAC</v>
          </cell>
          <cell r="I208" t="str">
            <v>Zhang, Lingwei</v>
          </cell>
          <cell r="J208" t="str">
            <v>Walt Augustin</v>
          </cell>
          <cell r="L208" t="str">
            <v/>
          </cell>
          <cell r="M208" t="str">
            <v/>
          </cell>
          <cell r="N208" t="str">
            <v/>
          </cell>
          <cell r="O208" t="str">
            <v/>
          </cell>
          <cell r="P208" t="str">
            <v/>
          </cell>
          <cell r="Q208" t="str">
            <v/>
          </cell>
          <cell r="R208" t="str">
            <v>Augustin, W</v>
          </cell>
          <cell r="S208" t="str">
            <v/>
          </cell>
          <cell r="T208" t="str">
            <v>Franey, Hank</v>
          </cell>
          <cell r="U208" t="str">
            <v>Schimpff, Stephen</v>
          </cell>
          <cell r="V208" t="str">
            <v>Ashworth, John</v>
          </cell>
          <cell r="W208" t="str">
            <v>Inactive</v>
          </cell>
        </row>
        <row r="209">
          <cell r="A209" t="str">
            <v>0787839</v>
          </cell>
          <cell r="B209" t="str">
            <v xml:space="preserve">  Editorial/Publication</v>
          </cell>
          <cell r="C209">
            <v>763</v>
          </cell>
          <cell r="E209" t="str">
            <v>C</v>
          </cell>
          <cell r="F209" t="str">
            <v xml:space="preserve"> </v>
          </cell>
          <cell r="G209" t="str">
            <v xml:space="preserve"> </v>
          </cell>
          <cell r="H209" t="str">
            <v>7INAC</v>
          </cell>
          <cell r="I209" t="str">
            <v>Zhang, Lingwei</v>
          </cell>
          <cell r="J209" t="str">
            <v>Walt Augustin</v>
          </cell>
          <cell r="L209" t="str">
            <v/>
          </cell>
          <cell r="M209" t="str">
            <v/>
          </cell>
          <cell r="N209" t="str">
            <v/>
          </cell>
          <cell r="O209" t="str">
            <v/>
          </cell>
          <cell r="P209" t="str">
            <v/>
          </cell>
          <cell r="Q209" t="str">
            <v/>
          </cell>
          <cell r="R209" t="str">
            <v>Augustin, W</v>
          </cell>
          <cell r="S209" t="str">
            <v/>
          </cell>
          <cell r="T209" t="str">
            <v>Franey, Hank</v>
          </cell>
          <cell r="U209" t="str">
            <v>Schimpff, Stephen</v>
          </cell>
          <cell r="V209" t="str">
            <v>Ashworth, John</v>
          </cell>
          <cell r="W209" t="str">
            <v>Inactive</v>
          </cell>
        </row>
        <row r="210">
          <cell r="A210" t="str">
            <v>0767983</v>
          </cell>
          <cell r="B210" t="str">
            <v xml:space="preserve">  Operating Room Ancillaries</v>
          </cell>
          <cell r="C210">
            <v>730</v>
          </cell>
          <cell r="H210" t="str">
            <v>7INAC</v>
          </cell>
          <cell r="I210" t="str">
            <v>Zhang, Lingwei</v>
          </cell>
          <cell r="J210" t="str">
            <v>Walt Augustin</v>
          </cell>
          <cell r="L210" t="str">
            <v/>
          </cell>
          <cell r="M210" t="str">
            <v/>
          </cell>
          <cell r="N210" t="str">
            <v/>
          </cell>
          <cell r="O210" t="str">
            <v/>
          </cell>
          <cell r="P210" t="str">
            <v/>
          </cell>
          <cell r="Q210" t="str">
            <v/>
          </cell>
          <cell r="R210" t="str">
            <v>Augustin, W</v>
          </cell>
          <cell r="S210" t="str">
            <v/>
          </cell>
          <cell r="T210" t="str">
            <v>Franey, Hank</v>
          </cell>
          <cell r="U210" t="str">
            <v>Schimpff, Stephen</v>
          </cell>
          <cell r="V210" t="str">
            <v>Ashworth, John</v>
          </cell>
          <cell r="W210" t="str">
            <v>Inactive</v>
          </cell>
        </row>
        <row r="211">
          <cell r="A211" t="str">
            <v>0787844</v>
          </cell>
          <cell r="B211" t="str">
            <v xml:space="preserve">  Evaluation</v>
          </cell>
          <cell r="C211">
            <v>765</v>
          </cell>
          <cell r="E211" t="str">
            <v>C</v>
          </cell>
          <cell r="F211" t="str">
            <v xml:space="preserve"> </v>
          </cell>
          <cell r="G211" t="str">
            <v xml:space="preserve"> </v>
          </cell>
          <cell r="H211" t="str">
            <v>7INAC</v>
          </cell>
          <cell r="I211" t="str">
            <v>Zhang, Lingwei</v>
          </cell>
          <cell r="J211" t="str">
            <v>Walt Augustin</v>
          </cell>
          <cell r="L211" t="str">
            <v/>
          </cell>
          <cell r="M211" t="str">
            <v/>
          </cell>
          <cell r="N211" t="str">
            <v/>
          </cell>
          <cell r="O211" t="str">
            <v/>
          </cell>
          <cell r="P211" t="str">
            <v/>
          </cell>
          <cell r="Q211" t="str">
            <v/>
          </cell>
          <cell r="R211" t="str">
            <v>Augustin, W</v>
          </cell>
          <cell r="S211" t="str">
            <v/>
          </cell>
          <cell r="T211" t="str">
            <v>Franey, Hank</v>
          </cell>
          <cell r="U211" t="str">
            <v>Schimpff, Stephen</v>
          </cell>
          <cell r="V211" t="str">
            <v>Ashworth, John</v>
          </cell>
          <cell r="W211" t="str">
            <v>Inactive</v>
          </cell>
        </row>
        <row r="212">
          <cell r="A212" t="str">
            <v>0787890</v>
          </cell>
          <cell r="B212" t="str">
            <v xml:space="preserve">  Research</v>
          </cell>
          <cell r="C212">
            <v>767</v>
          </cell>
          <cell r="E212" t="str">
            <v>C</v>
          </cell>
          <cell r="F212" t="str">
            <v xml:space="preserve"> </v>
          </cell>
          <cell r="G212" t="str">
            <v xml:space="preserve"> </v>
          </cell>
          <cell r="H212" t="str">
            <v>7INAC</v>
          </cell>
          <cell r="I212" t="str">
            <v>Zhang, Lingwei</v>
          </cell>
          <cell r="J212" t="str">
            <v>Walt Augustin</v>
          </cell>
          <cell r="L212" t="str">
            <v/>
          </cell>
          <cell r="M212" t="str">
            <v/>
          </cell>
          <cell r="N212" t="str">
            <v/>
          </cell>
          <cell r="O212" t="str">
            <v/>
          </cell>
          <cell r="P212" t="str">
            <v/>
          </cell>
          <cell r="Q212" t="str">
            <v/>
          </cell>
          <cell r="R212" t="str">
            <v>Augustin, W</v>
          </cell>
          <cell r="S212" t="str">
            <v/>
          </cell>
          <cell r="T212" t="str">
            <v>Franey, Hank</v>
          </cell>
          <cell r="U212" t="str">
            <v>Schimpff, Stephen</v>
          </cell>
          <cell r="V212" t="str">
            <v>Ashworth, John</v>
          </cell>
          <cell r="W212" t="str">
            <v>Inactive</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Info"/>
      <sheetName val="Input TB"/>
      <sheetName val="Master Table"/>
      <sheetName val="E_XI"/>
      <sheetName val="S1"/>
      <sheetName val="RE"/>
      <sheetName val="RER"/>
      <sheetName val="RE Input"/>
      <sheetName val="Expense TB"/>
      <sheetName val="Volume"/>
      <sheetName val="Revenue"/>
      <sheetName val="Statistic (Js) Input"/>
      <sheetName val="P1 Input"/>
      <sheetName val="ACS Input"/>
      <sheetName val="ACS"/>
      <sheetName val="DP1 Input"/>
      <sheetName val="E,F,UR Alloc"/>
      <sheetName val="EC"/>
      <sheetName val="S4"/>
      <sheetName val="E_I"/>
      <sheetName val="PDA"/>
      <sheetName val="PDA Input"/>
      <sheetName val="S3"/>
      <sheetName val="PY RO"/>
      <sheetName val="URS Input"/>
      <sheetName val="H1_H4 Input"/>
      <sheetName val="H2 Input"/>
      <sheetName val="Equip Fac Allow_Hist Lease Pur"/>
      <sheetName val="G_GR Input"/>
      <sheetName val="GR"/>
      <sheetName val="AHA Input"/>
      <sheetName val="TRE Input"/>
      <sheetName val="SB Input"/>
      <sheetName val="RAT Sched"/>
      <sheetName val="AMS Sched"/>
      <sheetName val="Trauma Standby"/>
      <sheetName val="Trauma Dept"/>
      <sheetName val="P3 Input"/>
      <sheetName val="OFC Input"/>
      <sheetName val="P4 Input"/>
      <sheetName val="Don Service Exp"/>
      <sheetName val="P2 Input"/>
      <sheetName val="XX"/>
      <sheetName val="V1"/>
      <sheetName val="V2"/>
      <sheetName val="V3"/>
      <sheetName val="V5"/>
      <sheetName val="DP"/>
      <sheetName val="UA"/>
      <sheetName val="P1"/>
      <sheetName val="P2"/>
      <sheetName val="P3"/>
      <sheetName val="P4"/>
      <sheetName val="P5"/>
      <sheetName val="CDs"/>
      <sheetName val="Es"/>
      <sheetName val="Fs"/>
      <sheetName val="OA"/>
      <sheetName val="AHA"/>
      <sheetName val="Js"/>
      <sheetName val="H1"/>
      <sheetName val="H2"/>
      <sheetName val="H3"/>
      <sheetName val="H4"/>
      <sheetName val="UR"/>
      <sheetName val="URS"/>
      <sheetName val="TRE"/>
      <sheetName val="RAT"/>
      <sheetName val="AMS"/>
      <sheetName val="SB"/>
      <sheetName val="SBC"/>
      <sheetName val="MTC"/>
      <sheetName val="S2"/>
      <sheetName val="S8"/>
      <sheetName val="E_II"/>
      <sheetName val="E_III"/>
      <sheetName val="E_IV"/>
      <sheetName val="E_V"/>
      <sheetName val="E_VI"/>
      <sheetName val="E_VII"/>
      <sheetName val="E_VIII"/>
      <sheetName val="E_IX"/>
      <sheetName val="E_X"/>
      <sheetName val="Ms"/>
      <sheetName val="PY_M"/>
      <sheetName val="Input M"/>
      <sheetName val="M Comp1"/>
      <sheetName val="M Comp2"/>
      <sheetName val="TB Comp"/>
      <sheetName val="Hospital Phys Cost"/>
      <sheetName val="Med Ed Cost"/>
      <sheetName val="RR"/>
      <sheetName val="Instructions"/>
      <sheetName val="Rct"/>
      <sheetName val="Cvr"/>
      <sheetName val="Sig"/>
      <sheetName val="Sch"/>
      <sheetName val="cdefhpv"/>
      <sheetName val="rev5pda"/>
      <sheetName val="Print"/>
    </sheetNames>
    <sheetDataSet>
      <sheetData sheetId="0">
        <row r="17">
          <cell r="B17">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Info"/>
      <sheetName val="Input M"/>
      <sheetName val="Input TB"/>
      <sheetName val="Master Table"/>
      <sheetName val="Expense TB"/>
      <sheetName val="Revenue"/>
      <sheetName val="Volume"/>
      <sheetName val="Statistic (Js) Input"/>
      <sheetName val="RE Input"/>
      <sheetName val="P1 Input"/>
      <sheetName val="P3 Input"/>
      <sheetName val="P4 Input"/>
      <sheetName val="Don Service Exp"/>
      <sheetName val="ACS Input"/>
      <sheetName val="DP1 Input"/>
      <sheetName val="P2 Input"/>
      <sheetName val="E,F,UR Alloc"/>
      <sheetName val="PDA Input"/>
      <sheetName val="PY RO"/>
      <sheetName val="URS Input"/>
      <sheetName val="H1_H4 Input"/>
      <sheetName val="H2 Input"/>
      <sheetName val="Equip Fac Allow_Hist Lease Pur"/>
      <sheetName val="G_GR Input"/>
      <sheetName val="OFC Input"/>
      <sheetName val="SB Input"/>
      <sheetName val="AHA Input"/>
      <sheetName val="TRE Input"/>
      <sheetName val="RAT Sched"/>
      <sheetName val="AMS Sched"/>
      <sheetName val="Trauma Standby"/>
      <sheetName val="Trauma Dept"/>
      <sheetName val="XX"/>
      <sheetName val="V1"/>
      <sheetName val="V2"/>
      <sheetName val="V3"/>
      <sheetName val="V5"/>
      <sheetName val="DP"/>
      <sheetName val="UA"/>
      <sheetName val="P1"/>
      <sheetName val="P2"/>
      <sheetName val="P3"/>
      <sheetName val="P4"/>
      <sheetName val="P5"/>
      <sheetName val="CDs"/>
      <sheetName val="Es"/>
      <sheetName val="Fs"/>
      <sheetName val="OA"/>
      <sheetName val="RE"/>
      <sheetName val="RER"/>
      <sheetName val="AHA"/>
      <sheetName val="Js"/>
      <sheetName val="H1"/>
      <sheetName val="H2"/>
      <sheetName val="H3"/>
      <sheetName val="H4"/>
      <sheetName val="GR"/>
      <sheetName val="PDA"/>
      <sheetName val="Ms"/>
      <sheetName val="ACS"/>
      <sheetName val="UR"/>
      <sheetName val="URS"/>
      <sheetName val="TRE"/>
      <sheetName val="RAT"/>
      <sheetName val="AMS"/>
      <sheetName val="SB"/>
      <sheetName val="SBC"/>
      <sheetName val="MTC"/>
      <sheetName val="S1"/>
      <sheetName val="S2"/>
      <sheetName val="S3"/>
      <sheetName val="S4"/>
      <sheetName val="S8"/>
      <sheetName val="S5"/>
      <sheetName val="S6"/>
      <sheetName val="E_I"/>
      <sheetName val="E_II"/>
      <sheetName val="E_III"/>
      <sheetName val="E_IV"/>
      <sheetName val="E_V"/>
      <sheetName val="E_VI"/>
      <sheetName val="E_VII"/>
      <sheetName val="E_VIII"/>
      <sheetName val="E_IX"/>
      <sheetName val="E_X"/>
      <sheetName val="M Comp1"/>
      <sheetName val="M Comp2"/>
      <sheetName val="TB Comp"/>
      <sheetName val="RR"/>
      <sheetName val="PY_M"/>
      <sheetName val="EC"/>
      <sheetName val="Instructions"/>
      <sheetName val="Rct"/>
      <sheetName val="Cvr"/>
      <sheetName val="Sig"/>
      <sheetName val="Sch"/>
      <sheetName val="cdefhpv"/>
      <sheetName val="rev5pda"/>
      <sheetName val="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Y2014 Summary_EBCA"/>
      <sheetName val="Community Assist GL"/>
      <sheetName val="SPONSORSHIPS"/>
      <sheetName val="HELA"/>
      <sheetName val="Carolyn's Pgms"/>
      <sheetName val="SAP Summary"/>
      <sheetName val="SAP Detail"/>
      <sheetName val="SAP Budget"/>
      <sheetName val="Absence &amp; Attendance Detail"/>
      <sheetName val="Employ Master Data"/>
      <sheetName val="FY2014 Budget Load"/>
      <sheetName val="FY2013 Schedule A "/>
    </sheetNames>
    <sheetDataSet>
      <sheetData sheetId="0" refreshError="1"/>
      <sheetData sheetId="1" refreshError="1"/>
      <sheetData sheetId="2" refreshError="1"/>
      <sheetData sheetId="3" refreshError="1"/>
      <sheetData sheetId="4" refreshError="1"/>
      <sheetData sheetId="5">
        <row r="4">
          <cell r="C4" t="str">
            <v>453013</v>
          </cell>
          <cell r="E4">
            <v>0</v>
          </cell>
          <cell r="F4">
            <v>0</v>
          </cell>
          <cell r="G4">
            <v>0</v>
          </cell>
          <cell r="H4">
            <v>0</v>
          </cell>
          <cell r="I4">
            <v>0</v>
          </cell>
          <cell r="J4">
            <v>-1575</v>
          </cell>
          <cell r="K4">
            <v>0</v>
          </cell>
          <cell r="L4">
            <v>0</v>
          </cell>
          <cell r="M4">
            <v>0</v>
          </cell>
          <cell r="N4">
            <v>0</v>
          </cell>
          <cell r="O4">
            <v>0</v>
          </cell>
          <cell r="P4">
            <v>0</v>
          </cell>
        </row>
        <row r="5">
          <cell r="C5" t="str">
            <v>453015</v>
          </cell>
          <cell r="E5">
            <v>0</v>
          </cell>
          <cell r="F5">
            <v>0</v>
          </cell>
          <cell r="G5">
            <v>0</v>
          </cell>
          <cell r="H5">
            <v>0</v>
          </cell>
          <cell r="I5">
            <v>0</v>
          </cell>
          <cell r="J5">
            <v>0</v>
          </cell>
          <cell r="K5">
            <v>0</v>
          </cell>
          <cell r="L5">
            <v>0</v>
          </cell>
          <cell r="M5">
            <v>0</v>
          </cell>
          <cell r="N5">
            <v>-900</v>
          </cell>
          <cell r="O5">
            <v>0</v>
          </cell>
          <cell r="P5">
            <v>0</v>
          </cell>
        </row>
        <row r="6">
          <cell r="C6" t="str">
            <v>610001</v>
          </cell>
          <cell r="E6">
            <v>12079.35</v>
          </cell>
          <cell r="F6">
            <v>12076.67</v>
          </cell>
          <cell r="G6">
            <v>17385.61</v>
          </cell>
          <cell r="H6">
            <v>17990.82</v>
          </cell>
          <cell r="I6">
            <v>15019.84</v>
          </cell>
          <cell r="J6">
            <v>12553.64</v>
          </cell>
          <cell r="K6">
            <v>12874.39</v>
          </cell>
          <cell r="L6">
            <v>15071.73</v>
          </cell>
          <cell r="M6">
            <v>15296.03</v>
          </cell>
          <cell r="N6">
            <v>11871.28</v>
          </cell>
          <cell r="O6">
            <v>16264.81</v>
          </cell>
          <cell r="P6">
            <v>12876.6</v>
          </cell>
        </row>
        <row r="7">
          <cell r="C7" t="str">
            <v>610019</v>
          </cell>
          <cell r="E7">
            <v>3527.32</v>
          </cell>
          <cell r="F7">
            <v>2063.6</v>
          </cell>
          <cell r="G7">
            <v>1444.1</v>
          </cell>
          <cell r="H7">
            <v>1063.52</v>
          </cell>
          <cell r="I7">
            <v>704.54</v>
          </cell>
          <cell r="J7">
            <v>1530.46</v>
          </cell>
          <cell r="K7">
            <v>1347.68</v>
          </cell>
          <cell r="L7">
            <v>-35.78</v>
          </cell>
          <cell r="M7">
            <v>889.51</v>
          </cell>
          <cell r="N7">
            <v>3792.16</v>
          </cell>
          <cell r="O7">
            <v>-320.70999999999998</v>
          </cell>
          <cell r="P7">
            <v>1649.75</v>
          </cell>
        </row>
        <row r="8">
          <cell r="C8" t="str">
            <v>610020</v>
          </cell>
          <cell r="E8">
            <v>58.42</v>
          </cell>
          <cell r="F8">
            <v>279.39999999999998</v>
          </cell>
          <cell r="G8">
            <v>76.2</v>
          </cell>
          <cell r="H8">
            <v>280.81</v>
          </cell>
          <cell r="I8">
            <v>0</v>
          </cell>
          <cell r="J8">
            <v>482.88</v>
          </cell>
          <cell r="K8">
            <v>344.91</v>
          </cell>
          <cell r="L8">
            <v>-103.47</v>
          </cell>
          <cell r="M8">
            <v>0</v>
          </cell>
          <cell r="N8">
            <v>0</v>
          </cell>
          <cell r="O8">
            <v>241.44</v>
          </cell>
          <cell r="P8">
            <v>406.11</v>
          </cell>
        </row>
        <row r="9">
          <cell r="C9" t="str">
            <v>610021</v>
          </cell>
          <cell r="E9">
            <v>876.16</v>
          </cell>
          <cell r="F9">
            <v>0</v>
          </cell>
          <cell r="G9">
            <v>873.2</v>
          </cell>
          <cell r="H9">
            <v>0</v>
          </cell>
          <cell r="I9">
            <v>0</v>
          </cell>
          <cell r="J9">
            <v>1618.56</v>
          </cell>
          <cell r="K9">
            <v>1618.54</v>
          </cell>
          <cell r="L9">
            <v>-313.26</v>
          </cell>
          <cell r="M9">
            <v>0</v>
          </cell>
          <cell r="N9">
            <v>0</v>
          </cell>
          <cell r="O9">
            <v>0</v>
          </cell>
          <cell r="P9">
            <v>730.96</v>
          </cell>
        </row>
        <row r="10">
          <cell r="C10" t="str">
            <v>610022</v>
          </cell>
          <cell r="E10">
            <v>253.11</v>
          </cell>
          <cell r="F10">
            <v>140.61000000000001</v>
          </cell>
          <cell r="G10">
            <v>992.62</v>
          </cell>
          <cell r="H10">
            <v>0</v>
          </cell>
          <cell r="I10">
            <v>0</v>
          </cell>
          <cell r="J10">
            <v>0</v>
          </cell>
          <cell r="K10">
            <v>0</v>
          </cell>
          <cell r="L10">
            <v>0</v>
          </cell>
          <cell r="M10">
            <v>0</v>
          </cell>
          <cell r="N10">
            <v>0</v>
          </cell>
          <cell r="O10">
            <v>0</v>
          </cell>
          <cell r="P10">
            <v>0</v>
          </cell>
        </row>
        <row r="11">
          <cell r="C11" t="str">
            <v>612004</v>
          </cell>
          <cell r="E11">
            <v>816.15</v>
          </cell>
          <cell r="F11">
            <v>1314.9</v>
          </cell>
          <cell r="G11">
            <v>0</v>
          </cell>
          <cell r="H11">
            <v>0</v>
          </cell>
          <cell r="I11">
            <v>0</v>
          </cell>
          <cell r="J11">
            <v>0</v>
          </cell>
          <cell r="K11">
            <v>71.25</v>
          </cell>
          <cell r="L11">
            <v>0</v>
          </cell>
          <cell r="M11">
            <v>0</v>
          </cell>
          <cell r="N11">
            <v>0</v>
          </cell>
          <cell r="O11">
            <v>0</v>
          </cell>
          <cell r="P11">
            <v>498.75</v>
          </cell>
        </row>
        <row r="12">
          <cell r="C12" t="str">
            <v>620002</v>
          </cell>
          <cell r="E12">
            <v>65.290000000000006</v>
          </cell>
          <cell r="F12">
            <v>105.2</v>
          </cell>
          <cell r="G12">
            <v>0</v>
          </cell>
          <cell r="H12">
            <v>0</v>
          </cell>
          <cell r="I12">
            <v>0</v>
          </cell>
          <cell r="J12">
            <v>0</v>
          </cell>
          <cell r="K12">
            <v>5.7</v>
          </cell>
          <cell r="L12">
            <v>0</v>
          </cell>
          <cell r="M12">
            <v>0</v>
          </cell>
          <cell r="N12">
            <v>0</v>
          </cell>
          <cell r="O12">
            <v>0</v>
          </cell>
          <cell r="P12">
            <v>39.9</v>
          </cell>
        </row>
        <row r="13">
          <cell r="C13" t="str">
            <v>620011</v>
          </cell>
          <cell r="E13">
            <v>5374.22</v>
          </cell>
          <cell r="F13">
            <v>4659.2700000000004</v>
          </cell>
          <cell r="G13">
            <v>6646.95</v>
          </cell>
          <cell r="H13">
            <v>6187.25</v>
          </cell>
          <cell r="I13">
            <v>5031.8</v>
          </cell>
          <cell r="J13">
            <v>5179.38</v>
          </cell>
          <cell r="K13">
            <v>5179.3900000000003</v>
          </cell>
          <cell r="L13">
            <v>4678.1499999999996</v>
          </cell>
          <cell r="M13">
            <v>5179.37</v>
          </cell>
          <cell r="N13">
            <v>5012.3100000000004</v>
          </cell>
          <cell r="O13">
            <v>5179.38</v>
          </cell>
          <cell r="P13">
            <v>5012.3</v>
          </cell>
        </row>
        <row r="14">
          <cell r="C14" t="str">
            <v>631003</v>
          </cell>
          <cell r="E14">
            <v>0</v>
          </cell>
          <cell r="F14">
            <v>56.58</v>
          </cell>
          <cell r="G14">
            <v>-56.58</v>
          </cell>
          <cell r="H14">
            <v>0</v>
          </cell>
          <cell r="I14">
            <v>0</v>
          </cell>
          <cell r="J14">
            <v>0</v>
          </cell>
          <cell r="K14">
            <v>0</v>
          </cell>
          <cell r="L14">
            <v>0</v>
          </cell>
          <cell r="M14">
            <v>0</v>
          </cell>
          <cell r="N14">
            <v>0</v>
          </cell>
          <cell r="O14">
            <v>0</v>
          </cell>
          <cell r="P14">
            <v>0</v>
          </cell>
        </row>
        <row r="15">
          <cell r="C15" t="str">
            <v>633032</v>
          </cell>
          <cell r="E15">
            <v>7111.34</v>
          </cell>
          <cell r="F15">
            <v>676.74</v>
          </cell>
          <cell r="G15">
            <v>57.94</v>
          </cell>
          <cell r="H15">
            <v>180</v>
          </cell>
          <cell r="I15">
            <v>0</v>
          </cell>
          <cell r="J15">
            <v>136.35</v>
          </cell>
          <cell r="K15">
            <v>124</v>
          </cell>
          <cell r="L15">
            <v>-42.3</v>
          </cell>
          <cell r="M15">
            <v>-0.61</v>
          </cell>
          <cell r="N15">
            <v>177.08</v>
          </cell>
          <cell r="O15">
            <v>128</v>
          </cell>
          <cell r="P15">
            <v>208.94</v>
          </cell>
        </row>
        <row r="16">
          <cell r="C16" t="str">
            <v>633037</v>
          </cell>
          <cell r="E16">
            <v>0</v>
          </cell>
          <cell r="F16">
            <v>0</v>
          </cell>
          <cell r="G16">
            <v>295</v>
          </cell>
          <cell r="H16">
            <v>0</v>
          </cell>
          <cell r="I16">
            <v>0</v>
          </cell>
          <cell r="J16">
            <v>0</v>
          </cell>
          <cell r="K16">
            <v>0</v>
          </cell>
          <cell r="L16">
            <v>0</v>
          </cell>
          <cell r="M16">
            <v>0</v>
          </cell>
          <cell r="N16">
            <v>0</v>
          </cell>
          <cell r="O16">
            <v>-295</v>
          </cell>
          <cell r="P16">
            <v>0</v>
          </cell>
        </row>
        <row r="17">
          <cell r="C17" t="str">
            <v>637001</v>
          </cell>
          <cell r="E17">
            <v>0</v>
          </cell>
          <cell r="F17">
            <v>97.27</v>
          </cell>
          <cell r="G17">
            <v>0</v>
          </cell>
          <cell r="H17">
            <v>30</v>
          </cell>
          <cell r="I17">
            <v>0</v>
          </cell>
          <cell r="J17">
            <v>0</v>
          </cell>
          <cell r="K17">
            <v>0</v>
          </cell>
          <cell r="L17">
            <v>0</v>
          </cell>
          <cell r="M17">
            <v>0</v>
          </cell>
          <cell r="N17">
            <v>0</v>
          </cell>
          <cell r="O17">
            <v>0</v>
          </cell>
          <cell r="P17">
            <v>0</v>
          </cell>
        </row>
        <row r="18">
          <cell r="C18" t="str">
            <v>640202</v>
          </cell>
          <cell r="E18">
            <v>0</v>
          </cell>
          <cell r="F18">
            <v>0</v>
          </cell>
          <cell r="G18">
            <v>0</v>
          </cell>
          <cell r="H18">
            <v>0</v>
          </cell>
          <cell r="I18">
            <v>264.47000000000003</v>
          </cell>
          <cell r="J18">
            <v>0</v>
          </cell>
          <cell r="K18">
            <v>0</v>
          </cell>
          <cell r="L18">
            <v>0</v>
          </cell>
          <cell r="M18">
            <v>0</v>
          </cell>
          <cell r="N18">
            <v>0</v>
          </cell>
          <cell r="O18">
            <v>0</v>
          </cell>
          <cell r="P18">
            <v>0</v>
          </cell>
        </row>
        <row r="19">
          <cell r="C19" t="str">
            <v>640281</v>
          </cell>
          <cell r="E19">
            <v>0</v>
          </cell>
          <cell r="F19">
            <v>0</v>
          </cell>
          <cell r="G19">
            <v>0</v>
          </cell>
          <cell r="H19">
            <v>0</v>
          </cell>
          <cell r="I19">
            <v>0</v>
          </cell>
          <cell r="J19">
            <v>0</v>
          </cell>
          <cell r="K19">
            <v>0</v>
          </cell>
          <cell r="L19">
            <v>0</v>
          </cell>
          <cell r="M19">
            <v>224.7</v>
          </cell>
          <cell r="N19">
            <v>0</v>
          </cell>
          <cell r="O19">
            <v>0</v>
          </cell>
          <cell r="P19">
            <v>0</v>
          </cell>
        </row>
        <row r="20">
          <cell r="C20" t="str">
            <v>640282</v>
          </cell>
          <cell r="E20">
            <v>211.58</v>
          </cell>
          <cell r="F20">
            <v>245.34</v>
          </cell>
          <cell r="G20">
            <v>272.82</v>
          </cell>
          <cell r="H20">
            <v>47.76</v>
          </cell>
          <cell r="I20">
            <v>283.14999999999998</v>
          </cell>
          <cell r="J20">
            <v>47.76</v>
          </cell>
          <cell r="K20">
            <v>55.72</v>
          </cell>
          <cell r="L20">
            <v>31.84</v>
          </cell>
          <cell r="M20">
            <v>66.040000000000006</v>
          </cell>
          <cell r="N20">
            <v>79.599999999999994</v>
          </cell>
          <cell r="O20">
            <v>31.84</v>
          </cell>
          <cell r="P20">
            <v>63.68</v>
          </cell>
        </row>
        <row r="21">
          <cell r="C21" t="str">
            <v>640301</v>
          </cell>
          <cell r="E21">
            <v>0</v>
          </cell>
          <cell r="F21">
            <v>0</v>
          </cell>
          <cell r="G21">
            <v>0</v>
          </cell>
          <cell r="H21">
            <v>0</v>
          </cell>
          <cell r="I21">
            <v>0</v>
          </cell>
          <cell r="J21">
            <v>4542.5</v>
          </cell>
          <cell r="K21">
            <v>0</v>
          </cell>
          <cell r="L21">
            <v>3678.95</v>
          </cell>
          <cell r="M21">
            <v>0</v>
          </cell>
          <cell r="N21">
            <v>0</v>
          </cell>
          <cell r="O21">
            <v>0</v>
          </cell>
          <cell r="P21">
            <v>160</v>
          </cell>
        </row>
        <row r="22">
          <cell r="C22" t="str">
            <v>640304</v>
          </cell>
          <cell r="E22">
            <v>0</v>
          </cell>
          <cell r="F22">
            <v>0</v>
          </cell>
          <cell r="G22">
            <v>3500</v>
          </cell>
          <cell r="H22">
            <v>612.5</v>
          </cell>
          <cell r="I22">
            <v>0</v>
          </cell>
          <cell r="J22">
            <v>0</v>
          </cell>
          <cell r="K22">
            <v>0</v>
          </cell>
          <cell r="L22">
            <v>0</v>
          </cell>
          <cell r="M22">
            <v>0</v>
          </cell>
          <cell r="N22">
            <v>0</v>
          </cell>
          <cell r="O22">
            <v>0</v>
          </cell>
          <cell r="P22">
            <v>0</v>
          </cell>
        </row>
        <row r="23">
          <cell r="C23" t="str">
            <v>640381</v>
          </cell>
          <cell r="E23">
            <v>0</v>
          </cell>
          <cell r="F23">
            <v>0</v>
          </cell>
          <cell r="G23">
            <v>1000</v>
          </cell>
          <cell r="H23">
            <v>0</v>
          </cell>
          <cell r="I23">
            <v>0</v>
          </cell>
          <cell r="J23">
            <v>3050</v>
          </cell>
          <cell r="K23">
            <v>0</v>
          </cell>
          <cell r="L23">
            <v>0</v>
          </cell>
          <cell r="M23">
            <v>0</v>
          </cell>
          <cell r="N23">
            <v>30000</v>
          </cell>
          <cell r="O23">
            <v>0</v>
          </cell>
          <cell r="P23">
            <v>432</v>
          </cell>
        </row>
        <row r="24">
          <cell r="C24" t="str">
            <v>641405</v>
          </cell>
          <cell r="E24">
            <v>0</v>
          </cell>
          <cell r="F24">
            <v>0</v>
          </cell>
          <cell r="G24">
            <v>40</v>
          </cell>
          <cell r="H24">
            <v>40</v>
          </cell>
          <cell r="I24">
            <v>0</v>
          </cell>
          <cell r="J24">
            <v>0</v>
          </cell>
          <cell r="K24">
            <v>0</v>
          </cell>
          <cell r="L24">
            <v>0</v>
          </cell>
          <cell r="M24">
            <v>0</v>
          </cell>
          <cell r="N24">
            <v>0</v>
          </cell>
          <cell r="O24">
            <v>0</v>
          </cell>
          <cell r="P24">
            <v>60</v>
          </cell>
        </row>
        <row r="25">
          <cell r="C25" t="str">
            <v>641508</v>
          </cell>
          <cell r="E25">
            <v>82.9</v>
          </cell>
          <cell r="F25">
            <v>0</v>
          </cell>
          <cell r="G25">
            <v>0</v>
          </cell>
          <cell r="H25">
            <v>0</v>
          </cell>
          <cell r="I25">
            <v>0</v>
          </cell>
          <cell r="J25">
            <v>750</v>
          </cell>
          <cell r="K25">
            <v>0</v>
          </cell>
          <cell r="L25">
            <v>0</v>
          </cell>
          <cell r="M25">
            <v>0</v>
          </cell>
          <cell r="N25">
            <v>0</v>
          </cell>
          <cell r="O25">
            <v>0</v>
          </cell>
          <cell r="P25">
            <v>0</v>
          </cell>
        </row>
        <row r="26">
          <cell r="C26" t="str">
            <v>642003</v>
          </cell>
          <cell r="E26">
            <v>1153.8</v>
          </cell>
          <cell r="F26">
            <v>792.35</v>
          </cell>
          <cell r="G26">
            <v>490.58</v>
          </cell>
          <cell r="H26">
            <v>1007.45</v>
          </cell>
          <cell r="I26">
            <v>169.96</v>
          </cell>
          <cell r="J26">
            <v>1503.74</v>
          </cell>
          <cell r="K26">
            <v>2030.21</v>
          </cell>
          <cell r="L26">
            <v>2041.75</v>
          </cell>
          <cell r="M26">
            <v>447.49</v>
          </cell>
          <cell r="N26">
            <v>159.72</v>
          </cell>
          <cell r="O26">
            <v>328.08</v>
          </cell>
          <cell r="P26">
            <v>0</v>
          </cell>
        </row>
        <row r="27">
          <cell r="C27" t="str">
            <v>642101</v>
          </cell>
          <cell r="E27">
            <v>0</v>
          </cell>
          <cell r="F27">
            <v>0</v>
          </cell>
          <cell r="G27">
            <v>0</v>
          </cell>
          <cell r="H27">
            <v>0</v>
          </cell>
          <cell r="I27">
            <v>0</v>
          </cell>
          <cell r="J27">
            <v>0</v>
          </cell>
          <cell r="K27">
            <v>1578</v>
          </cell>
          <cell r="L27">
            <v>0</v>
          </cell>
          <cell r="M27">
            <v>0</v>
          </cell>
          <cell r="N27">
            <v>0</v>
          </cell>
          <cell r="O27">
            <v>0</v>
          </cell>
          <cell r="P27">
            <v>0</v>
          </cell>
        </row>
        <row r="28">
          <cell r="C28" t="str">
            <v>647001</v>
          </cell>
          <cell r="E28">
            <v>0</v>
          </cell>
          <cell r="F28">
            <v>0</v>
          </cell>
          <cell r="G28">
            <v>0</v>
          </cell>
          <cell r="H28">
            <v>0</v>
          </cell>
          <cell r="I28">
            <v>0</v>
          </cell>
          <cell r="J28">
            <v>0</v>
          </cell>
          <cell r="K28">
            <v>550</v>
          </cell>
          <cell r="L28">
            <v>0</v>
          </cell>
          <cell r="M28">
            <v>0</v>
          </cell>
          <cell r="N28">
            <v>0</v>
          </cell>
          <cell r="O28">
            <v>0</v>
          </cell>
          <cell r="P28">
            <v>0</v>
          </cell>
        </row>
        <row r="29">
          <cell r="C29" t="str">
            <v>647002</v>
          </cell>
          <cell r="E29">
            <v>-750</v>
          </cell>
          <cell r="F29">
            <v>0</v>
          </cell>
          <cell r="G29">
            <v>329.9</v>
          </cell>
          <cell r="H29">
            <v>0</v>
          </cell>
          <cell r="I29">
            <v>0</v>
          </cell>
          <cell r="J29">
            <v>0</v>
          </cell>
          <cell r="K29">
            <v>0</v>
          </cell>
          <cell r="L29">
            <v>0</v>
          </cell>
          <cell r="M29">
            <v>0</v>
          </cell>
          <cell r="N29">
            <v>395</v>
          </cell>
          <cell r="O29">
            <v>0</v>
          </cell>
          <cell r="P29">
            <v>0</v>
          </cell>
        </row>
        <row r="30">
          <cell r="C30" t="str">
            <v>652001</v>
          </cell>
          <cell r="E30">
            <v>77.11</v>
          </cell>
          <cell r="F30">
            <v>209.94</v>
          </cell>
          <cell r="G30">
            <v>22.04</v>
          </cell>
          <cell r="H30">
            <v>187.27</v>
          </cell>
          <cell r="I30">
            <v>6.78</v>
          </cell>
          <cell r="J30">
            <v>0</v>
          </cell>
          <cell r="K30">
            <v>346</v>
          </cell>
          <cell r="L30">
            <v>62.94</v>
          </cell>
          <cell r="M30">
            <v>13.88</v>
          </cell>
          <cell r="N30">
            <v>218.08</v>
          </cell>
          <cell r="O30">
            <v>195.43</v>
          </cell>
          <cell r="P30">
            <v>770.62</v>
          </cell>
        </row>
        <row r="31">
          <cell r="C31" t="str">
            <v>654305</v>
          </cell>
          <cell r="E31">
            <v>44118.81</v>
          </cell>
          <cell r="F31">
            <v>4492.26</v>
          </cell>
          <cell r="G31">
            <v>27239.85</v>
          </cell>
          <cell r="H31">
            <v>8078.98</v>
          </cell>
          <cell r="I31">
            <v>16542.89</v>
          </cell>
          <cell r="J31">
            <v>21972.62</v>
          </cell>
          <cell r="K31">
            <v>36240.870000000003</v>
          </cell>
          <cell r="L31">
            <v>7314.07</v>
          </cell>
          <cell r="M31">
            <v>7860.38</v>
          </cell>
          <cell r="N31">
            <v>37714.07</v>
          </cell>
          <cell r="O31">
            <v>29705.68</v>
          </cell>
          <cell r="P31">
            <v>27989.72</v>
          </cell>
        </row>
        <row r="32">
          <cell r="C32" t="str">
            <v>654307</v>
          </cell>
          <cell r="E32">
            <v>0</v>
          </cell>
          <cell r="F32">
            <v>1050</v>
          </cell>
          <cell r="G32">
            <v>0</v>
          </cell>
          <cell r="H32">
            <v>0</v>
          </cell>
          <cell r="I32">
            <v>0</v>
          </cell>
          <cell r="J32">
            <v>0</v>
          </cell>
          <cell r="K32">
            <v>0</v>
          </cell>
          <cell r="L32">
            <v>0</v>
          </cell>
          <cell r="M32">
            <v>0</v>
          </cell>
          <cell r="N32">
            <v>0</v>
          </cell>
          <cell r="O32">
            <v>0</v>
          </cell>
          <cell r="P32">
            <v>0</v>
          </cell>
        </row>
        <row r="33">
          <cell r="C33" t="str">
            <v>900106</v>
          </cell>
          <cell r="E33">
            <v>-55283.75</v>
          </cell>
          <cell r="F33">
            <v>-55283.75</v>
          </cell>
          <cell r="G33">
            <v>-55283.75</v>
          </cell>
          <cell r="H33">
            <v>-55283.75</v>
          </cell>
          <cell r="I33">
            <v>-55283.75</v>
          </cell>
          <cell r="J33">
            <v>-55283.75</v>
          </cell>
          <cell r="K33">
            <v>-55283.75</v>
          </cell>
          <cell r="L33">
            <v>-55283.75</v>
          </cell>
          <cell r="M33">
            <v>-55283.75</v>
          </cell>
          <cell r="N33">
            <v>-55283.75</v>
          </cell>
          <cell r="O33">
            <v>-55283.75</v>
          </cell>
          <cell r="P33">
            <v>-55283.75</v>
          </cell>
        </row>
        <row r="34">
          <cell r="C34" t="str">
            <v>921200</v>
          </cell>
          <cell r="E34">
            <v>2643.33</v>
          </cell>
          <cell r="F34">
            <v>0</v>
          </cell>
          <cell r="G34">
            <v>0</v>
          </cell>
          <cell r="H34">
            <v>0</v>
          </cell>
          <cell r="I34">
            <v>0</v>
          </cell>
          <cell r="J34">
            <v>0</v>
          </cell>
          <cell r="K34">
            <v>0</v>
          </cell>
          <cell r="L34">
            <v>0</v>
          </cell>
          <cell r="M34">
            <v>0</v>
          </cell>
          <cell r="N34">
            <v>0</v>
          </cell>
          <cell r="O34">
            <v>0</v>
          </cell>
          <cell r="P34">
            <v>0</v>
          </cell>
        </row>
        <row r="35">
          <cell r="C35" t="str">
            <v>921203</v>
          </cell>
          <cell r="E35">
            <v>0</v>
          </cell>
          <cell r="F35">
            <v>0</v>
          </cell>
          <cell r="G35">
            <v>0</v>
          </cell>
          <cell r="H35">
            <v>0</v>
          </cell>
          <cell r="I35">
            <v>0</v>
          </cell>
          <cell r="J35">
            <v>0</v>
          </cell>
          <cell r="K35">
            <v>0</v>
          </cell>
          <cell r="L35">
            <v>0</v>
          </cell>
          <cell r="M35">
            <v>0</v>
          </cell>
          <cell r="N35">
            <v>625</v>
          </cell>
          <cell r="O35">
            <v>0</v>
          </cell>
          <cell r="P35">
            <v>0</v>
          </cell>
        </row>
        <row r="36">
          <cell r="C36" t="str">
            <v>921206</v>
          </cell>
          <cell r="E36">
            <v>118</v>
          </cell>
          <cell r="F36">
            <v>118</v>
          </cell>
          <cell r="G36">
            <v>118</v>
          </cell>
          <cell r="H36">
            <v>118</v>
          </cell>
          <cell r="I36">
            <v>118</v>
          </cell>
          <cell r="J36">
            <v>118</v>
          </cell>
          <cell r="K36">
            <v>118</v>
          </cell>
          <cell r="L36">
            <v>118</v>
          </cell>
          <cell r="M36">
            <v>118</v>
          </cell>
          <cell r="N36">
            <v>118</v>
          </cell>
          <cell r="O36">
            <v>118</v>
          </cell>
          <cell r="P36">
            <v>118</v>
          </cell>
        </row>
        <row r="37">
          <cell r="C37" t="str">
            <v>921213</v>
          </cell>
          <cell r="E37">
            <v>0</v>
          </cell>
          <cell r="F37">
            <v>0</v>
          </cell>
          <cell r="G37">
            <v>307.5</v>
          </cell>
          <cell r="H37">
            <v>0</v>
          </cell>
          <cell r="I37">
            <v>0</v>
          </cell>
          <cell r="J37">
            <v>0</v>
          </cell>
          <cell r="K37">
            <v>0</v>
          </cell>
          <cell r="L37">
            <v>0</v>
          </cell>
          <cell r="M37">
            <v>0</v>
          </cell>
          <cell r="N37">
            <v>0</v>
          </cell>
          <cell r="O37">
            <v>862.5</v>
          </cell>
          <cell r="P37">
            <v>2023.75</v>
          </cell>
        </row>
        <row r="38">
          <cell r="C38" t="str">
            <v>921308</v>
          </cell>
          <cell r="E38">
            <v>0</v>
          </cell>
          <cell r="F38">
            <v>0</v>
          </cell>
          <cell r="G38">
            <v>0</v>
          </cell>
          <cell r="H38">
            <v>311.83999999999997</v>
          </cell>
          <cell r="I38">
            <v>144.94999999999999</v>
          </cell>
          <cell r="J38">
            <v>0</v>
          </cell>
          <cell r="K38">
            <v>0</v>
          </cell>
          <cell r="L38">
            <v>0</v>
          </cell>
          <cell r="M38">
            <v>0</v>
          </cell>
          <cell r="N38">
            <v>0</v>
          </cell>
          <cell r="O38">
            <v>0</v>
          </cell>
          <cell r="P38">
            <v>0</v>
          </cell>
        </row>
        <row r="39">
          <cell r="C39" t="str">
            <v>921374</v>
          </cell>
          <cell r="E39">
            <v>0</v>
          </cell>
          <cell r="F39">
            <v>0</v>
          </cell>
          <cell r="G39">
            <v>0</v>
          </cell>
          <cell r="H39">
            <v>0</v>
          </cell>
          <cell r="I39">
            <v>0</v>
          </cell>
          <cell r="J39">
            <v>0</v>
          </cell>
          <cell r="K39">
            <v>0</v>
          </cell>
          <cell r="L39">
            <v>0</v>
          </cell>
          <cell r="M39">
            <v>0</v>
          </cell>
          <cell r="N39">
            <v>0</v>
          </cell>
          <cell r="O39">
            <v>3735</v>
          </cell>
          <cell r="P39">
            <v>0</v>
          </cell>
        </row>
        <row r="40">
          <cell r="C40" t="str">
            <v>921395</v>
          </cell>
          <cell r="E40">
            <v>50</v>
          </cell>
          <cell r="F40">
            <v>50</v>
          </cell>
          <cell r="G40">
            <v>30</v>
          </cell>
          <cell r="H40">
            <v>30</v>
          </cell>
          <cell r="I40">
            <v>0</v>
          </cell>
          <cell r="J40">
            <v>0</v>
          </cell>
          <cell r="K40">
            <v>0</v>
          </cell>
          <cell r="L40">
            <v>0</v>
          </cell>
          <cell r="M40">
            <v>0</v>
          </cell>
          <cell r="N40">
            <v>0</v>
          </cell>
          <cell r="O40">
            <v>0</v>
          </cell>
          <cell r="P40">
            <v>0</v>
          </cell>
        </row>
        <row r="41">
          <cell r="C41" t="str">
            <v>921409</v>
          </cell>
          <cell r="E41">
            <v>0</v>
          </cell>
          <cell r="F41">
            <v>228</v>
          </cell>
          <cell r="G41">
            <v>0</v>
          </cell>
          <cell r="H41">
            <v>0</v>
          </cell>
          <cell r="I41">
            <v>0</v>
          </cell>
          <cell r="J41">
            <v>0</v>
          </cell>
          <cell r="K41">
            <v>0</v>
          </cell>
          <cell r="L41">
            <v>0</v>
          </cell>
          <cell r="M41">
            <v>511</v>
          </cell>
          <cell r="N41">
            <v>0</v>
          </cell>
          <cell r="O41">
            <v>322</v>
          </cell>
          <cell r="P41">
            <v>0</v>
          </cell>
        </row>
        <row r="42">
          <cell r="C42" t="str">
            <v>924001</v>
          </cell>
          <cell r="E42">
            <v>0</v>
          </cell>
          <cell r="F42">
            <v>0</v>
          </cell>
          <cell r="G42">
            <v>0</v>
          </cell>
          <cell r="H42">
            <v>0</v>
          </cell>
          <cell r="I42">
            <v>0</v>
          </cell>
          <cell r="J42">
            <v>0</v>
          </cell>
          <cell r="K42">
            <v>0</v>
          </cell>
          <cell r="L42">
            <v>0</v>
          </cell>
          <cell r="M42">
            <v>594</v>
          </cell>
          <cell r="N42">
            <v>0</v>
          </cell>
          <cell r="O42">
            <v>1039.6199999999999</v>
          </cell>
          <cell r="P42">
            <v>0</v>
          </cell>
        </row>
        <row r="43">
          <cell r="C43" t="str">
            <v>924212</v>
          </cell>
          <cell r="E43">
            <v>0</v>
          </cell>
          <cell r="F43">
            <v>0</v>
          </cell>
          <cell r="G43">
            <v>0</v>
          </cell>
          <cell r="H43">
            <v>0</v>
          </cell>
          <cell r="I43">
            <v>232.79</v>
          </cell>
          <cell r="J43">
            <v>228.72</v>
          </cell>
          <cell r="K43">
            <v>184.14</v>
          </cell>
          <cell r="L43">
            <v>257.91000000000003</v>
          </cell>
          <cell r="M43">
            <v>108.35</v>
          </cell>
          <cell r="N43">
            <v>204.12</v>
          </cell>
          <cell r="O43">
            <v>543.16999999999996</v>
          </cell>
          <cell r="P43">
            <v>-1800</v>
          </cell>
        </row>
        <row r="44">
          <cell r="C44" t="str">
            <v>924902</v>
          </cell>
          <cell r="E44">
            <v>120</v>
          </cell>
          <cell r="F44">
            <v>585</v>
          </cell>
          <cell r="G44">
            <v>125</v>
          </cell>
          <cell r="H44">
            <v>125</v>
          </cell>
          <cell r="I44">
            <v>125</v>
          </cell>
          <cell r="J44">
            <v>125</v>
          </cell>
          <cell r="K44">
            <v>125</v>
          </cell>
          <cell r="L44">
            <v>125</v>
          </cell>
          <cell r="M44">
            <v>875</v>
          </cell>
          <cell r="N44">
            <v>125</v>
          </cell>
          <cell r="O44">
            <v>185</v>
          </cell>
          <cell r="P44">
            <v>0</v>
          </cell>
        </row>
        <row r="45">
          <cell r="C45" t="str">
            <v>924904</v>
          </cell>
          <cell r="E45">
            <v>0</v>
          </cell>
          <cell r="F45">
            <v>0</v>
          </cell>
          <cell r="G45">
            <v>0</v>
          </cell>
          <cell r="H45">
            <v>0</v>
          </cell>
          <cell r="I45">
            <v>4160</v>
          </cell>
          <cell r="J45">
            <v>0</v>
          </cell>
          <cell r="K45">
            <v>0</v>
          </cell>
          <cell r="L45">
            <v>0</v>
          </cell>
          <cell r="M45">
            <v>0</v>
          </cell>
          <cell r="N45">
            <v>0</v>
          </cell>
          <cell r="O45">
            <v>0</v>
          </cell>
          <cell r="P45">
            <v>0</v>
          </cell>
        </row>
        <row r="46">
          <cell r="C46" t="str">
            <v>924905</v>
          </cell>
          <cell r="E46">
            <v>0</v>
          </cell>
          <cell r="F46">
            <v>0</v>
          </cell>
          <cell r="G46">
            <v>0</v>
          </cell>
          <cell r="H46">
            <v>0</v>
          </cell>
          <cell r="I46">
            <v>0</v>
          </cell>
          <cell r="J46">
            <v>0</v>
          </cell>
          <cell r="K46">
            <v>0</v>
          </cell>
          <cell r="L46">
            <v>0</v>
          </cell>
          <cell r="M46">
            <v>47.5</v>
          </cell>
          <cell r="N46">
            <v>0</v>
          </cell>
          <cell r="O46">
            <v>0</v>
          </cell>
          <cell r="P46">
            <v>0</v>
          </cell>
        </row>
        <row r="47">
          <cell r="C47" t="str">
            <v>960100</v>
          </cell>
          <cell r="E47">
            <v>0</v>
          </cell>
          <cell r="F47">
            <v>0</v>
          </cell>
          <cell r="G47">
            <v>0</v>
          </cell>
          <cell r="H47">
            <v>-6892.04</v>
          </cell>
          <cell r="I47">
            <v>6357.87</v>
          </cell>
          <cell r="J47">
            <v>-6357.87</v>
          </cell>
          <cell r="K47">
            <v>845.69</v>
          </cell>
          <cell r="L47">
            <v>-743.25</v>
          </cell>
          <cell r="M47">
            <v>0</v>
          </cell>
          <cell r="N47">
            <v>0</v>
          </cell>
          <cell r="O47">
            <v>0</v>
          </cell>
          <cell r="P47">
            <v>0</v>
          </cell>
        </row>
        <row r="48">
          <cell r="C48" t="str">
            <v>960200</v>
          </cell>
          <cell r="E48">
            <v>0</v>
          </cell>
          <cell r="F48">
            <v>0</v>
          </cell>
          <cell r="G48">
            <v>0</v>
          </cell>
          <cell r="H48">
            <v>-2343.29</v>
          </cell>
          <cell r="I48">
            <v>2161.6799999999998</v>
          </cell>
          <cell r="J48">
            <v>-2161.6799999999998</v>
          </cell>
          <cell r="K48">
            <v>287.54000000000002</v>
          </cell>
          <cell r="L48">
            <v>-252.71</v>
          </cell>
          <cell r="M48">
            <v>0</v>
          </cell>
          <cell r="N48">
            <v>0</v>
          </cell>
          <cell r="O48">
            <v>0</v>
          </cell>
          <cell r="P48">
            <v>0</v>
          </cell>
        </row>
        <row r="49">
          <cell r="C49" t="str">
            <v>960300</v>
          </cell>
          <cell r="E49">
            <v>0</v>
          </cell>
          <cell r="F49">
            <v>0</v>
          </cell>
          <cell r="G49">
            <v>0</v>
          </cell>
          <cell r="H49">
            <v>-537.29999999999995</v>
          </cell>
          <cell r="I49">
            <v>2311.4</v>
          </cell>
          <cell r="J49">
            <v>-2311.4</v>
          </cell>
          <cell r="K49">
            <v>546.53</v>
          </cell>
          <cell r="L49">
            <v>-546.53</v>
          </cell>
          <cell r="M49">
            <v>0</v>
          </cell>
          <cell r="N49">
            <v>0</v>
          </cell>
          <cell r="O49">
            <v>0</v>
          </cell>
          <cell r="P49">
            <v>0</v>
          </cell>
        </row>
        <row r="50">
          <cell r="C50" t="str">
            <v>960400</v>
          </cell>
          <cell r="E50">
            <v>0</v>
          </cell>
          <cell r="F50">
            <v>0</v>
          </cell>
          <cell r="G50">
            <v>0</v>
          </cell>
          <cell r="H50">
            <v>0</v>
          </cell>
          <cell r="I50">
            <v>0</v>
          </cell>
          <cell r="J50">
            <v>0</v>
          </cell>
          <cell r="K50">
            <v>0</v>
          </cell>
          <cell r="L50">
            <v>2068.4899999999998</v>
          </cell>
          <cell r="M50">
            <v>0</v>
          </cell>
          <cell r="N50">
            <v>0</v>
          </cell>
          <cell r="O50">
            <v>0</v>
          </cell>
          <cell r="P50">
            <v>0</v>
          </cell>
        </row>
        <row r="51">
          <cell r="C51" t="str">
            <v>970003</v>
          </cell>
          <cell r="E51">
            <v>-9.6</v>
          </cell>
          <cell r="F51">
            <v>0</v>
          </cell>
          <cell r="G51">
            <v>0.3</v>
          </cell>
          <cell r="H51">
            <v>0.9</v>
          </cell>
          <cell r="I51">
            <v>1.1000000000000001</v>
          </cell>
          <cell r="J51">
            <v>0.3</v>
          </cell>
          <cell r="K51">
            <v>0.6</v>
          </cell>
          <cell r="L51">
            <v>0.6</v>
          </cell>
          <cell r="M51">
            <v>1</v>
          </cell>
          <cell r="N51">
            <v>-0.8</v>
          </cell>
          <cell r="O51">
            <v>0</v>
          </cell>
          <cell r="P51">
            <v>0.6</v>
          </cell>
        </row>
        <row r="52">
          <cell r="C52" t="str">
            <v>970004</v>
          </cell>
          <cell r="E52">
            <v>8.61</v>
          </cell>
          <cell r="F52">
            <v>5.3</v>
          </cell>
          <cell r="G52">
            <v>2.2599999999999998</v>
          </cell>
          <cell r="H52">
            <v>-1.34</v>
          </cell>
          <cell r="I52">
            <v>6.77</v>
          </cell>
          <cell r="J52">
            <v>-1.4</v>
          </cell>
          <cell r="K52">
            <v>1.23</v>
          </cell>
          <cell r="L52">
            <v>3.49</v>
          </cell>
          <cell r="M52">
            <v>4.1500000000000004</v>
          </cell>
          <cell r="N52">
            <v>0.05</v>
          </cell>
          <cell r="O52">
            <v>0.8</v>
          </cell>
          <cell r="P52">
            <v>1.45</v>
          </cell>
        </row>
        <row r="53">
          <cell r="C53" t="str">
            <v>970005</v>
          </cell>
          <cell r="E53">
            <v>194.62</v>
          </cell>
          <cell r="F53">
            <v>-75.180000000000007</v>
          </cell>
          <cell r="G53">
            <v>121.06</v>
          </cell>
          <cell r="H53">
            <v>72</v>
          </cell>
          <cell r="I53">
            <v>72</v>
          </cell>
          <cell r="J53">
            <v>72</v>
          </cell>
          <cell r="K53">
            <v>72</v>
          </cell>
          <cell r="L53">
            <v>72</v>
          </cell>
          <cell r="M53">
            <v>72</v>
          </cell>
          <cell r="N53">
            <v>72</v>
          </cell>
          <cell r="O53">
            <v>72</v>
          </cell>
          <cell r="P53">
            <v>72</v>
          </cell>
        </row>
        <row r="54">
          <cell r="C54" t="str">
            <v>970008</v>
          </cell>
          <cell r="E54">
            <v>67</v>
          </cell>
          <cell r="F54">
            <v>80.5</v>
          </cell>
          <cell r="G54">
            <v>80.5</v>
          </cell>
          <cell r="H54">
            <v>80.5</v>
          </cell>
          <cell r="I54">
            <v>80.5</v>
          </cell>
          <cell r="J54">
            <v>80.5</v>
          </cell>
          <cell r="K54">
            <v>80.5</v>
          </cell>
          <cell r="L54">
            <v>80.5</v>
          </cell>
          <cell r="M54">
            <v>80.5</v>
          </cell>
          <cell r="N54">
            <v>80.5</v>
          </cell>
          <cell r="O54">
            <v>80.5</v>
          </cell>
          <cell r="P54">
            <v>80.5</v>
          </cell>
        </row>
        <row r="55">
          <cell r="C55" t="str">
            <v>970023</v>
          </cell>
          <cell r="E55">
            <v>0</v>
          </cell>
          <cell r="F55">
            <v>0</v>
          </cell>
          <cell r="G55">
            <v>0</v>
          </cell>
          <cell r="H55">
            <v>0</v>
          </cell>
          <cell r="I55">
            <v>0</v>
          </cell>
          <cell r="J55">
            <v>30</v>
          </cell>
          <cell r="K55">
            <v>0</v>
          </cell>
          <cell r="L55">
            <v>0</v>
          </cell>
          <cell r="M55">
            <v>0</v>
          </cell>
          <cell r="N55">
            <v>0</v>
          </cell>
          <cell r="O55">
            <v>20</v>
          </cell>
          <cell r="P55">
            <v>0</v>
          </cell>
        </row>
        <row r="56">
          <cell r="C56" t="str">
            <v>970024</v>
          </cell>
          <cell r="E56">
            <v>240</v>
          </cell>
          <cell r="F56">
            <v>240</v>
          </cell>
          <cell r="G56">
            <v>240</v>
          </cell>
          <cell r="H56">
            <v>240</v>
          </cell>
          <cell r="I56">
            <v>240</v>
          </cell>
          <cell r="J56">
            <v>240</v>
          </cell>
          <cell r="K56">
            <v>240</v>
          </cell>
          <cell r="L56">
            <v>240</v>
          </cell>
          <cell r="M56">
            <v>240</v>
          </cell>
          <cell r="N56">
            <v>240</v>
          </cell>
          <cell r="O56">
            <v>240</v>
          </cell>
          <cell r="P56">
            <v>240</v>
          </cell>
        </row>
        <row r="57">
          <cell r="C57" t="str">
            <v>970180</v>
          </cell>
          <cell r="E57">
            <v>0</v>
          </cell>
          <cell r="F57">
            <v>0</v>
          </cell>
          <cell r="G57">
            <v>0</v>
          </cell>
          <cell r="H57">
            <v>0</v>
          </cell>
          <cell r="I57">
            <v>30</v>
          </cell>
          <cell r="J57">
            <v>30</v>
          </cell>
          <cell r="K57">
            <v>30</v>
          </cell>
          <cell r="L57">
            <v>30</v>
          </cell>
          <cell r="M57">
            <v>30</v>
          </cell>
          <cell r="N57">
            <v>25</v>
          </cell>
          <cell r="O57">
            <v>25</v>
          </cell>
          <cell r="P57">
            <v>25</v>
          </cell>
        </row>
        <row r="58">
          <cell r="C58" t="str">
            <v>995300</v>
          </cell>
          <cell r="E58">
            <v>0</v>
          </cell>
          <cell r="F58">
            <v>0</v>
          </cell>
          <cell r="G58">
            <v>0</v>
          </cell>
          <cell r="H58">
            <v>0</v>
          </cell>
          <cell r="I58">
            <v>0</v>
          </cell>
          <cell r="J58">
            <v>0</v>
          </cell>
          <cell r="K58">
            <v>0</v>
          </cell>
          <cell r="L58">
            <v>0</v>
          </cell>
          <cell r="M58">
            <v>0</v>
          </cell>
          <cell r="N58">
            <v>202.5</v>
          </cell>
          <cell r="O58">
            <v>0</v>
          </cell>
          <cell r="P58">
            <v>0</v>
          </cell>
        </row>
        <row r="59">
          <cell r="C59" t="str">
            <v>995402</v>
          </cell>
          <cell r="E59">
            <v>317</v>
          </cell>
          <cell r="F59">
            <v>418.5</v>
          </cell>
          <cell r="G59">
            <v>262</v>
          </cell>
          <cell r="H59">
            <v>0</v>
          </cell>
          <cell r="I59">
            <v>165</v>
          </cell>
          <cell r="J59">
            <v>0</v>
          </cell>
          <cell r="K59">
            <v>0</v>
          </cell>
          <cell r="L59">
            <v>0</v>
          </cell>
          <cell r="M59">
            <v>2029.5</v>
          </cell>
          <cell r="N59">
            <v>2555</v>
          </cell>
          <cell r="O59">
            <v>15000</v>
          </cell>
          <cell r="P59">
            <v>11568.5</v>
          </cell>
        </row>
        <row r="60">
          <cell r="E60">
            <v>23520.77</v>
          </cell>
          <cell r="F60">
            <v>-25373.5</v>
          </cell>
          <cell r="G60">
            <v>6613.1</v>
          </cell>
          <cell r="H60">
            <v>-28373.119999999999</v>
          </cell>
          <cell r="I60">
            <v>-1053.26</v>
          </cell>
          <cell r="J60">
            <v>-13398.69</v>
          </cell>
          <cell r="K60">
            <v>9614.14</v>
          </cell>
          <cell r="L60">
            <v>-21445.63</v>
          </cell>
          <cell r="M60">
            <v>-20595.96</v>
          </cell>
          <cell r="N60">
            <v>37481.919999999998</v>
          </cell>
          <cell r="O60">
            <v>18418.79</v>
          </cell>
        </row>
      </sheetData>
      <sheetData sheetId="6">
        <row r="153">
          <cell r="R153">
            <v>76.45</v>
          </cell>
        </row>
      </sheetData>
      <sheetData sheetId="7" refreshError="1"/>
      <sheetData sheetId="8" refreshError="1"/>
      <sheetData sheetId="9">
        <row r="3">
          <cell r="L3">
            <v>49275</v>
          </cell>
        </row>
      </sheetData>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 Support"/>
      <sheetName val="DME_NSPI"/>
      <sheetName val="Charity Care"/>
      <sheetName val="narrative score break down"/>
      <sheetName val="CB Table 1"/>
      <sheetName val="Charts"/>
      <sheetName val="narrative scores"/>
      <sheetName val="fy2013cb analysis"/>
      <sheetName val="Table I"/>
      <sheetName val="#1-Meritus"/>
      <sheetName val="#2-UMMS"/>
      <sheetName val="#3-Prince George's"/>
      <sheetName val="#4-Holy Cross"/>
      <sheetName val="#5-Frederick Memorial"/>
      <sheetName val="#6-Harford Memorial"/>
      <sheetName val="#7-St. Joseph"/>
      <sheetName val="#8-Mercy"/>
      <sheetName val="#9-Johns Hopkins"/>
      <sheetName val="#10-Shore Health Dorchester"/>
      <sheetName val="#11-St. Agnes"/>
      <sheetName val="#12-Sinai"/>
      <sheetName val="#13-Bon Secours"/>
      <sheetName val="#15-Franklin Square"/>
      <sheetName val="#16-Washington Adventist"/>
      <sheetName val="#17-Garrett County"/>
      <sheetName val="#18-Montgomery General"/>
      <sheetName val="#19-Pennisula General"/>
      <sheetName val="#22-Suburban"/>
      <sheetName val="#23-Anne Arundel Medical Center"/>
      <sheetName val="#24-Union Memorial"/>
      <sheetName val="#27-Western Maryland Regional"/>
      <sheetName val="#28-St. Mary's"/>
      <sheetName val="#29-JH Bayview"/>
      <sheetName val="#30-Chester River"/>
      <sheetName val="#32-Union Cecil County"/>
      <sheetName val="#33-Carroll Hospital "/>
      <sheetName val="#34-Harbor Hospital"/>
      <sheetName val="#35-Civista Medical Center"/>
      <sheetName val="#37-Shore Health Easton"/>
      <sheetName val="#38-UM Midtown"/>
      <sheetName val="#39-Calvert Memorial"/>
      <sheetName val="#40-Northwest"/>
      <sheetName val="#43-UM Baltimore Washington"/>
      <sheetName val="#44-GBMC"/>
      <sheetName val="#45-McCready"/>
      <sheetName val="#48-Howard County"/>
      <sheetName val="#49-UCH Upper Chesapeake"/>
      <sheetName val="#51-Doctors Community"/>
      <sheetName val="#55-Laurel Regional"/>
      <sheetName val="#60-Ft Washington"/>
      <sheetName val="#61-Atlantic General"/>
      <sheetName val="#62-Southern Maryland"/>
      <sheetName val="#2001-UM Rehab &amp; Ortho"/>
      <sheetName val="#2004-Good Samaritan"/>
      <sheetName val="#5034-Mt. Washington Pediatric"/>
      <sheetName val="#5050-Shady Grove Advent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48">
          <cell r="F148" t="str">
            <v>N/A</v>
          </cell>
          <cell r="G148" t="str">
            <v>N/A</v>
          </cell>
          <cell r="J148" t="str">
            <v>N/A</v>
          </cell>
        </row>
      </sheetData>
      <sheetData sheetId="10" refreshError="1">
        <row r="148">
          <cell r="F148" t="str">
            <v>N/A</v>
          </cell>
          <cell r="G148" t="str">
            <v>N/A</v>
          </cell>
          <cell r="J148" t="str">
            <v>N/A</v>
          </cell>
        </row>
      </sheetData>
      <sheetData sheetId="11" refreshError="1">
        <row r="148">
          <cell r="F148" t="str">
            <v>N/A</v>
          </cell>
          <cell r="G148" t="str">
            <v>N/A</v>
          </cell>
          <cell r="J148" t="str">
            <v>N/A</v>
          </cell>
        </row>
      </sheetData>
      <sheetData sheetId="12" refreshError="1">
        <row r="148">
          <cell r="F148" t="str">
            <v>N/A</v>
          </cell>
          <cell r="G148" t="str">
            <v>N/A</v>
          </cell>
          <cell r="J148" t="str">
            <v>N/A</v>
          </cell>
        </row>
      </sheetData>
      <sheetData sheetId="13" refreshError="1">
        <row r="148">
          <cell r="F148" t="str">
            <v>N/A</v>
          </cell>
          <cell r="G148" t="str">
            <v>N/A</v>
          </cell>
          <cell r="J148" t="str">
            <v>N/A</v>
          </cell>
        </row>
      </sheetData>
      <sheetData sheetId="14" refreshError="1">
        <row r="148">
          <cell r="F148" t="str">
            <v>N/A</v>
          </cell>
          <cell r="G148" t="str">
            <v>N/A</v>
          </cell>
          <cell r="J148" t="str">
            <v>N/A</v>
          </cell>
        </row>
      </sheetData>
      <sheetData sheetId="15" refreshError="1">
        <row r="148">
          <cell r="F148" t="str">
            <v>N/A</v>
          </cell>
          <cell r="G148" t="str">
            <v>N/A</v>
          </cell>
          <cell r="J148" t="str">
            <v>N/A</v>
          </cell>
        </row>
      </sheetData>
      <sheetData sheetId="16" refreshError="1">
        <row r="148">
          <cell r="F148" t="str">
            <v>N/A</v>
          </cell>
          <cell r="G148" t="str">
            <v>N/A</v>
          </cell>
          <cell r="J148" t="str">
            <v>N/A</v>
          </cell>
        </row>
      </sheetData>
      <sheetData sheetId="17" refreshError="1">
        <row r="148">
          <cell r="F148" t="str">
            <v>N/A</v>
          </cell>
          <cell r="G148" t="str">
            <v>N/A</v>
          </cell>
          <cell r="J148" t="str">
            <v>N/A</v>
          </cell>
        </row>
      </sheetData>
      <sheetData sheetId="18" refreshError="1">
        <row r="148">
          <cell r="F148" t="str">
            <v>N/A</v>
          </cell>
          <cell r="G148" t="str">
            <v>N/A</v>
          </cell>
          <cell r="J148" t="str">
            <v>N/A</v>
          </cell>
        </row>
      </sheetData>
      <sheetData sheetId="19" refreshError="1">
        <row r="148">
          <cell r="F148" t="str">
            <v>N/A</v>
          </cell>
          <cell r="G148" t="str">
            <v>N/A</v>
          </cell>
          <cell r="J148" t="str">
            <v>N/A</v>
          </cell>
        </row>
      </sheetData>
      <sheetData sheetId="20" refreshError="1">
        <row r="148">
          <cell r="F148" t="str">
            <v>N/A</v>
          </cell>
          <cell r="G148" t="str">
            <v>N/A</v>
          </cell>
          <cell r="J148" t="str">
            <v>N/A</v>
          </cell>
        </row>
      </sheetData>
      <sheetData sheetId="21" refreshError="1">
        <row r="148">
          <cell r="F148" t="str">
            <v>N/A</v>
          </cell>
          <cell r="G148" t="str">
            <v>N/A</v>
          </cell>
          <cell r="J148" t="str">
            <v>N/A</v>
          </cell>
        </row>
      </sheetData>
      <sheetData sheetId="22" refreshError="1">
        <row r="148">
          <cell r="F148" t="str">
            <v>N/A</v>
          </cell>
          <cell r="G148" t="str">
            <v>N/A</v>
          </cell>
          <cell r="J148" t="str">
            <v>N/A</v>
          </cell>
        </row>
      </sheetData>
      <sheetData sheetId="23" refreshError="1">
        <row r="148">
          <cell r="F148" t="str">
            <v>N/A</v>
          </cell>
          <cell r="G148" t="str">
            <v>N/A</v>
          </cell>
          <cell r="J148" t="str">
            <v>N/A</v>
          </cell>
        </row>
      </sheetData>
      <sheetData sheetId="24" refreshError="1">
        <row r="148">
          <cell r="F148" t="str">
            <v>N/A</v>
          </cell>
          <cell r="G148" t="str">
            <v>N/A</v>
          </cell>
          <cell r="J148" t="str">
            <v>N/A</v>
          </cell>
        </row>
      </sheetData>
      <sheetData sheetId="25" refreshError="1">
        <row r="148">
          <cell r="F148" t="str">
            <v>N/A</v>
          </cell>
          <cell r="G148" t="str">
            <v>N/A</v>
          </cell>
          <cell r="J148" t="str">
            <v>N/A</v>
          </cell>
        </row>
      </sheetData>
      <sheetData sheetId="26" refreshError="1">
        <row r="148">
          <cell r="F148" t="str">
            <v>N/A</v>
          </cell>
          <cell r="G148" t="str">
            <v>N/A</v>
          </cell>
          <cell r="J148" t="str">
            <v>N/A</v>
          </cell>
        </row>
      </sheetData>
      <sheetData sheetId="27" refreshError="1">
        <row r="148">
          <cell r="F148" t="str">
            <v>N/A</v>
          </cell>
          <cell r="G148" t="str">
            <v>N/A</v>
          </cell>
          <cell r="J148" t="str">
            <v>N/A</v>
          </cell>
        </row>
      </sheetData>
      <sheetData sheetId="28" refreshError="1">
        <row r="148">
          <cell r="F148" t="str">
            <v>N/A</v>
          </cell>
          <cell r="G148" t="str">
            <v>N/A</v>
          </cell>
          <cell r="J148" t="str">
            <v>N/A</v>
          </cell>
        </row>
      </sheetData>
      <sheetData sheetId="29" refreshError="1">
        <row r="148">
          <cell r="F148" t="str">
            <v>N/A</v>
          </cell>
          <cell r="G148" t="str">
            <v>N/A</v>
          </cell>
          <cell r="J148" t="str">
            <v>N/A</v>
          </cell>
        </row>
      </sheetData>
      <sheetData sheetId="30" refreshError="1">
        <row r="148">
          <cell r="F148" t="str">
            <v>N/A</v>
          </cell>
          <cell r="G148" t="str">
            <v>N/A</v>
          </cell>
          <cell r="J148" t="str">
            <v>N/A</v>
          </cell>
        </row>
      </sheetData>
      <sheetData sheetId="31" refreshError="1">
        <row r="148">
          <cell r="F148" t="str">
            <v>N/A</v>
          </cell>
          <cell r="G148" t="str">
            <v>N/A</v>
          </cell>
          <cell r="J148" t="str">
            <v>N/A</v>
          </cell>
        </row>
      </sheetData>
      <sheetData sheetId="32" refreshError="1">
        <row r="148">
          <cell r="F148" t="str">
            <v>N/A</v>
          </cell>
          <cell r="G148" t="str">
            <v>N/A</v>
          </cell>
          <cell r="J148" t="str">
            <v>N/A</v>
          </cell>
        </row>
      </sheetData>
      <sheetData sheetId="33" refreshError="1">
        <row r="148">
          <cell r="F148" t="str">
            <v>N/A</v>
          </cell>
          <cell r="G148" t="str">
            <v>N/A</v>
          </cell>
          <cell r="J148" t="str">
            <v>N/A</v>
          </cell>
        </row>
      </sheetData>
      <sheetData sheetId="34" refreshError="1">
        <row r="148">
          <cell r="F148" t="str">
            <v>N/A</v>
          </cell>
          <cell r="G148" t="str">
            <v>N/A</v>
          </cell>
          <cell r="J148" t="str">
            <v>N/A</v>
          </cell>
        </row>
      </sheetData>
      <sheetData sheetId="35" refreshError="1">
        <row r="148">
          <cell r="F148" t="str">
            <v>N/A</v>
          </cell>
          <cell r="G148" t="str">
            <v>N/A</v>
          </cell>
          <cell r="J148" t="str">
            <v>N/A</v>
          </cell>
        </row>
      </sheetData>
      <sheetData sheetId="36" refreshError="1">
        <row r="148">
          <cell r="F148" t="str">
            <v>N/A</v>
          </cell>
          <cell r="G148" t="str">
            <v>N/A</v>
          </cell>
          <cell r="J148" t="str">
            <v>N/A</v>
          </cell>
        </row>
      </sheetData>
      <sheetData sheetId="37" refreshError="1">
        <row r="148">
          <cell r="F148" t="str">
            <v>N/A</v>
          </cell>
          <cell r="G148" t="str">
            <v>N/A</v>
          </cell>
          <cell r="J148" t="str">
            <v>N/A</v>
          </cell>
        </row>
      </sheetData>
      <sheetData sheetId="38" refreshError="1">
        <row r="148">
          <cell r="F148" t="str">
            <v>N/A</v>
          </cell>
          <cell r="G148" t="str">
            <v>N/A</v>
          </cell>
          <cell r="J148" t="str">
            <v>N/A</v>
          </cell>
        </row>
      </sheetData>
      <sheetData sheetId="39" refreshError="1">
        <row r="148">
          <cell r="F148" t="str">
            <v>N/A</v>
          </cell>
          <cell r="G148" t="str">
            <v>N/A</v>
          </cell>
          <cell r="J148" t="str">
            <v>N/A</v>
          </cell>
        </row>
      </sheetData>
      <sheetData sheetId="40" refreshError="1">
        <row r="148">
          <cell r="F148" t="str">
            <v>N/A</v>
          </cell>
          <cell r="G148" t="str">
            <v>N/A</v>
          </cell>
          <cell r="J148" t="str">
            <v>N/A</v>
          </cell>
        </row>
      </sheetData>
      <sheetData sheetId="41" refreshError="1">
        <row r="148">
          <cell r="F148" t="str">
            <v>N/A</v>
          </cell>
          <cell r="G148" t="str">
            <v>N/A</v>
          </cell>
          <cell r="J148" t="str">
            <v>N/A</v>
          </cell>
        </row>
      </sheetData>
      <sheetData sheetId="42" refreshError="1">
        <row r="148">
          <cell r="F148" t="str">
            <v>N/A</v>
          </cell>
          <cell r="G148" t="str">
            <v>N/A</v>
          </cell>
          <cell r="J148" t="str">
            <v>N/A</v>
          </cell>
        </row>
      </sheetData>
      <sheetData sheetId="43" refreshError="1">
        <row r="148">
          <cell r="F148" t="str">
            <v>N/A</v>
          </cell>
          <cell r="G148" t="str">
            <v>N/A</v>
          </cell>
          <cell r="J148" t="str">
            <v>N/A</v>
          </cell>
        </row>
      </sheetData>
      <sheetData sheetId="44" refreshError="1">
        <row r="148">
          <cell r="F148" t="str">
            <v>N/A</v>
          </cell>
          <cell r="G148" t="str">
            <v>N/A</v>
          </cell>
          <cell r="J148" t="str">
            <v>N/A</v>
          </cell>
        </row>
      </sheetData>
      <sheetData sheetId="45" refreshError="1">
        <row r="148">
          <cell r="F148" t="str">
            <v>N/A</v>
          </cell>
          <cell r="G148" t="str">
            <v>N/A</v>
          </cell>
          <cell r="J148" t="str">
            <v>N/A</v>
          </cell>
        </row>
      </sheetData>
      <sheetData sheetId="46" refreshError="1">
        <row r="148">
          <cell r="F148" t="str">
            <v>N/A</v>
          </cell>
          <cell r="G148" t="str">
            <v>N/A</v>
          </cell>
          <cell r="J148" t="str">
            <v>N/A</v>
          </cell>
        </row>
      </sheetData>
      <sheetData sheetId="47" refreshError="1">
        <row r="148">
          <cell r="F148" t="str">
            <v>N/A</v>
          </cell>
          <cell r="G148" t="str">
            <v>N/A</v>
          </cell>
          <cell r="J148" t="str">
            <v>N/A</v>
          </cell>
        </row>
      </sheetData>
      <sheetData sheetId="48" refreshError="1">
        <row r="148">
          <cell r="F148" t="str">
            <v>N/A</v>
          </cell>
          <cell r="G148" t="str">
            <v>N/A</v>
          </cell>
          <cell r="J148" t="str">
            <v>N/A</v>
          </cell>
        </row>
      </sheetData>
      <sheetData sheetId="49" refreshError="1">
        <row r="148">
          <cell r="F148" t="str">
            <v>N/A</v>
          </cell>
          <cell r="G148" t="str">
            <v>N/A</v>
          </cell>
          <cell r="J148" t="str">
            <v>N/A</v>
          </cell>
        </row>
      </sheetData>
      <sheetData sheetId="50" refreshError="1">
        <row r="148">
          <cell r="F148" t="str">
            <v>N/A</v>
          </cell>
          <cell r="G148" t="str">
            <v>N/A</v>
          </cell>
          <cell r="J148" t="str">
            <v>N/A</v>
          </cell>
        </row>
      </sheetData>
      <sheetData sheetId="51" refreshError="1">
        <row r="148">
          <cell r="F148" t="str">
            <v>N/A</v>
          </cell>
          <cell r="G148" t="str">
            <v>N/A</v>
          </cell>
          <cell r="J148" t="str">
            <v>N/A</v>
          </cell>
        </row>
      </sheetData>
      <sheetData sheetId="52" refreshError="1">
        <row r="148">
          <cell r="F148" t="str">
            <v>N/A</v>
          </cell>
          <cell r="G148" t="str">
            <v>N/A</v>
          </cell>
          <cell r="J148" t="str">
            <v>N/A</v>
          </cell>
        </row>
      </sheetData>
      <sheetData sheetId="53" refreshError="1">
        <row r="148">
          <cell r="F148" t="str">
            <v>N/A</v>
          </cell>
          <cell r="G148" t="str">
            <v>N/A</v>
          </cell>
          <cell r="J148" t="str">
            <v>N/A</v>
          </cell>
        </row>
      </sheetData>
      <sheetData sheetId="54" refreshError="1">
        <row r="148">
          <cell r="F148" t="str">
            <v>N/A</v>
          </cell>
          <cell r="G148" t="str">
            <v>N/A</v>
          </cell>
          <cell r="J148" t="str">
            <v>N/A</v>
          </cell>
        </row>
      </sheetData>
      <sheetData sheetId="55" refreshError="1">
        <row r="148">
          <cell r="F148" t="str">
            <v>N/A</v>
          </cell>
          <cell r="G148" t="str">
            <v>N/A</v>
          </cell>
          <cell r="J148" t="str">
            <v>N/A</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each"/>
      <sheetName val="UCARE"/>
      <sheetName val="Community Psych"/>
      <sheetName val="Indirect Costs"/>
      <sheetName val="Cash Donations"/>
    </sheetNames>
    <sheetDataSet>
      <sheetData sheetId="0">
        <row r="18">
          <cell r="H18">
            <v>38920808.960145496</v>
          </cell>
          <cell r="J18">
            <v>33282158.047506906</v>
          </cell>
        </row>
        <row r="21">
          <cell r="F21">
            <v>29747.4</v>
          </cell>
          <cell r="G21">
            <v>40967</v>
          </cell>
          <cell r="H21">
            <v>2374001.2844799999</v>
          </cell>
        </row>
        <row r="22">
          <cell r="F22">
            <v>0</v>
          </cell>
          <cell r="G22">
            <v>50</v>
          </cell>
          <cell r="H22">
            <v>0</v>
          </cell>
        </row>
        <row r="23">
          <cell r="F23">
            <v>0</v>
          </cell>
          <cell r="G23">
            <v>0</v>
          </cell>
          <cell r="H23">
            <v>0</v>
          </cell>
        </row>
        <row r="24">
          <cell r="F24">
            <v>0</v>
          </cell>
          <cell r="G24">
            <v>0</v>
          </cell>
          <cell r="H24">
            <v>0</v>
          </cell>
        </row>
        <row r="25">
          <cell r="F25">
            <v>0</v>
          </cell>
          <cell r="G25">
            <v>0</v>
          </cell>
          <cell r="H25">
            <v>0</v>
          </cell>
        </row>
        <row r="26">
          <cell r="F26">
            <v>0</v>
          </cell>
          <cell r="G26">
            <v>0</v>
          </cell>
          <cell r="H26">
            <v>0</v>
          </cell>
        </row>
        <row r="27">
          <cell r="F27">
            <v>0</v>
          </cell>
          <cell r="G27">
            <v>0</v>
          </cell>
          <cell r="H27">
            <v>0</v>
          </cell>
        </row>
        <row r="28">
          <cell r="F28">
            <v>4368</v>
          </cell>
          <cell r="G28">
            <v>536</v>
          </cell>
          <cell r="H28">
            <v>220934.48</v>
          </cell>
          <cell r="J28">
            <v>171944</v>
          </cell>
        </row>
        <row r="29">
          <cell r="F29">
            <v>0</v>
          </cell>
          <cell r="G29">
            <v>0</v>
          </cell>
          <cell r="H29">
            <v>0</v>
          </cell>
        </row>
        <row r="30">
          <cell r="F30">
            <v>0</v>
          </cell>
          <cell r="G30">
            <v>0</v>
          </cell>
          <cell r="H30">
            <v>0</v>
          </cell>
        </row>
        <row r="31">
          <cell r="F31">
            <v>0</v>
          </cell>
          <cell r="G31">
            <v>0</v>
          </cell>
          <cell r="H31">
            <v>0</v>
          </cell>
        </row>
        <row r="32">
          <cell r="F32">
            <v>0</v>
          </cell>
          <cell r="G32">
            <v>0</v>
          </cell>
          <cell r="H32">
            <v>0</v>
          </cell>
        </row>
        <row r="33">
          <cell r="F33">
            <v>0</v>
          </cell>
          <cell r="G33">
            <v>0</v>
          </cell>
          <cell r="H33">
            <v>0</v>
          </cell>
        </row>
        <row r="34">
          <cell r="F34">
            <v>0</v>
          </cell>
          <cell r="G34">
            <v>0</v>
          </cell>
          <cell r="H34">
            <v>0</v>
          </cell>
        </row>
        <row r="40">
          <cell r="F40">
            <v>2319299.1011093548</v>
          </cell>
          <cell r="H40">
            <v>92841103.560044304</v>
          </cell>
        </row>
        <row r="41">
          <cell r="F41">
            <v>73392</v>
          </cell>
          <cell r="G41">
            <v>999</v>
          </cell>
          <cell r="H41">
            <v>2385240</v>
          </cell>
        </row>
        <row r="53">
          <cell r="F53">
            <v>33254.690004896373</v>
          </cell>
          <cell r="G53">
            <v>14720</v>
          </cell>
          <cell r="H53">
            <v>5035253</v>
          </cell>
          <cell r="J53">
            <v>3294321</v>
          </cell>
        </row>
        <row r="54">
          <cell r="F54">
            <v>247095.30999064445</v>
          </cell>
          <cell r="G54">
            <v>24739</v>
          </cell>
          <cell r="H54">
            <v>12994776.300000001</v>
          </cell>
          <cell r="J54">
            <v>7827146</v>
          </cell>
        </row>
        <row r="77">
          <cell r="F77">
            <v>520</v>
          </cell>
          <cell r="G77">
            <v>1076</v>
          </cell>
          <cell r="H77">
            <v>452733.76799999998</v>
          </cell>
        </row>
        <row r="78">
          <cell r="F78">
            <v>0</v>
          </cell>
          <cell r="G78">
            <v>0</v>
          </cell>
        </row>
        <row r="79">
          <cell r="F79">
            <v>0</v>
          </cell>
          <cell r="G79">
            <v>0</v>
          </cell>
        </row>
        <row r="80">
          <cell r="F80">
            <v>0</v>
          </cell>
          <cell r="G80">
            <v>0</v>
          </cell>
        </row>
        <row r="86">
          <cell r="F86">
            <v>104</v>
          </cell>
          <cell r="G86">
            <v>2800</v>
          </cell>
          <cell r="H86">
            <v>4050.3215999999998</v>
          </cell>
        </row>
        <row r="87">
          <cell r="F87">
            <v>160</v>
          </cell>
          <cell r="G87">
            <v>0</v>
          </cell>
          <cell r="H87">
            <v>24784</v>
          </cell>
        </row>
        <row r="88">
          <cell r="F88">
            <v>0</v>
          </cell>
          <cell r="G88">
            <v>0</v>
          </cell>
          <cell r="H88">
            <v>0</v>
          </cell>
        </row>
        <row r="89">
          <cell r="F89">
            <v>0</v>
          </cell>
          <cell r="G89">
            <v>0</v>
          </cell>
          <cell r="H89">
            <v>428166</v>
          </cell>
        </row>
        <row r="90">
          <cell r="F90">
            <v>0</v>
          </cell>
          <cell r="G90">
            <v>0</v>
          </cell>
          <cell r="H90">
            <v>0</v>
          </cell>
        </row>
        <row r="91">
          <cell r="F91">
            <v>172</v>
          </cell>
          <cell r="G91">
            <v>0</v>
          </cell>
          <cell r="H91">
            <v>26642.799999999999</v>
          </cell>
        </row>
        <row r="92">
          <cell r="F92">
            <v>0</v>
          </cell>
          <cell r="G92">
            <v>0</v>
          </cell>
          <cell r="H92">
            <v>0</v>
          </cell>
        </row>
        <row r="93">
          <cell r="F93">
            <v>5304</v>
          </cell>
          <cell r="G93">
            <v>379</v>
          </cell>
          <cell r="H93">
            <v>307699.66024999617</v>
          </cell>
          <cell r="J93">
            <v>80000</v>
          </cell>
        </row>
        <row r="94">
          <cell r="F94">
            <v>0</v>
          </cell>
          <cell r="G94">
            <v>0</v>
          </cell>
          <cell r="H94">
            <v>0</v>
          </cell>
        </row>
        <row r="95">
          <cell r="F95">
            <v>0</v>
          </cell>
          <cell r="G95">
            <v>0</v>
          </cell>
          <cell r="H95">
            <v>0</v>
          </cell>
        </row>
        <row r="96">
          <cell r="F96">
            <v>0</v>
          </cell>
          <cell r="G96">
            <v>0</v>
          </cell>
          <cell r="H96">
            <v>0</v>
          </cell>
        </row>
        <row r="102">
          <cell r="F102">
            <v>1001.6</v>
          </cell>
          <cell r="G102">
            <v>0</v>
          </cell>
          <cell r="H102">
            <v>119380.79192</v>
          </cell>
        </row>
        <row r="103">
          <cell r="F103">
            <v>0</v>
          </cell>
          <cell r="G103">
            <v>0</v>
          </cell>
          <cell r="H103">
            <v>0</v>
          </cell>
        </row>
        <row r="104">
          <cell r="F104">
            <v>0</v>
          </cell>
          <cell r="G104">
            <v>0</v>
          </cell>
          <cell r="H104">
            <v>0</v>
          </cell>
        </row>
        <row r="105">
          <cell r="F105">
            <v>0</v>
          </cell>
          <cell r="G105">
            <v>0</v>
          </cell>
          <cell r="H105">
            <v>0</v>
          </cell>
        </row>
        <row r="106">
          <cell r="F106">
            <v>0</v>
          </cell>
          <cell r="G106">
            <v>0</v>
          </cell>
          <cell r="H106">
            <v>0</v>
          </cell>
        </row>
        <row r="111">
          <cell r="F111">
            <v>52771968.829999998</v>
          </cell>
        </row>
        <row r="114">
          <cell r="F114">
            <v>0.37255751597522718</v>
          </cell>
        </row>
        <row r="117">
          <cell r="F117">
            <v>1311207000</v>
          </cell>
        </row>
        <row r="118">
          <cell r="F118">
            <v>104803000</v>
          </cell>
        </row>
        <row r="121">
          <cell r="F121">
            <v>1362492000</v>
          </cell>
        </row>
        <row r="125">
          <cell r="F125">
            <v>-40447000</v>
          </cell>
        </row>
        <row r="131">
          <cell r="F131">
            <v>416</v>
          </cell>
          <cell r="G131">
            <v>0</v>
          </cell>
          <cell r="H131">
            <v>17271.758399999999</v>
          </cell>
        </row>
        <row r="132">
          <cell r="F132">
            <v>0</v>
          </cell>
          <cell r="G132">
            <v>0</v>
          </cell>
          <cell r="H132">
            <v>0</v>
          </cell>
        </row>
        <row r="133">
          <cell r="F133">
            <v>0</v>
          </cell>
          <cell r="G133">
            <v>0</v>
          </cell>
          <cell r="H133">
            <v>0</v>
          </cell>
        </row>
        <row r="134">
          <cell r="F134">
            <v>0</v>
          </cell>
          <cell r="G134">
            <v>0</v>
          </cell>
          <cell r="H134">
            <v>0</v>
          </cell>
        </row>
        <row r="135">
          <cell r="F135">
            <v>0</v>
          </cell>
          <cell r="G135">
            <v>0</v>
          </cell>
          <cell r="H135">
            <v>0</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tiebert@jhu.edu"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mailto:rsamuels@adventisthealthcare.com" TargetMode="Externa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mailto:breilly@aahs.org" TargetMode="External"/></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mailto:Lauren.Rose@medstar.ne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mailto:Lauren.Rose@medstar.net"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hyperlink" Target="mailto:PaulNicholson@umm.edu" TargetMode="External"/></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2" Type="http://schemas.openxmlformats.org/officeDocument/2006/relationships/printerSettings" Target="../printerSettings/printerSettings57.bin"/><Relationship Id="rId1" Type="http://schemas.openxmlformats.org/officeDocument/2006/relationships/hyperlink" Target="mailto:rsamuels@adventisthealthcare.com" TargetMode="External"/></Relationships>
</file>

<file path=xl/worksheets/_rels/sheet59.xml.rels><?xml version="1.0" encoding="UTF-8" standalone="yes"?>
<Relationships xmlns="http://schemas.openxmlformats.org/package/2006/relationships"><Relationship Id="rId2" Type="http://schemas.openxmlformats.org/officeDocument/2006/relationships/printerSettings" Target="../printerSettings/printerSettings58.bin"/><Relationship Id="rId1" Type="http://schemas.openxmlformats.org/officeDocument/2006/relationships/hyperlink" Target="mailto:rsamuels@adventisthealthcare.com" TargetMode="External"/></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hyperlink" Target="mailto:rsamuels@adventisthealthcare.com" TargetMode="External"/></Relationships>
</file>

<file path=xl/worksheets/_rels/sheet6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1.bin"/></Relationships>
</file>

<file path=xl/worksheets/_rels/sheet64.xml.rels><?xml version="1.0" encoding="UTF-8" standalone="yes"?>
<Relationships xmlns="http://schemas.openxmlformats.org/package/2006/relationships"><Relationship Id="rId2" Type="http://schemas.openxmlformats.org/officeDocument/2006/relationships/printerSettings" Target="../printerSettings/printerSettings62.bin"/><Relationship Id="rId1" Type="http://schemas.openxmlformats.org/officeDocument/2006/relationships/hyperlink" Target="mailto:breilly@aahs.org" TargetMode="External"/></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6.xml.rels><?xml version="1.0" encoding="UTF-8" standalone="yes"?>
<Relationships xmlns="http://schemas.openxmlformats.org/package/2006/relationships"><Relationship Id="rId2" Type="http://schemas.openxmlformats.org/officeDocument/2006/relationships/printerSettings" Target="../printerSettings/printerSettings64.bin"/><Relationship Id="rId1" Type="http://schemas.openxmlformats.org/officeDocument/2006/relationships/hyperlink" Target="mailto:PaulNicholson@umm.edu"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B58"/>
  <sheetViews>
    <sheetView zoomScaleNormal="100" workbookViewId="0">
      <selection activeCell="E2" sqref="E2"/>
    </sheetView>
  </sheetViews>
  <sheetFormatPr defaultRowHeight="15"/>
  <cols>
    <col min="1" max="1" width="41.42578125" style="54" bestFit="1" customWidth="1"/>
    <col min="2" max="2" width="5" style="54" bestFit="1" customWidth="1"/>
    <col min="3" max="3" width="13.85546875" style="62" bestFit="1" customWidth="1"/>
    <col min="4" max="4" width="13.28515625" style="62" bestFit="1" customWidth="1"/>
    <col min="5" max="5" width="15.28515625" style="54" bestFit="1" customWidth="1"/>
    <col min="6" max="6" width="9.140625" style="54"/>
    <col min="7" max="7" width="41.42578125" style="54" bestFit="1" customWidth="1"/>
    <col min="8" max="8" width="10.5703125" style="54" bestFit="1" customWidth="1"/>
    <col min="9" max="9" width="10.5703125" style="62" bestFit="1" customWidth="1"/>
    <col min="10" max="10" width="11.5703125" style="54" bestFit="1" customWidth="1"/>
    <col min="11" max="11" width="9.140625" style="54"/>
    <col min="12" max="12" width="51.42578125" style="54" customWidth="1"/>
    <col min="13" max="13" width="7.7109375" style="54" bestFit="1" customWidth="1"/>
    <col min="14" max="14" width="20.140625" style="54" bestFit="1" customWidth="1"/>
    <col min="15" max="16" width="9.140625" style="54"/>
    <col min="17" max="17" width="32.42578125" style="54" customWidth="1"/>
    <col min="18" max="18" width="14.28515625" style="791" bestFit="1" customWidth="1"/>
    <col min="19" max="21" width="9.140625" style="54"/>
    <col min="22" max="22" width="10.140625" style="54" bestFit="1" customWidth="1"/>
    <col min="23" max="26" width="9.140625" style="54"/>
    <col min="27" max="27" width="10.140625" style="54" bestFit="1" customWidth="1"/>
    <col min="28" max="28" width="15.28515625" style="54" bestFit="1" customWidth="1"/>
    <col min="29" max="16384" width="9.140625" style="54"/>
  </cols>
  <sheetData>
    <row r="1" spans="1:28" s="55" customFormat="1">
      <c r="A1" s="55" t="s">
        <v>211</v>
      </c>
      <c r="B1" s="134"/>
      <c r="C1" s="135" t="s">
        <v>212</v>
      </c>
      <c r="D1" s="135" t="s">
        <v>213</v>
      </c>
      <c r="E1" s="134" t="s">
        <v>214</v>
      </c>
      <c r="G1" s="66" t="s">
        <v>222</v>
      </c>
      <c r="H1" s="66" t="s">
        <v>223</v>
      </c>
      <c r="I1" s="66" t="s">
        <v>224</v>
      </c>
      <c r="L1" s="63" t="s">
        <v>216</v>
      </c>
      <c r="M1" s="64" t="s">
        <v>217</v>
      </c>
      <c r="N1" s="65" t="s">
        <v>218</v>
      </c>
      <c r="P1" s="784" t="s">
        <v>911</v>
      </c>
      <c r="R1" s="790"/>
      <c r="V1" s="357" t="s">
        <v>223</v>
      </c>
      <c r="Z1" s="357" t="s">
        <v>224</v>
      </c>
    </row>
    <row r="2" spans="1:28">
      <c r="A2" s="54" t="s">
        <v>200</v>
      </c>
      <c r="B2" s="61">
        <v>1</v>
      </c>
      <c r="C2" s="56">
        <f>(H2+I2)*1000</f>
        <v>0</v>
      </c>
      <c r="D2" s="57">
        <f>N2</f>
        <v>301350.7</v>
      </c>
      <c r="E2" s="363">
        <f>C2+D2</f>
        <v>301350.7</v>
      </c>
      <c r="G2" s="132" t="s">
        <v>200</v>
      </c>
      <c r="H2" s="359">
        <f>V2</f>
        <v>0</v>
      </c>
      <c r="I2" s="359">
        <f>Z2</f>
        <v>0</v>
      </c>
      <c r="L2" s="132" t="s">
        <v>200</v>
      </c>
      <c r="M2" s="132">
        <v>1</v>
      </c>
      <c r="N2" s="60">
        <v>301350.7</v>
      </c>
      <c r="O2" s="54">
        <v>1</v>
      </c>
      <c r="P2" s="54" t="s">
        <v>200</v>
      </c>
      <c r="R2" s="791">
        <v>301350.7</v>
      </c>
      <c r="T2" s="358">
        <v>2015</v>
      </c>
      <c r="U2" s="358">
        <v>210001</v>
      </c>
      <c r="V2" s="359">
        <v>0</v>
      </c>
      <c r="X2" s="358">
        <v>2015</v>
      </c>
      <c r="Y2" s="358">
        <v>210001</v>
      </c>
      <c r="Z2" s="359">
        <v>0</v>
      </c>
      <c r="AB2" s="357"/>
    </row>
    <row r="3" spans="1:28">
      <c r="A3" s="54" t="s">
        <v>285</v>
      </c>
      <c r="B3" s="61">
        <v>2</v>
      </c>
      <c r="C3" s="56">
        <f>(H3+I3)*1000</f>
        <v>91315600</v>
      </c>
      <c r="D3" s="57">
        <f t="shared" ref="D3:D54" si="0">N3</f>
        <v>1430282.4</v>
      </c>
      <c r="E3" s="363">
        <f t="shared" ref="E3:E54" si="1">C3+D3</f>
        <v>92745882.400000006</v>
      </c>
      <c r="G3" s="132" t="s">
        <v>285</v>
      </c>
      <c r="H3" s="359">
        <f t="shared" ref="H3:H54" si="2">V3</f>
        <v>60304.03</v>
      </c>
      <c r="I3" s="359">
        <f t="shared" ref="I3:I54" si="3">Z3</f>
        <v>31011.57</v>
      </c>
      <c r="L3" s="132" t="s">
        <v>285</v>
      </c>
      <c r="M3" s="132">
        <v>2</v>
      </c>
      <c r="N3" s="60">
        <v>1430282.4</v>
      </c>
      <c r="O3" s="54">
        <v>2</v>
      </c>
      <c r="P3" s="54" t="s">
        <v>285</v>
      </c>
      <c r="R3" s="791">
        <f>1241601.5+S3</f>
        <v>1430282.4</v>
      </c>
      <c r="S3" s="54">
        <v>188680.90000000002</v>
      </c>
      <c r="T3" s="358">
        <v>2015</v>
      </c>
      <c r="U3" s="358">
        <v>210002</v>
      </c>
      <c r="V3" s="785">
        <v>60304.03</v>
      </c>
      <c r="X3" s="358">
        <v>2015</v>
      </c>
      <c r="Y3" s="358" t="s">
        <v>687</v>
      </c>
      <c r="Z3" s="786">
        <f>22528.38+AA3</f>
        <v>31011.57</v>
      </c>
      <c r="AA3" s="786">
        <v>8483.19</v>
      </c>
      <c r="AB3" s="361"/>
    </row>
    <row r="4" spans="1:28">
      <c r="A4" s="54" t="s">
        <v>286</v>
      </c>
      <c r="B4" s="61">
        <v>3</v>
      </c>
      <c r="C4" s="56">
        <f t="shared" ref="C4:C54" si="4">(H4+I4)*1000</f>
        <v>4388670</v>
      </c>
      <c r="D4" s="57">
        <f t="shared" si="0"/>
        <v>249192.55458999999</v>
      </c>
      <c r="E4" s="363">
        <f t="shared" si="1"/>
        <v>4637862.5545899998</v>
      </c>
      <c r="G4" s="132" t="s">
        <v>286</v>
      </c>
      <c r="H4" s="359">
        <f t="shared" si="2"/>
        <v>4388.67</v>
      </c>
      <c r="I4" s="359">
        <f t="shared" si="3"/>
        <v>0</v>
      </c>
      <c r="J4" s="68"/>
      <c r="L4" s="132" t="s">
        <v>286</v>
      </c>
      <c r="M4" s="132">
        <v>3</v>
      </c>
      <c r="N4" s="60">
        <v>249192.55458999999</v>
      </c>
      <c r="O4" s="54">
        <v>3</v>
      </c>
      <c r="P4" s="54" t="s">
        <v>286</v>
      </c>
      <c r="R4" s="791">
        <v>249192.55458999999</v>
      </c>
      <c r="T4" s="358">
        <v>2015</v>
      </c>
      <c r="U4" s="358">
        <v>210003</v>
      </c>
      <c r="V4" s="785">
        <v>4388.67</v>
      </c>
      <c r="X4" s="358">
        <v>2015</v>
      </c>
      <c r="Y4" s="358">
        <v>210003</v>
      </c>
      <c r="Z4" s="787">
        <v>0</v>
      </c>
      <c r="AB4" s="361"/>
    </row>
    <row r="5" spans="1:28">
      <c r="A5" s="54" t="s">
        <v>287</v>
      </c>
      <c r="B5" s="61">
        <v>4</v>
      </c>
      <c r="C5" s="56">
        <f t="shared" si="4"/>
        <v>2657999.9999999995</v>
      </c>
      <c r="D5" s="57">
        <f t="shared" si="0"/>
        <v>461351.2</v>
      </c>
      <c r="E5" s="363">
        <f t="shared" si="1"/>
        <v>3119351.1999999997</v>
      </c>
      <c r="G5" s="132" t="s">
        <v>287</v>
      </c>
      <c r="H5" s="359">
        <f t="shared" si="2"/>
        <v>2657.9999999999995</v>
      </c>
      <c r="I5" s="359">
        <f t="shared" si="3"/>
        <v>0</v>
      </c>
      <c r="J5" s="68"/>
      <c r="L5" s="132" t="s">
        <v>287</v>
      </c>
      <c r="M5" s="132">
        <v>4</v>
      </c>
      <c r="N5" s="60">
        <v>461351.2</v>
      </c>
      <c r="O5" s="54">
        <v>4</v>
      </c>
      <c r="P5" s="54" t="s">
        <v>287</v>
      </c>
      <c r="R5" s="791">
        <v>461351.2</v>
      </c>
      <c r="T5" s="358">
        <v>2015</v>
      </c>
      <c r="U5" s="358">
        <v>210004</v>
      </c>
      <c r="V5" s="785">
        <v>2657.9999999999995</v>
      </c>
      <c r="X5" s="358">
        <v>2015</v>
      </c>
      <c r="Y5" s="358">
        <v>210004</v>
      </c>
      <c r="Z5" s="787">
        <v>0</v>
      </c>
      <c r="AB5" s="361"/>
    </row>
    <row r="6" spans="1:28">
      <c r="A6" s="54" t="s">
        <v>201</v>
      </c>
      <c r="B6" s="61">
        <v>5</v>
      </c>
      <c r="C6" s="56">
        <f t="shared" si="4"/>
        <v>0</v>
      </c>
      <c r="D6" s="57">
        <f t="shared" si="0"/>
        <v>337093.7</v>
      </c>
      <c r="E6" s="363">
        <f t="shared" si="1"/>
        <v>337093.7</v>
      </c>
      <c r="G6" s="132" t="s">
        <v>201</v>
      </c>
      <c r="H6" s="359">
        <f t="shared" si="2"/>
        <v>0</v>
      </c>
      <c r="I6" s="359">
        <f t="shared" si="3"/>
        <v>0</v>
      </c>
      <c r="J6" s="68"/>
      <c r="L6" s="132" t="s">
        <v>201</v>
      </c>
      <c r="M6" s="132">
        <v>5</v>
      </c>
      <c r="N6" s="60">
        <v>337093.7</v>
      </c>
      <c r="O6" s="54">
        <v>5</v>
      </c>
      <c r="P6" s="54" t="s">
        <v>201</v>
      </c>
      <c r="R6" s="791">
        <v>337093.7</v>
      </c>
      <c r="T6" s="358">
        <v>2015</v>
      </c>
      <c r="U6" s="358">
        <v>210005</v>
      </c>
      <c r="V6" s="359">
        <v>0</v>
      </c>
      <c r="X6" s="358">
        <v>2015</v>
      </c>
      <c r="Y6" s="358">
        <v>210005</v>
      </c>
      <c r="Z6" s="359">
        <v>0</v>
      </c>
      <c r="AB6" s="361"/>
    </row>
    <row r="7" spans="1:28">
      <c r="A7" s="67" t="s">
        <v>288</v>
      </c>
      <c r="B7" s="61">
        <v>6</v>
      </c>
      <c r="C7" s="56">
        <f t="shared" si="4"/>
        <v>0</v>
      </c>
      <c r="D7" s="57">
        <f t="shared" si="0"/>
        <v>77692</v>
      </c>
      <c r="E7" s="363">
        <f t="shared" si="1"/>
        <v>77692</v>
      </c>
      <c r="G7" s="132" t="s">
        <v>288</v>
      </c>
      <c r="H7" s="359">
        <f t="shared" si="2"/>
        <v>0</v>
      </c>
      <c r="I7" s="359">
        <f t="shared" si="3"/>
        <v>0</v>
      </c>
      <c r="J7" s="68"/>
      <c r="L7" s="132" t="s">
        <v>288</v>
      </c>
      <c r="M7" s="132">
        <v>6</v>
      </c>
      <c r="N7" s="60">
        <v>77692</v>
      </c>
      <c r="O7" s="54">
        <v>6</v>
      </c>
      <c r="P7" s="54" t="s">
        <v>288</v>
      </c>
      <c r="R7" s="791">
        <v>77692</v>
      </c>
      <c r="T7" s="358">
        <v>2015</v>
      </c>
      <c r="U7" s="358">
        <v>210006</v>
      </c>
      <c r="V7" s="359">
        <v>0</v>
      </c>
      <c r="X7" s="358">
        <v>2015</v>
      </c>
      <c r="Y7" s="358">
        <v>210006</v>
      </c>
      <c r="Z7" s="359">
        <v>0</v>
      </c>
      <c r="AB7" s="361"/>
    </row>
    <row r="8" spans="1:28">
      <c r="A8" s="54" t="s">
        <v>289</v>
      </c>
      <c r="B8" s="61">
        <v>8</v>
      </c>
      <c r="C8" s="56">
        <f t="shared" si="4"/>
        <v>4874380</v>
      </c>
      <c r="D8" s="57">
        <f t="shared" si="0"/>
        <v>470759.60000000009</v>
      </c>
      <c r="E8" s="363">
        <f t="shared" si="1"/>
        <v>5345139.5999999996</v>
      </c>
      <c r="G8" s="132" t="s">
        <v>289</v>
      </c>
      <c r="H8" s="359">
        <f t="shared" si="2"/>
        <v>4188.04</v>
      </c>
      <c r="I8" s="359">
        <f t="shared" si="3"/>
        <v>686.33999999999992</v>
      </c>
      <c r="J8" s="68"/>
      <c r="L8" s="132" t="s">
        <v>289</v>
      </c>
      <c r="M8" s="132">
        <v>8</v>
      </c>
      <c r="N8" s="60">
        <v>470759.60000000009</v>
      </c>
      <c r="O8" s="54">
        <v>8</v>
      </c>
      <c r="P8" s="54" t="s">
        <v>289</v>
      </c>
      <c r="R8" s="791">
        <v>470759.60000000009</v>
      </c>
      <c r="T8" s="358">
        <v>2015</v>
      </c>
      <c r="U8" s="358">
        <v>210008</v>
      </c>
      <c r="V8" s="785">
        <v>4188.04</v>
      </c>
      <c r="X8" s="358">
        <v>2015</v>
      </c>
      <c r="Y8" s="358">
        <v>210008</v>
      </c>
      <c r="Z8" s="786">
        <v>686.33999999999992</v>
      </c>
      <c r="AB8" s="361"/>
    </row>
    <row r="9" spans="1:28">
      <c r="A9" s="54" t="s">
        <v>290</v>
      </c>
      <c r="B9" s="61">
        <v>9</v>
      </c>
      <c r="C9" s="56">
        <f t="shared" si="4"/>
        <v>110114790.00000001</v>
      </c>
      <c r="D9" s="57">
        <f t="shared" si="0"/>
        <v>2132419</v>
      </c>
      <c r="E9" s="363">
        <f t="shared" si="1"/>
        <v>112247209.00000001</v>
      </c>
      <c r="G9" s="132" t="s">
        <v>290</v>
      </c>
      <c r="H9" s="359">
        <f t="shared" si="2"/>
        <v>99384.8</v>
      </c>
      <c r="I9" s="359">
        <f t="shared" si="3"/>
        <v>10729.990000000002</v>
      </c>
      <c r="J9" s="68"/>
      <c r="L9" s="132" t="s">
        <v>290</v>
      </c>
      <c r="M9" s="132">
        <v>9</v>
      </c>
      <c r="N9" s="60">
        <v>2132419</v>
      </c>
      <c r="O9" s="54">
        <v>9</v>
      </c>
      <c r="P9" s="54" t="s">
        <v>290</v>
      </c>
      <c r="R9" s="791">
        <v>2132419</v>
      </c>
      <c r="T9" s="358">
        <v>2015</v>
      </c>
      <c r="U9" s="358">
        <v>210009</v>
      </c>
      <c r="V9" s="785">
        <v>99384.8</v>
      </c>
      <c r="X9" s="358">
        <v>2015</v>
      </c>
      <c r="Y9" s="358">
        <v>210009</v>
      </c>
      <c r="Z9" s="786">
        <v>10729.990000000002</v>
      </c>
      <c r="AB9" s="361"/>
    </row>
    <row r="10" spans="1:28">
      <c r="A10" s="54" t="s">
        <v>291</v>
      </c>
      <c r="B10" s="61">
        <v>10</v>
      </c>
      <c r="C10" s="56">
        <f t="shared" si="4"/>
        <v>0</v>
      </c>
      <c r="D10" s="57">
        <f t="shared" si="0"/>
        <v>59897.899999999994</v>
      </c>
      <c r="E10" s="363">
        <f t="shared" si="1"/>
        <v>59897.899999999994</v>
      </c>
      <c r="G10" s="132" t="s">
        <v>291</v>
      </c>
      <c r="H10" s="359">
        <f t="shared" si="2"/>
        <v>0</v>
      </c>
      <c r="I10" s="359">
        <f t="shared" si="3"/>
        <v>0</v>
      </c>
      <c r="J10" s="68"/>
      <c r="L10" s="132" t="s">
        <v>291</v>
      </c>
      <c r="M10" s="132">
        <v>10</v>
      </c>
      <c r="N10" s="60">
        <v>59897.899999999994</v>
      </c>
      <c r="O10" s="54">
        <v>10</v>
      </c>
      <c r="P10" s="54" t="s">
        <v>291</v>
      </c>
      <c r="R10" s="791">
        <v>59897.899999999994</v>
      </c>
      <c r="T10" s="358">
        <v>2015</v>
      </c>
      <c r="U10" s="358">
        <v>210010</v>
      </c>
      <c r="V10" s="359">
        <v>0</v>
      </c>
      <c r="X10" s="358">
        <v>2015</v>
      </c>
      <c r="Y10" s="358">
        <v>210010</v>
      </c>
      <c r="Z10" s="359">
        <v>0</v>
      </c>
      <c r="AB10" s="361"/>
    </row>
    <row r="11" spans="1:28">
      <c r="A11" s="54" t="s">
        <v>202</v>
      </c>
      <c r="B11" s="61">
        <v>11</v>
      </c>
      <c r="C11" s="56">
        <f t="shared" si="4"/>
        <v>6863969.9999999981</v>
      </c>
      <c r="D11" s="57">
        <f t="shared" si="0"/>
        <v>404669.9</v>
      </c>
      <c r="E11" s="363">
        <f t="shared" si="1"/>
        <v>7268639.8999999985</v>
      </c>
      <c r="G11" s="132" t="s">
        <v>202</v>
      </c>
      <c r="H11" s="359">
        <f t="shared" si="2"/>
        <v>6863.9699999999984</v>
      </c>
      <c r="I11" s="359">
        <f t="shared" si="3"/>
        <v>0</v>
      </c>
      <c r="J11" s="68"/>
      <c r="L11" s="132" t="s">
        <v>202</v>
      </c>
      <c r="M11" s="132">
        <v>11</v>
      </c>
      <c r="N11" s="60">
        <v>404669.9</v>
      </c>
      <c r="O11" s="54">
        <v>11</v>
      </c>
      <c r="P11" s="54" t="s">
        <v>202</v>
      </c>
      <c r="R11" s="791">
        <v>404669.9</v>
      </c>
      <c r="T11" s="358">
        <v>2015</v>
      </c>
      <c r="U11" s="358">
        <v>210011</v>
      </c>
      <c r="V11" s="785">
        <v>6863.9699999999984</v>
      </c>
      <c r="X11" s="358">
        <v>2015</v>
      </c>
      <c r="Y11" s="358">
        <v>210011</v>
      </c>
      <c r="Z11" s="788">
        <v>0</v>
      </c>
      <c r="AB11" s="361"/>
    </row>
    <row r="12" spans="1:28">
      <c r="A12" s="54" t="s">
        <v>292</v>
      </c>
      <c r="B12" s="61">
        <v>12</v>
      </c>
      <c r="C12" s="56">
        <f t="shared" si="4"/>
        <v>15453348</v>
      </c>
      <c r="D12" s="57">
        <f t="shared" si="0"/>
        <v>684516.8</v>
      </c>
      <c r="E12" s="363">
        <f t="shared" si="1"/>
        <v>16137864.800000001</v>
      </c>
      <c r="G12" s="132" t="s">
        <v>292</v>
      </c>
      <c r="H12" s="359">
        <f t="shared" si="2"/>
        <v>14820.43</v>
      </c>
      <c r="I12" s="359">
        <f t="shared" si="3"/>
        <v>632.91800000000012</v>
      </c>
      <c r="J12" s="68"/>
      <c r="L12" s="132" t="s">
        <v>292</v>
      </c>
      <c r="M12" s="132">
        <v>12</v>
      </c>
      <c r="N12" s="60">
        <v>684516.8</v>
      </c>
      <c r="O12" s="54">
        <v>12</v>
      </c>
      <c r="P12" s="54" t="s">
        <v>292</v>
      </c>
      <c r="R12" s="791">
        <v>684516.8</v>
      </c>
      <c r="T12" s="358">
        <v>2015</v>
      </c>
      <c r="U12" s="358">
        <v>210012</v>
      </c>
      <c r="V12" s="785">
        <v>14820.43</v>
      </c>
      <c r="X12" s="358">
        <v>2015</v>
      </c>
      <c r="Y12" s="358">
        <v>210012</v>
      </c>
      <c r="Z12" s="786">
        <v>632.91800000000012</v>
      </c>
      <c r="AB12" s="361"/>
    </row>
    <row r="13" spans="1:28">
      <c r="A13" s="54" t="s">
        <v>203</v>
      </c>
      <c r="B13" s="61">
        <v>13</v>
      </c>
      <c r="C13" s="56">
        <f t="shared" si="4"/>
        <v>0</v>
      </c>
      <c r="D13" s="57">
        <f t="shared" si="0"/>
        <v>87398</v>
      </c>
      <c r="E13" s="363">
        <f t="shared" si="1"/>
        <v>87398</v>
      </c>
      <c r="G13" s="132" t="s">
        <v>203</v>
      </c>
      <c r="H13" s="359">
        <f t="shared" si="2"/>
        <v>0</v>
      </c>
      <c r="I13" s="359">
        <f t="shared" si="3"/>
        <v>0</v>
      </c>
      <c r="J13" s="68"/>
      <c r="L13" s="132" t="s">
        <v>203</v>
      </c>
      <c r="M13" s="132">
        <v>13</v>
      </c>
      <c r="N13" s="60">
        <v>87398</v>
      </c>
      <c r="O13" s="54">
        <v>13</v>
      </c>
      <c r="P13" s="54" t="s">
        <v>203</v>
      </c>
      <c r="R13" s="791">
        <v>87398</v>
      </c>
      <c r="T13" s="358">
        <v>2015</v>
      </c>
      <c r="U13" s="358">
        <v>210013</v>
      </c>
      <c r="V13" s="359">
        <v>0</v>
      </c>
      <c r="X13" s="358">
        <v>2015</v>
      </c>
      <c r="Y13" s="358">
        <v>210013</v>
      </c>
      <c r="Z13" s="359">
        <v>0</v>
      </c>
      <c r="AB13" s="361"/>
    </row>
    <row r="14" spans="1:28">
      <c r="A14" s="54" t="s">
        <v>293</v>
      </c>
      <c r="B14" s="61">
        <v>15</v>
      </c>
      <c r="C14" s="56">
        <f t="shared" si="4"/>
        <v>8467280</v>
      </c>
      <c r="D14" s="57">
        <f t="shared" si="0"/>
        <v>469792.19999999995</v>
      </c>
      <c r="E14" s="363">
        <f t="shared" si="1"/>
        <v>8937072.1999999993</v>
      </c>
      <c r="G14" s="132" t="s">
        <v>293</v>
      </c>
      <c r="H14" s="359">
        <f t="shared" si="2"/>
        <v>8467.2800000000007</v>
      </c>
      <c r="I14" s="359">
        <f t="shared" si="3"/>
        <v>0</v>
      </c>
      <c r="J14" s="68"/>
      <c r="L14" s="132" t="s">
        <v>293</v>
      </c>
      <c r="M14" s="132">
        <v>15</v>
      </c>
      <c r="N14" s="60">
        <v>469792.19999999995</v>
      </c>
      <c r="O14" s="54">
        <v>15</v>
      </c>
      <c r="P14" s="54" t="s">
        <v>293</v>
      </c>
      <c r="R14" s="791">
        <v>469792.19999999995</v>
      </c>
      <c r="T14" s="358">
        <v>2015</v>
      </c>
      <c r="U14" s="358">
        <v>210015</v>
      </c>
      <c r="V14" s="785">
        <v>8467.2800000000007</v>
      </c>
      <c r="X14" s="358">
        <v>2015</v>
      </c>
      <c r="Y14" s="358">
        <v>210015</v>
      </c>
      <c r="Z14" s="359">
        <v>0</v>
      </c>
      <c r="AB14" s="361"/>
    </row>
    <row r="15" spans="1:28">
      <c r="A15" s="54" t="s">
        <v>294</v>
      </c>
      <c r="B15" s="61">
        <v>16</v>
      </c>
      <c r="C15" s="56">
        <f t="shared" si="4"/>
        <v>0</v>
      </c>
      <c r="D15" s="57">
        <f t="shared" si="0"/>
        <v>245900.4</v>
      </c>
      <c r="E15" s="363">
        <f t="shared" si="1"/>
        <v>245900.4</v>
      </c>
      <c r="G15" s="132" t="s">
        <v>294</v>
      </c>
      <c r="H15" s="359">
        <f t="shared" si="2"/>
        <v>0</v>
      </c>
      <c r="I15" s="359">
        <f t="shared" si="3"/>
        <v>0</v>
      </c>
      <c r="J15" s="68"/>
      <c r="L15" s="132" t="s">
        <v>294</v>
      </c>
      <c r="M15" s="132">
        <v>16</v>
      </c>
      <c r="N15" s="60">
        <v>245900.4</v>
      </c>
      <c r="O15" s="54">
        <v>16</v>
      </c>
      <c r="P15" s="54" t="s">
        <v>294</v>
      </c>
      <c r="R15" s="791">
        <v>245900.4</v>
      </c>
      <c r="T15" s="358">
        <v>2015</v>
      </c>
      <c r="U15" s="358">
        <v>210016</v>
      </c>
      <c r="V15" s="359">
        <v>0</v>
      </c>
      <c r="X15" s="358">
        <v>2015</v>
      </c>
      <c r="Y15" s="358">
        <v>210016</v>
      </c>
      <c r="Z15" s="359">
        <v>0</v>
      </c>
      <c r="AB15" s="361"/>
    </row>
    <row r="16" spans="1:28">
      <c r="A16" s="67" t="s">
        <v>295</v>
      </c>
      <c r="B16" s="61">
        <v>17</v>
      </c>
      <c r="C16" s="56">
        <f t="shared" si="4"/>
        <v>0</v>
      </c>
      <c r="D16" s="57">
        <f t="shared" si="0"/>
        <v>42302</v>
      </c>
      <c r="E16" s="363">
        <f t="shared" si="1"/>
        <v>42302</v>
      </c>
      <c r="G16" s="132" t="s">
        <v>295</v>
      </c>
      <c r="H16" s="359">
        <f t="shared" si="2"/>
        <v>0</v>
      </c>
      <c r="I16" s="359">
        <f t="shared" si="3"/>
        <v>0</v>
      </c>
      <c r="J16" s="68"/>
      <c r="L16" s="132" t="s">
        <v>295</v>
      </c>
      <c r="M16" s="132">
        <v>17</v>
      </c>
      <c r="N16" s="60">
        <v>42302</v>
      </c>
      <c r="O16" s="54">
        <v>17</v>
      </c>
      <c r="P16" s="54" t="s">
        <v>295</v>
      </c>
      <c r="R16" s="791">
        <v>42302</v>
      </c>
      <c r="T16" s="358">
        <v>2015</v>
      </c>
      <c r="U16" s="358">
        <v>210017</v>
      </c>
      <c r="V16" s="359">
        <v>0</v>
      </c>
      <c r="X16" s="358">
        <v>2015</v>
      </c>
      <c r="Y16" s="358">
        <v>210017</v>
      </c>
      <c r="Z16" s="359">
        <v>0</v>
      </c>
      <c r="AB16" s="361"/>
    </row>
    <row r="17" spans="1:28">
      <c r="A17" s="54" t="s">
        <v>296</v>
      </c>
      <c r="B17" s="61">
        <v>18</v>
      </c>
      <c r="C17" s="56">
        <f t="shared" si="4"/>
        <v>0</v>
      </c>
      <c r="D17" s="57">
        <f t="shared" si="0"/>
        <v>166869.1</v>
      </c>
      <c r="E17" s="363">
        <f t="shared" si="1"/>
        <v>166869.1</v>
      </c>
      <c r="G17" s="132" t="s">
        <v>296</v>
      </c>
      <c r="H17" s="359">
        <f t="shared" si="2"/>
        <v>0</v>
      </c>
      <c r="I17" s="359">
        <f t="shared" si="3"/>
        <v>0</v>
      </c>
      <c r="J17" s="68"/>
      <c r="L17" s="132" t="s">
        <v>296</v>
      </c>
      <c r="M17" s="132">
        <v>18</v>
      </c>
      <c r="N17" s="60">
        <v>166869.1</v>
      </c>
      <c r="O17" s="54">
        <v>18</v>
      </c>
      <c r="P17" s="54" t="s">
        <v>296</v>
      </c>
      <c r="R17" s="791">
        <v>166869.1</v>
      </c>
      <c r="T17" s="358">
        <v>2015</v>
      </c>
      <c r="U17" s="358">
        <v>210018</v>
      </c>
      <c r="V17" s="359">
        <v>0</v>
      </c>
      <c r="X17" s="358">
        <v>2015</v>
      </c>
      <c r="Y17" s="358">
        <v>210018</v>
      </c>
      <c r="Z17" s="359">
        <v>0</v>
      </c>
      <c r="AB17" s="361"/>
    </row>
    <row r="18" spans="1:28">
      <c r="A18" s="54" t="s">
        <v>297</v>
      </c>
      <c r="B18" s="61">
        <v>19</v>
      </c>
      <c r="C18" s="56">
        <f t="shared" si="4"/>
        <v>0</v>
      </c>
      <c r="D18" s="57">
        <f t="shared" si="0"/>
        <v>412641.5</v>
      </c>
      <c r="E18" s="363">
        <f t="shared" si="1"/>
        <v>412641.5</v>
      </c>
      <c r="G18" s="132" t="s">
        <v>297</v>
      </c>
      <c r="H18" s="359">
        <f t="shared" si="2"/>
        <v>0</v>
      </c>
      <c r="I18" s="359">
        <f t="shared" si="3"/>
        <v>0</v>
      </c>
      <c r="J18" s="68"/>
      <c r="L18" s="132" t="s">
        <v>297</v>
      </c>
      <c r="M18" s="132">
        <v>19</v>
      </c>
      <c r="N18" s="60">
        <v>412641.5</v>
      </c>
      <c r="O18" s="54">
        <v>19</v>
      </c>
      <c r="P18" s="54" t="s">
        <v>297</v>
      </c>
      <c r="R18" s="791">
        <v>412641.5</v>
      </c>
      <c r="T18" s="358">
        <v>2015</v>
      </c>
      <c r="U18" s="358">
        <v>210019</v>
      </c>
      <c r="V18" s="359">
        <v>0</v>
      </c>
      <c r="X18" s="358">
        <v>2015</v>
      </c>
      <c r="Y18" s="358">
        <v>210019</v>
      </c>
      <c r="Z18" s="359">
        <v>0</v>
      </c>
      <c r="AB18" s="361"/>
    </row>
    <row r="19" spans="1:28">
      <c r="A19" s="54" t="s">
        <v>298</v>
      </c>
      <c r="B19" s="61">
        <v>22</v>
      </c>
      <c r="C19" s="56">
        <f t="shared" si="4"/>
        <v>339710.00000000006</v>
      </c>
      <c r="D19" s="57">
        <f t="shared" si="0"/>
        <v>280578.5</v>
      </c>
      <c r="E19" s="363">
        <f t="shared" si="1"/>
        <v>620288.5</v>
      </c>
      <c r="G19" s="132" t="s">
        <v>298</v>
      </c>
      <c r="H19" s="359">
        <f t="shared" si="2"/>
        <v>323.05</v>
      </c>
      <c r="I19" s="359">
        <f t="shared" si="3"/>
        <v>16.66</v>
      </c>
      <c r="J19" s="68"/>
      <c r="L19" s="132" t="s">
        <v>298</v>
      </c>
      <c r="M19" s="132">
        <v>22</v>
      </c>
      <c r="N19" s="60">
        <v>280578.5</v>
      </c>
      <c r="O19" s="54">
        <v>22</v>
      </c>
      <c r="P19" s="54" t="s">
        <v>298</v>
      </c>
      <c r="R19" s="791">
        <v>280578.5</v>
      </c>
      <c r="T19" s="358">
        <v>2015</v>
      </c>
      <c r="U19" s="358">
        <v>210022</v>
      </c>
      <c r="V19" s="785">
        <v>323.05</v>
      </c>
      <c r="X19" s="358">
        <v>2015</v>
      </c>
      <c r="Y19" s="358">
        <v>210022</v>
      </c>
      <c r="Z19" s="786">
        <v>16.66</v>
      </c>
      <c r="AB19" s="361"/>
    </row>
    <row r="20" spans="1:28">
      <c r="A20" s="54" t="s">
        <v>299</v>
      </c>
      <c r="B20" s="61">
        <v>23</v>
      </c>
      <c r="C20" s="56">
        <f t="shared" si="4"/>
        <v>0</v>
      </c>
      <c r="D20" s="57">
        <f t="shared" si="0"/>
        <v>541867.80000000005</v>
      </c>
      <c r="E20" s="363">
        <f t="shared" si="1"/>
        <v>541867.80000000005</v>
      </c>
      <c r="G20" s="132" t="s">
        <v>299</v>
      </c>
      <c r="H20" s="359">
        <f t="shared" si="2"/>
        <v>0</v>
      </c>
      <c r="I20" s="359">
        <f t="shared" si="3"/>
        <v>0</v>
      </c>
      <c r="J20" s="68"/>
      <c r="L20" s="132" t="s">
        <v>299</v>
      </c>
      <c r="M20" s="132">
        <v>23</v>
      </c>
      <c r="N20" s="60">
        <v>541867.80000000005</v>
      </c>
      <c r="O20" s="54">
        <v>23</v>
      </c>
      <c r="P20" s="54" t="s">
        <v>299</v>
      </c>
      <c r="R20" s="791">
        <v>541867.80000000005</v>
      </c>
      <c r="T20" s="358">
        <v>2015</v>
      </c>
      <c r="U20" s="358">
        <v>210023</v>
      </c>
      <c r="V20" s="359">
        <v>0</v>
      </c>
      <c r="X20" s="358">
        <v>2015</v>
      </c>
      <c r="Y20" s="358">
        <v>210023</v>
      </c>
      <c r="Z20" s="359">
        <v>0</v>
      </c>
      <c r="AB20" s="361"/>
    </row>
    <row r="21" spans="1:28">
      <c r="A21" s="54" t="s">
        <v>300</v>
      </c>
      <c r="B21" s="61">
        <v>24</v>
      </c>
      <c r="C21" s="56">
        <f t="shared" si="4"/>
        <v>11093490.000000002</v>
      </c>
      <c r="D21" s="57">
        <f t="shared" si="0"/>
        <v>406581.9</v>
      </c>
      <c r="E21" s="363">
        <f t="shared" si="1"/>
        <v>11500071.900000002</v>
      </c>
      <c r="G21" s="132" t="s">
        <v>300</v>
      </c>
      <c r="H21" s="359">
        <f t="shared" si="2"/>
        <v>10334.920000000002</v>
      </c>
      <c r="I21" s="359">
        <f t="shared" si="3"/>
        <v>758.56999999999994</v>
      </c>
      <c r="L21" s="132" t="s">
        <v>300</v>
      </c>
      <c r="M21" s="132">
        <v>24</v>
      </c>
      <c r="N21" s="60">
        <v>406581.9</v>
      </c>
      <c r="O21" s="54">
        <v>24</v>
      </c>
      <c r="P21" s="54" t="s">
        <v>300</v>
      </c>
      <c r="R21" s="791">
        <v>406581.9</v>
      </c>
      <c r="T21" s="358">
        <v>2015</v>
      </c>
      <c r="U21" s="358">
        <v>210024</v>
      </c>
      <c r="V21" s="785">
        <v>10334.920000000002</v>
      </c>
      <c r="X21" s="358">
        <v>2015</v>
      </c>
      <c r="Y21" s="358">
        <v>210024</v>
      </c>
      <c r="Z21" s="786">
        <v>758.56999999999994</v>
      </c>
      <c r="AB21" s="361"/>
    </row>
    <row r="22" spans="1:28">
      <c r="A22" s="54" t="s">
        <v>301</v>
      </c>
      <c r="B22" s="61">
        <v>27</v>
      </c>
      <c r="C22" s="56">
        <f t="shared" si="4"/>
        <v>0</v>
      </c>
      <c r="D22" s="57">
        <f t="shared" si="0"/>
        <v>314237.3</v>
      </c>
      <c r="E22" s="363">
        <f t="shared" si="1"/>
        <v>314237.3</v>
      </c>
      <c r="G22" s="132" t="s">
        <v>301</v>
      </c>
      <c r="H22" s="359">
        <f t="shared" si="2"/>
        <v>0</v>
      </c>
      <c r="I22" s="359">
        <f t="shared" si="3"/>
        <v>0</v>
      </c>
      <c r="L22" s="132" t="s">
        <v>301</v>
      </c>
      <c r="M22" s="132">
        <v>27</v>
      </c>
      <c r="N22" s="60">
        <v>314237.3</v>
      </c>
      <c r="O22" s="54">
        <v>27</v>
      </c>
      <c r="P22" s="54" t="s">
        <v>301</v>
      </c>
      <c r="R22" s="791">
        <v>314237.3</v>
      </c>
      <c r="T22" s="358">
        <v>2015</v>
      </c>
      <c r="U22" s="358">
        <v>210027</v>
      </c>
      <c r="V22" s="359"/>
      <c r="X22" s="358">
        <v>2015</v>
      </c>
      <c r="Y22" s="358">
        <v>210027</v>
      </c>
      <c r="Z22" s="359"/>
      <c r="AB22" s="361"/>
    </row>
    <row r="23" spans="1:28">
      <c r="A23" s="54" t="s">
        <v>302</v>
      </c>
      <c r="B23" s="61">
        <v>28</v>
      </c>
      <c r="C23" s="56">
        <f t="shared" si="4"/>
        <v>0</v>
      </c>
      <c r="D23" s="57">
        <f t="shared" si="0"/>
        <v>154603</v>
      </c>
      <c r="E23" s="363">
        <f t="shared" si="1"/>
        <v>154603</v>
      </c>
      <c r="G23" s="132" t="s">
        <v>302</v>
      </c>
      <c r="H23" s="359">
        <f t="shared" si="2"/>
        <v>0</v>
      </c>
      <c r="I23" s="359">
        <f t="shared" si="3"/>
        <v>0</v>
      </c>
      <c r="L23" s="132" t="s">
        <v>302</v>
      </c>
      <c r="M23" s="132">
        <v>28</v>
      </c>
      <c r="N23" s="60">
        <v>154603</v>
      </c>
      <c r="O23" s="54">
        <v>28</v>
      </c>
      <c r="P23" s="54" t="s">
        <v>302</v>
      </c>
      <c r="R23" s="791">
        <v>154603</v>
      </c>
      <c r="T23" s="358">
        <v>2015</v>
      </c>
      <c r="U23" s="358">
        <v>210028</v>
      </c>
      <c r="V23" s="359"/>
      <c r="X23" s="358">
        <v>2015</v>
      </c>
      <c r="Y23" s="358">
        <v>210028</v>
      </c>
      <c r="Z23" s="359"/>
    </row>
    <row r="24" spans="1:28">
      <c r="A24" s="54" t="s">
        <v>303</v>
      </c>
      <c r="B24" s="61">
        <v>29</v>
      </c>
      <c r="C24" s="56">
        <f t="shared" si="4"/>
        <v>22226999.999999996</v>
      </c>
      <c r="D24" s="57">
        <f t="shared" si="0"/>
        <v>596807.29999999993</v>
      </c>
      <c r="E24" s="363">
        <f t="shared" si="1"/>
        <v>22823807.299999997</v>
      </c>
      <c r="G24" s="132" t="s">
        <v>303</v>
      </c>
      <c r="H24" s="359">
        <f t="shared" si="2"/>
        <v>20919.399999999998</v>
      </c>
      <c r="I24" s="359">
        <f t="shared" si="3"/>
        <v>1307.5999999999999</v>
      </c>
      <c r="L24" s="132" t="s">
        <v>303</v>
      </c>
      <c r="M24" s="132">
        <v>29</v>
      </c>
      <c r="N24" s="60">
        <v>596807.29999999993</v>
      </c>
      <c r="O24" s="54">
        <v>29</v>
      </c>
      <c r="P24" s="54" t="s">
        <v>303</v>
      </c>
      <c r="R24" s="791">
        <v>596807.29999999993</v>
      </c>
      <c r="T24" s="358">
        <v>2015</v>
      </c>
      <c r="U24" s="358">
        <v>210029</v>
      </c>
      <c r="V24" s="785">
        <v>20919.399999999998</v>
      </c>
      <c r="X24" s="358">
        <v>2015</v>
      </c>
      <c r="Y24" s="358">
        <v>210029</v>
      </c>
      <c r="Z24" s="786">
        <v>1307.5999999999999</v>
      </c>
    </row>
    <row r="25" spans="1:28">
      <c r="A25" s="54" t="s">
        <v>304</v>
      </c>
      <c r="B25" s="61">
        <v>30</v>
      </c>
      <c r="C25" s="56">
        <f t="shared" si="4"/>
        <v>0</v>
      </c>
      <c r="D25" s="57">
        <f t="shared" si="0"/>
        <v>62791.8</v>
      </c>
      <c r="E25" s="363">
        <f t="shared" si="1"/>
        <v>62791.8</v>
      </c>
      <c r="G25" s="132" t="s">
        <v>304</v>
      </c>
      <c r="H25" s="359">
        <f t="shared" si="2"/>
        <v>0</v>
      </c>
      <c r="I25" s="359">
        <f t="shared" si="3"/>
        <v>0</v>
      </c>
      <c r="L25" s="132" t="s">
        <v>304</v>
      </c>
      <c r="M25" s="132">
        <v>30</v>
      </c>
      <c r="N25" s="60">
        <v>62791.8</v>
      </c>
      <c r="O25" s="54">
        <v>30</v>
      </c>
      <c r="P25" s="54" t="s">
        <v>304</v>
      </c>
      <c r="R25" s="791">
        <v>62791.8</v>
      </c>
      <c r="T25" s="358">
        <v>2015</v>
      </c>
      <c r="U25" s="358">
        <v>210030</v>
      </c>
      <c r="V25" s="359"/>
      <c r="X25" s="358">
        <v>2015</v>
      </c>
      <c r="Y25" s="358">
        <v>210030</v>
      </c>
      <c r="Z25" s="359"/>
    </row>
    <row r="26" spans="1:28">
      <c r="A26" s="54" t="s">
        <v>305</v>
      </c>
      <c r="B26" s="61">
        <v>32</v>
      </c>
      <c r="C26" s="56">
        <f t="shared" si="4"/>
        <v>0</v>
      </c>
      <c r="D26" s="57">
        <f t="shared" si="0"/>
        <v>153372.9</v>
      </c>
      <c r="E26" s="363">
        <f t="shared" si="1"/>
        <v>153372.9</v>
      </c>
      <c r="G26" s="132" t="s">
        <v>305</v>
      </c>
      <c r="H26" s="359">
        <f t="shared" si="2"/>
        <v>0</v>
      </c>
      <c r="I26" s="359">
        <f t="shared" si="3"/>
        <v>0</v>
      </c>
      <c r="L26" s="132" t="s">
        <v>305</v>
      </c>
      <c r="M26" s="132">
        <v>32</v>
      </c>
      <c r="N26" s="60">
        <v>153372.9</v>
      </c>
      <c r="O26" s="54">
        <v>32</v>
      </c>
      <c r="P26" s="54" t="s">
        <v>305</v>
      </c>
      <c r="R26" s="791">
        <v>153372.9</v>
      </c>
      <c r="T26" s="358">
        <v>2015</v>
      </c>
      <c r="U26" s="358">
        <v>210032</v>
      </c>
      <c r="V26" s="359"/>
      <c r="X26" s="358">
        <v>2015</v>
      </c>
      <c r="Y26" s="358">
        <v>210032</v>
      </c>
      <c r="Z26" s="359"/>
    </row>
    <row r="27" spans="1:28">
      <c r="A27" s="54" t="s">
        <v>306</v>
      </c>
      <c r="B27" s="61">
        <v>33</v>
      </c>
      <c r="C27" s="56">
        <f t="shared" si="4"/>
        <v>0</v>
      </c>
      <c r="D27" s="57">
        <f t="shared" si="0"/>
        <v>249075.20000000001</v>
      </c>
      <c r="E27" s="363">
        <f t="shared" si="1"/>
        <v>249075.20000000001</v>
      </c>
      <c r="G27" s="132" t="s">
        <v>306</v>
      </c>
      <c r="H27" s="359">
        <f t="shared" si="2"/>
        <v>0</v>
      </c>
      <c r="I27" s="359">
        <f t="shared" si="3"/>
        <v>0</v>
      </c>
      <c r="L27" s="132" t="s">
        <v>306</v>
      </c>
      <c r="M27" s="132">
        <v>33</v>
      </c>
      <c r="N27" s="60">
        <v>249075.20000000001</v>
      </c>
      <c r="O27" s="54">
        <v>33</v>
      </c>
      <c r="P27" s="54" t="s">
        <v>306</v>
      </c>
      <c r="R27" s="791">
        <v>249075.20000000001</v>
      </c>
      <c r="T27" s="358">
        <v>2015</v>
      </c>
      <c r="U27" s="358">
        <v>210033</v>
      </c>
      <c r="V27" s="359"/>
      <c r="X27" s="358">
        <v>2015</v>
      </c>
      <c r="Y27" s="358">
        <v>210033</v>
      </c>
      <c r="Z27" s="359"/>
    </row>
    <row r="28" spans="1:28">
      <c r="A28" s="54" t="s">
        <v>307</v>
      </c>
      <c r="B28" s="61">
        <v>34</v>
      </c>
      <c r="C28" s="56">
        <f t="shared" si="4"/>
        <v>4637050</v>
      </c>
      <c r="D28" s="57">
        <f t="shared" si="0"/>
        <v>201141</v>
      </c>
      <c r="E28" s="363">
        <f t="shared" si="1"/>
        <v>4838191</v>
      </c>
      <c r="G28" s="132" t="s">
        <v>307</v>
      </c>
      <c r="H28" s="359">
        <f t="shared" si="2"/>
        <v>4637.05</v>
      </c>
      <c r="I28" s="359">
        <f t="shared" si="3"/>
        <v>0</v>
      </c>
      <c r="L28" s="132" t="s">
        <v>307</v>
      </c>
      <c r="M28" s="132">
        <v>34</v>
      </c>
      <c r="N28" s="60">
        <v>201141</v>
      </c>
      <c r="O28" s="54">
        <v>34</v>
      </c>
      <c r="P28" s="54" t="s">
        <v>307</v>
      </c>
      <c r="R28" s="791">
        <v>201141</v>
      </c>
      <c r="T28" s="358">
        <v>2015</v>
      </c>
      <c r="U28" s="358">
        <v>210034</v>
      </c>
      <c r="V28" s="785">
        <v>4637.05</v>
      </c>
      <c r="X28" s="358">
        <v>2015</v>
      </c>
      <c r="Y28" s="358">
        <v>210034</v>
      </c>
      <c r="Z28" s="359"/>
    </row>
    <row r="29" spans="1:28">
      <c r="A29" s="54" t="s">
        <v>308</v>
      </c>
      <c r="B29" s="61">
        <v>35</v>
      </c>
      <c r="C29" s="56">
        <f t="shared" si="4"/>
        <v>0</v>
      </c>
      <c r="D29" s="57">
        <f t="shared" si="0"/>
        <v>137003.90000000002</v>
      </c>
      <c r="E29" s="363">
        <f t="shared" si="1"/>
        <v>137003.90000000002</v>
      </c>
      <c r="G29" s="132" t="s">
        <v>308</v>
      </c>
      <c r="H29" s="359">
        <f t="shared" si="2"/>
        <v>0</v>
      </c>
      <c r="I29" s="359">
        <f t="shared" si="3"/>
        <v>0</v>
      </c>
      <c r="L29" s="132" t="s">
        <v>308</v>
      </c>
      <c r="M29" s="132">
        <v>35</v>
      </c>
      <c r="N29" s="60">
        <v>137003.90000000002</v>
      </c>
      <c r="O29" s="54">
        <v>35</v>
      </c>
      <c r="P29" s="54" t="s">
        <v>308</v>
      </c>
      <c r="R29" s="791">
        <v>137003.90000000002</v>
      </c>
      <c r="T29" s="358">
        <v>2015</v>
      </c>
      <c r="U29" s="358">
        <v>210035</v>
      </c>
      <c r="V29" s="359"/>
      <c r="X29" s="358">
        <v>2015</v>
      </c>
      <c r="Y29" s="358">
        <v>210035</v>
      </c>
      <c r="Z29" s="359"/>
    </row>
    <row r="30" spans="1:28">
      <c r="A30" s="54" t="s">
        <v>309</v>
      </c>
      <c r="B30" s="61">
        <v>37</v>
      </c>
      <c r="C30" s="56">
        <f t="shared" si="4"/>
        <v>0</v>
      </c>
      <c r="D30" s="57">
        <f t="shared" si="0"/>
        <v>186358.59999999998</v>
      </c>
      <c r="E30" s="363">
        <f t="shared" si="1"/>
        <v>186358.59999999998</v>
      </c>
      <c r="G30" s="132" t="s">
        <v>309</v>
      </c>
      <c r="H30" s="359">
        <f t="shared" si="2"/>
        <v>0</v>
      </c>
      <c r="I30" s="359">
        <f t="shared" si="3"/>
        <v>0</v>
      </c>
      <c r="L30" s="132" t="s">
        <v>309</v>
      </c>
      <c r="M30" s="132">
        <v>37</v>
      </c>
      <c r="N30" s="60">
        <v>186358.59999999998</v>
      </c>
      <c r="O30" s="54">
        <v>37</v>
      </c>
      <c r="P30" s="54" t="s">
        <v>309</v>
      </c>
      <c r="R30" s="791">
        <v>186358.59999999998</v>
      </c>
      <c r="T30" s="358">
        <v>2015</v>
      </c>
      <c r="U30" s="358">
        <v>210037</v>
      </c>
      <c r="V30" s="359"/>
      <c r="X30" s="358">
        <v>2015</v>
      </c>
      <c r="Y30" s="358">
        <v>210037</v>
      </c>
      <c r="Z30" s="359"/>
    </row>
    <row r="31" spans="1:28">
      <c r="A31" s="54" t="s">
        <v>310</v>
      </c>
      <c r="B31" s="61">
        <v>38</v>
      </c>
      <c r="C31" s="56">
        <f t="shared" si="4"/>
        <v>4028359.9999999991</v>
      </c>
      <c r="D31" s="57">
        <f t="shared" si="0"/>
        <v>186645</v>
      </c>
      <c r="E31" s="363">
        <f t="shared" si="1"/>
        <v>4215004.9999999991</v>
      </c>
      <c r="G31" s="132" t="s">
        <v>310</v>
      </c>
      <c r="H31" s="359">
        <f t="shared" si="2"/>
        <v>4028.3599999999992</v>
      </c>
      <c r="I31" s="359">
        <f t="shared" si="3"/>
        <v>0</v>
      </c>
      <c r="L31" s="132" t="s">
        <v>310</v>
      </c>
      <c r="M31" s="132">
        <v>38</v>
      </c>
      <c r="N31" s="60">
        <v>186645</v>
      </c>
      <c r="O31" s="54">
        <v>38</v>
      </c>
      <c r="P31" s="54" t="s">
        <v>310</v>
      </c>
      <c r="R31" s="791">
        <v>186645</v>
      </c>
      <c r="T31" s="358">
        <v>2015</v>
      </c>
      <c r="U31" s="358">
        <v>210038</v>
      </c>
      <c r="V31" s="785">
        <v>4028.3599999999992</v>
      </c>
      <c r="X31" s="358">
        <v>2015</v>
      </c>
      <c r="Y31" s="358">
        <v>210038</v>
      </c>
      <c r="Z31" s="359"/>
    </row>
    <row r="32" spans="1:28">
      <c r="A32" s="54" t="s">
        <v>311</v>
      </c>
      <c r="B32" s="61">
        <v>39</v>
      </c>
      <c r="C32" s="56">
        <f t="shared" si="4"/>
        <v>0</v>
      </c>
      <c r="D32" s="57">
        <f t="shared" si="0"/>
        <v>138862.9</v>
      </c>
      <c r="E32" s="363">
        <f t="shared" si="1"/>
        <v>138862.9</v>
      </c>
      <c r="G32" s="132" t="s">
        <v>311</v>
      </c>
      <c r="H32" s="359">
        <f t="shared" si="2"/>
        <v>0</v>
      </c>
      <c r="I32" s="359">
        <f t="shared" si="3"/>
        <v>0</v>
      </c>
      <c r="L32" s="132" t="s">
        <v>311</v>
      </c>
      <c r="M32" s="132">
        <v>39</v>
      </c>
      <c r="N32" s="60">
        <v>138862.9</v>
      </c>
      <c r="O32" s="54">
        <v>39</v>
      </c>
      <c r="P32" s="54" t="s">
        <v>311</v>
      </c>
      <c r="R32" s="791">
        <v>138862.9</v>
      </c>
      <c r="T32" s="358">
        <v>2015</v>
      </c>
      <c r="U32" s="358">
        <v>210039</v>
      </c>
      <c r="V32" s="359"/>
      <c r="X32" s="358">
        <v>2015</v>
      </c>
      <c r="Y32" s="358">
        <v>210039</v>
      </c>
      <c r="Z32" s="359"/>
    </row>
    <row r="33" spans="1:26">
      <c r="A33" s="54" t="s">
        <v>312</v>
      </c>
      <c r="B33" s="61">
        <v>40</v>
      </c>
      <c r="C33" s="56">
        <f t="shared" si="4"/>
        <v>0</v>
      </c>
      <c r="D33" s="57">
        <f t="shared" si="0"/>
        <v>248252.7</v>
      </c>
      <c r="E33" s="363">
        <f t="shared" si="1"/>
        <v>248252.7</v>
      </c>
      <c r="G33" s="132" t="s">
        <v>312</v>
      </c>
      <c r="H33" s="359">
        <f t="shared" si="2"/>
        <v>0</v>
      </c>
      <c r="I33" s="359">
        <f t="shared" si="3"/>
        <v>0</v>
      </c>
      <c r="L33" s="132" t="s">
        <v>312</v>
      </c>
      <c r="M33" s="132">
        <v>40</v>
      </c>
      <c r="N33" s="60">
        <v>248252.7</v>
      </c>
      <c r="O33" s="54">
        <v>40</v>
      </c>
      <c r="P33" s="54" t="s">
        <v>312</v>
      </c>
      <c r="R33" s="791">
        <v>248252.7</v>
      </c>
      <c r="T33" s="358">
        <v>2015</v>
      </c>
      <c r="U33" s="358">
        <v>210040</v>
      </c>
      <c r="V33" s="359"/>
      <c r="X33" s="358">
        <v>2015</v>
      </c>
      <c r="Y33" s="358">
        <v>210040</v>
      </c>
      <c r="Z33" s="359"/>
    </row>
    <row r="34" spans="1:26">
      <c r="A34" s="54" t="s">
        <v>313</v>
      </c>
      <c r="B34" s="61">
        <v>43</v>
      </c>
      <c r="C34" s="56">
        <f t="shared" si="4"/>
        <v>422730</v>
      </c>
      <c r="D34" s="57">
        <f t="shared" si="0"/>
        <v>376812.79999999999</v>
      </c>
      <c r="E34" s="363">
        <f t="shared" si="1"/>
        <v>799542.8</v>
      </c>
      <c r="G34" s="132" t="s">
        <v>313</v>
      </c>
      <c r="H34" s="359">
        <f t="shared" si="2"/>
        <v>422.73</v>
      </c>
      <c r="I34" s="359">
        <f t="shared" si="3"/>
        <v>0</v>
      </c>
      <c r="L34" s="132" t="s">
        <v>313</v>
      </c>
      <c r="M34" s="132">
        <v>43</v>
      </c>
      <c r="N34" s="60">
        <v>376812.79999999999</v>
      </c>
      <c r="O34" s="54">
        <v>43</v>
      </c>
      <c r="P34" s="54" t="s">
        <v>313</v>
      </c>
      <c r="R34" s="791">
        <v>376812.79999999999</v>
      </c>
      <c r="T34" s="358">
        <v>2015</v>
      </c>
      <c r="U34" s="358">
        <v>210043</v>
      </c>
      <c r="V34" s="785">
        <v>422.73</v>
      </c>
      <c r="X34" s="358">
        <v>2015</v>
      </c>
      <c r="Y34" s="358">
        <v>210043</v>
      </c>
      <c r="Z34" s="359"/>
    </row>
    <row r="35" spans="1:26">
      <c r="A35" s="54" t="s">
        <v>207</v>
      </c>
      <c r="B35" s="61">
        <v>44</v>
      </c>
      <c r="C35" s="56">
        <f t="shared" si="4"/>
        <v>4976559.9999999991</v>
      </c>
      <c r="D35" s="57">
        <f t="shared" si="0"/>
        <v>421137.7</v>
      </c>
      <c r="E35" s="363">
        <f t="shared" si="1"/>
        <v>5397697.6999999993</v>
      </c>
      <c r="G35" s="132" t="s">
        <v>207</v>
      </c>
      <c r="H35" s="359">
        <f t="shared" si="2"/>
        <v>4976.5599999999995</v>
      </c>
      <c r="I35" s="359">
        <f t="shared" si="3"/>
        <v>0</v>
      </c>
      <c r="L35" s="132" t="s">
        <v>207</v>
      </c>
      <c r="M35" s="132">
        <v>44</v>
      </c>
      <c r="N35" s="60">
        <v>421137.7</v>
      </c>
      <c r="O35" s="54">
        <v>44</v>
      </c>
      <c r="P35" s="54" t="s">
        <v>207</v>
      </c>
      <c r="R35" s="791">
        <v>421137.7</v>
      </c>
      <c r="T35" s="358">
        <v>2015</v>
      </c>
      <c r="U35" s="358">
        <v>210044</v>
      </c>
      <c r="V35" s="785">
        <v>4976.5599999999995</v>
      </c>
      <c r="X35" s="358">
        <v>2015</v>
      </c>
      <c r="Y35" s="358">
        <v>210044</v>
      </c>
      <c r="Z35" s="359"/>
    </row>
    <row r="36" spans="1:26">
      <c r="A36" s="54" t="s">
        <v>208</v>
      </c>
      <c r="B36" s="61">
        <v>45</v>
      </c>
      <c r="C36" s="56">
        <f t="shared" si="4"/>
        <v>0</v>
      </c>
      <c r="D36" s="57">
        <f t="shared" si="0"/>
        <v>16124</v>
      </c>
      <c r="E36" s="363">
        <f t="shared" si="1"/>
        <v>16124</v>
      </c>
      <c r="G36" s="132" t="s">
        <v>208</v>
      </c>
      <c r="H36" s="359">
        <f t="shared" si="2"/>
        <v>0</v>
      </c>
      <c r="I36" s="359">
        <f t="shared" si="3"/>
        <v>0</v>
      </c>
      <c r="L36" s="132" t="s">
        <v>208</v>
      </c>
      <c r="M36" s="132">
        <v>45</v>
      </c>
      <c r="N36" s="60">
        <v>16124</v>
      </c>
      <c r="O36" s="54">
        <v>45</v>
      </c>
      <c r="P36" s="54" t="s">
        <v>208</v>
      </c>
      <c r="R36" s="791">
        <v>16124</v>
      </c>
      <c r="T36" s="358">
        <v>2015</v>
      </c>
      <c r="U36" s="358">
        <v>210045</v>
      </c>
      <c r="V36" s="359"/>
      <c r="X36" s="358">
        <v>2015</v>
      </c>
      <c r="Y36" s="358">
        <v>210045</v>
      </c>
      <c r="Z36" s="359"/>
    </row>
    <row r="37" spans="1:26">
      <c r="A37" s="54" t="s">
        <v>314</v>
      </c>
      <c r="B37" s="61">
        <v>48</v>
      </c>
      <c r="C37" s="56">
        <f t="shared" si="4"/>
        <v>0</v>
      </c>
      <c r="D37" s="57">
        <f t="shared" si="0"/>
        <v>278901.59999999998</v>
      </c>
      <c r="E37" s="363">
        <f t="shared" si="1"/>
        <v>278901.59999999998</v>
      </c>
      <c r="G37" s="132" t="s">
        <v>314</v>
      </c>
      <c r="H37" s="359">
        <f t="shared" si="2"/>
        <v>0</v>
      </c>
      <c r="I37" s="359">
        <f t="shared" si="3"/>
        <v>0</v>
      </c>
      <c r="L37" s="132" t="s">
        <v>314</v>
      </c>
      <c r="M37" s="132">
        <v>48</v>
      </c>
      <c r="N37" s="60">
        <v>278901.59999999998</v>
      </c>
      <c r="O37" s="54">
        <v>48</v>
      </c>
      <c r="P37" s="54" t="s">
        <v>314</v>
      </c>
      <c r="R37" s="791">
        <v>278901.59999999998</v>
      </c>
      <c r="T37" s="358">
        <v>2015</v>
      </c>
      <c r="U37" s="358">
        <v>210048</v>
      </c>
      <c r="V37" s="359"/>
      <c r="X37" s="358">
        <v>2015</v>
      </c>
      <c r="Y37" s="358">
        <v>210048</v>
      </c>
      <c r="Z37" s="359"/>
    </row>
    <row r="38" spans="1:26">
      <c r="A38" s="54" t="s">
        <v>315</v>
      </c>
      <c r="B38" s="61">
        <v>49</v>
      </c>
      <c r="C38" s="56">
        <f t="shared" si="4"/>
        <v>0</v>
      </c>
      <c r="D38" s="57">
        <f t="shared" si="0"/>
        <v>190046</v>
      </c>
      <c r="E38" s="363">
        <f t="shared" si="1"/>
        <v>190046</v>
      </c>
      <c r="G38" s="132" t="s">
        <v>315</v>
      </c>
      <c r="H38" s="359">
        <f t="shared" si="2"/>
        <v>0</v>
      </c>
      <c r="I38" s="359">
        <f t="shared" si="3"/>
        <v>0</v>
      </c>
      <c r="L38" s="132" t="s">
        <v>315</v>
      </c>
      <c r="M38" s="132">
        <v>49</v>
      </c>
      <c r="N38" s="60">
        <v>190046</v>
      </c>
      <c r="O38" s="54">
        <v>49</v>
      </c>
      <c r="P38" s="54" t="s">
        <v>315</v>
      </c>
      <c r="R38" s="791">
        <v>190046</v>
      </c>
      <c r="T38" s="358">
        <v>2015</v>
      </c>
      <c r="U38" s="358">
        <v>210049</v>
      </c>
      <c r="V38" s="359"/>
      <c r="X38" s="358">
        <v>2015</v>
      </c>
      <c r="Y38" s="358">
        <v>210049</v>
      </c>
      <c r="Z38" s="359"/>
    </row>
    <row r="39" spans="1:26">
      <c r="A39" s="67" t="s">
        <v>316</v>
      </c>
      <c r="B39" s="61">
        <v>51</v>
      </c>
      <c r="C39" s="56">
        <f t="shared" si="4"/>
        <v>0</v>
      </c>
      <c r="D39" s="57">
        <f t="shared" si="0"/>
        <v>216854.5</v>
      </c>
      <c r="E39" s="363">
        <f t="shared" si="1"/>
        <v>216854.5</v>
      </c>
      <c r="G39" s="132" t="s">
        <v>316</v>
      </c>
      <c r="H39" s="359">
        <f t="shared" si="2"/>
        <v>0</v>
      </c>
      <c r="I39" s="359">
        <f t="shared" si="3"/>
        <v>0</v>
      </c>
      <c r="L39" s="132" t="s">
        <v>316</v>
      </c>
      <c r="M39" s="132">
        <v>51</v>
      </c>
      <c r="N39" s="60">
        <v>216854.5</v>
      </c>
      <c r="O39" s="54">
        <v>51</v>
      </c>
      <c r="P39" s="54" t="s">
        <v>316</v>
      </c>
      <c r="R39" s="791">
        <v>216854.5</v>
      </c>
      <c r="T39" s="358">
        <v>2015</v>
      </c>
      <c r="U39" s="358">
        <v>210051</v>
      </c>
      <c r="V39" s="359"/>
      <c r="X39" s="358">
        <v>2015</v>
      </c>
      <c r="Y39" s="358">
        <v>210051</v>
      </c>
      <c r="Z39" s="359"/>
    </row>
    <row r="40" spans="1:26">
      <c r="A40" s="54" t="s">
        <v>317</v>
      </c>
      <c r="B40" s="61">
        <v>55</v>
      </c>
      <c r="C40" s="56">
        <f t="shared" si="4"/>
        <v>0</v>
      </c>
      <c r="D40" s="57">
        <f t="shared" si="0"/>
        <v>121542.1</v>
      </c>
      <c r="E40" s="363">
        <f t="shared" si="1"/>
        <v>121542.1</v>
      </c>
      <c r="G40" s="132" t="s">
        <v>317</v>
      </c>
      <c r="H40" s="359">
        <f t="shared" si="2"/>
        <v>0</v>
      </c>
      <c r="I40" s="359">
        <f t="shared" si="3"/>
        <v>0</v>
      </c>
      <c r="L40" s="132" t="s">
        <v>317</v>
      </c>
      <c r="M40" s="132">
        <v>55</v>
      </c>
      <c r="N40" s="60">
        <v>121542.1</v>
      </c>
      <c r="O40" s="54">
        <v>55</v>
      </c>
      <c r="P40" s="54" t="s">
        <v>317</v>
      </c>
      <c r="R40" s="791">
        <v>121542.1</v>
      </c>
      <c r="T40" s="358">
        <v>2015</v>
      </c>
      <c r="U40" s="358">
        <v>210055</v>
      </c>
      <c r="V40" s="359"/>
      <c r="X40" s="358">
        <v>2015</v>
      </c>
      <c r="Y40" s="358">
        <v>210055</v>
      </c>
      <c r="Z40" s="359"/>
    </row>
    <row r="41" spans="1:26">
      <c r="A41" s="54" t="s">
        <v>318</v>
      </c>
      <c r="B41" s="61">
        <v>60</v>
      </c>
      <c r="C41" s="56">
        <f>(H41+I41)*1000</f>
        <v>0</v>
      </c>
      <c r="D41" s="57">
        <f>N41</f>
        <v>46156.625</v>
      </c>
      <c r="E41" s="363">
        <f>C41+D41</f>
        <v>46156.625</v>
      </c>
      <c r="G41" s="132" t="s">
        <v>318</v>
      </c>
      <c r="H41" s="359">
        <f t="shared" si="2"/>
        <v>0</v>
      </c>
      <c r="I41" s="359">
        <f t="shared" si="3"/>
        <v>0</v>
      </c>
      <c r="L41" s="132" t="s">
        <v>318</v>
      </c>
      <c r="M41" s="132">
        <v>60</v>
      </c>
      <c r="N41" s="60">
        <v>46156.625</v>
      </c>
      <c r="O41" s="54">
        <v>60</v>
      </c>
      <c r="P41" s="54" t="s">
        <v>318</v>
      </c>
      <c r="R41" s="791">
        <v>46156.625</v>
      </c>
      <c r="T41" s="358">
        <v>2015</v>
      </c>
      <c r="U41" s="358">
        <v>210060</v>
      </c>
      <c r="V41" s="359"/>
      <c r="X41" s="358">
        <v>2015</v>
      </c>
      <c r="Y41" s="358">
        <v>210060</v>
      </c>
      <c r="Z41" s="359"/>
    </row>
    <row r="42" spans="1:26">
      <c r="A42" s="67" t="s">
        <v>209</v>
      </c>
      <c r="B42" s="61">
        <v>61</v>
      </c>
      <c r="C42" s="56">
        <f>(H42+I42)*1000</f>
        <v>0</v>
      </c>
      <c r="D42" s="57">
        <f>N42</f>
        <v>99487.1</v>
      </c>
      <c r="E42" s="363">
        <f>C42+D42</f>
        <v>99487.1</v>
      </c>
      <c r="G42" s="132" t="s">
        <v>209</v>
      </c>
      <c r="H42" s="359">
        <f t="shared" si="2"/>
        <v>0</v>
      </c>
      <c r="I42" s="359">
        <f t="shared" si="3"/>
        <v>0</v>
      </c>
      <c r="L42" s="132" t="s">
        <v>209</v>
      </c>
      <c r="M42" s="132">
        <v>61</v>
      </c>
      <c r="N42" s="60">
        <v>99487.1</v>
      </c>
      <c r="O42" s="54">
        <v>61</v>
      </c>
      <c r="P42" s="54" t="s">
        <v>209</v>
      </c>
      <c r="R42" s="791">
        <v>99487.1</v>
      </c>
      <c r="T42" s="358">
        <v>2015</v>
      </c>
      <c r="U42" s="358">
        <v>210061</v>
      </c>
      <c r="V42" s="359"/>
      <c r="X42" s="358">
        <v>2015</v>
      </c>
      <c r="Y42" s="358">
        <v>210061</v>
      </c>
      <c r="Z42" s="359"/>
    </row>
    <row r="43" spans="1:26">
      <c r="A43" s="67" t="s">
        <v>319</v>
      </c>
      <c r="B43" s="61">
        <v>62</v>
      </c>
      <c r="C43" s="56">
        <f t="shared" si="4"/>
        <v>0</v>
      </c>
      <c r="D43" s="57">
        <f t="shared" si="0"/>
        <v>289966.60000000009</v>
      </c>
      <c r="E43" s="363">
        <f t="shared" si="1"/>
        <v>289966.60000000009</v>
      </c>
      <c r="G43" s="132" t="s">
        <v>319</v>
      </c>
      <c r="H43" s="359">
        <f t="shared" si="2"/>
        <v>0</v>
      </c>
      <c r="I43" s="359">
        <f t="shared" si="3"/>
        <v>0</v>
      </c>
      <c r="L43" s="132" t="s">
        <v>319</v>
      </c>
      <c r="M43" s="132">
        <v>62</v>
      </c>
      <c r="N43" s="60">
        <v>289966.60000000009</v>
      </c>
      <c r="O43" s="54">
        <v>62</v>
      </c>
      <c r="P43" s="54" t="s">
        <v>319</v>
      </c>
      <c r="R43" s="791">
        <v>289966.60000000009</v>
      </c>
      <c r="T43" s="358">
        <v>2015</v>
      </c>
      <c r="U43" s="358">
        <v>210062</v>
      </c>
      <c r="V43" s="359"/>
      <c r="X43" s="358">
        <v>2015</v>
      </c>
      <c r="Y43" s="358">
        <v>210062</v>
      </c>
      <c r="Z43" s="359"/>
    </row>
    <row r="44" spans="1:26">
      <c r="A44" s="54" t="s">
        <v>320</v>
      </c>
      <c r="B44" s="61">
        <v>63</v>
      </c>
      <c r="C44" s="56">
        <f t="shared" si="4"/>
        <v>0</v>
      </c>
      <c r="D44" s="57">
        <f t="shared" si="0"/>
        <v>337661.5</v>
      </c>
      <c r="E44" s="363">
        <f t="shared" si="1"/>
        <v>337661.5</v>
      </c>
      <c r="G44" s="132" t="s">
        <v>320</v>
      </c>
      <c r="H44" s="359">
        <f t="shared" si="2"/>
        <v>0</v>
      </c>
      <c r="I44" s="359">
        <f t="shared" si="3"/>
        <v>0</v>
      </c>
      <c r="L44" s="132" t="s">
        <v>320</v>
      </c>
      <c r="M44" s="132">
        <v>63</v>
      </c>
      <c r="N44" s="60">
        <v>337661.5</v>
      </c>
      <c r="O44" s="54">
        <v>63</v>
      </c>
      <c r="P44" s="54" t="s">
        <v>320</v>
      </c>
      <c r="R44" s="791">
        <v>337661.5</v>
      </c>
      <c r="T44" s="358">
        <v>2015</v>
      </c>
      <c r="U44" s="358">
        <v>210063</v>
      </c>
      <c r="V44" s="359"/>
      <c r="X44" s="358">
        <v>2015</v>
      </c>
      <c r="Y44" s="358">
        <v>210063</v>
      </c>
      <c r="Z44" s="359"/>
    </row>
    <row r="45" spans="1:26">
      <c r="A45" s="54" t="s">
        <v>322</v>
      </c>
      <c r="B45" s="61">
        <v>2001</v>
      </c>
      <c r="C45" s="56">
        <f t="shared" si="4"/>
        <v>4287880</v>
      </c>
      <c r="D45" s="57">
        <f t="shared" si="0"/>
        <v>83135</v>
      </c>
      <c r="E45" s="363">
        <f t="shared" si="1"/>
        <v>4371015</v>
      </c>
      <c r="G45" s="132" t="s">
        <v>322</v>
      </c>
      <c r="H45" s="359">
        <f t="shared" si="2"/>
        <v>4287.88</v>
      </c>
      <c r="I45" s="359">
        <f t="shared" si="3"/>
        <v>0</v>
      </c>
      <c r="L45" s="132" t="s">
        <v>322</v>
      </c>
      <c r="M45" s="132">
        <v>2001</v>
      </c>
      <c r="N45" s="60">
        <v>83135</v>
      </c>
      <c r="O45" s="54">
        <v>2001</v>
      </c>
      <c r="P45" s="54" t="s">
        <v>322</v>
      </c>
      <c r="R45" s="791">
        <v>83135</v>
      </c>
      <c r="T45" s="358">
        <v>2015</v>
      </c>
      <c r="U45" s="358">
        <v>2001</v>
      </c>
      <c r="V45" s="785">
        <v>4287.88</v>
      </c>
      <c r="X45" s="358">
        <v>2015</v>
      </c>
      <c r="Y45" s="358">
        <v>2001</v>
      </c>
      <c r="Z45" s="359"/>
    </row>
    <row r="46" spans="1:26">
      <c r="A46" s="67" t="s">
        <v>323</v>
      </c>
      <c r="B46" s="61">
        <v>2004</v>
      </c>
      <c r="C46" s="56">
        <f t="shared" si="4"/>
        <v>3914080</v>
      </c>
      <c r="D46" s="57">
        <f t="shared" si="0"/>
        <v>295736.8</v>
      </c>
      <c r="E46" s="363">
        <f t="shared" si="1"/>
        <v>4209816.8</v>
      </c>
      <c r="G46" s="132" t="s">
        <v>323</v>
      </c>
      <c r="H46" s="359">
        <f t="shared" si="2"/>
        <v>3914.08</v>
      </c>
      <c r="I46" s="359">
        <f t="shared" si="3"/>
        <v>0</v>
      </c>
      <c r="L46" s="132" t="s">
        <v>323</v>
      </c>
      <c r="M46" s="132">
        <v>2004</v>
      </c>
      <c r="N46" s="60">
        <v>295736.8</v>
      </c>
      <c r="O46" s="54">
        <v>2004</v>
      </c>
      <c r="P46" s="54" t="s">
        <v>323</v>
      </c>
      <c r="R46" s="791">
        <v>295736.8</v>
      </c>
      <c r="T46" s="358">
        <v>2015</v>
      </c>
      <c r="U46" s="358">
        <v>2004</v>
      </c>
      <c r="V46" s="785">
        <v>3914.08</v>
      </c>
      <c r="X46" s="358">
        <v>2015</v>
      </c>
      <c r="Y46" s="358">
        <v>2004</v>
      </c>
      <c r="Z46" s="359"/>
    </row>
    <row r="47" spans="1:26">
      <c r="A47" s="54" t="s">
        <v>327</v>
      </c>
      <c r="B47" s="54">
        <v>5050</v>
      </c>
      <c r="C47" s="56">
        <f t="shared" si="4"/>
        <v>0</v>
      </c>
      <c r="D47" s="57">
        <f t="shared" si="0"/>
        <v>375189.8</v>
      </c>
      <c r="E47" s="363">
        <f t="shared" si="1"/>
        <v>375189.8</v>
      </c>
      <c r="G47" s="132" t="s">
        <v>327</v>
      </c>
      <c r="H47" s="359">
        <f t="shared" si="2"/>
        <v>0</v>
      </c>
      <c r="I47" s="359">
        <f t="shared" si="3"/>
        <v>0</v>
      </c>
      <c r="L47" s="132" t="s">
        <v>327</v>
      </c>
      <c r="M47" s="132">
        <v>5050</v>
      </c>
      <c r="N47" s="60">
        <v>375189.8</v>
      </c>
      <c r="O47" s="54">
        <v>5050</v>
      </c>
      <c r="P47" s="54" t="s">
        <v>327</v>
      </c>
      <c r="R47" s="791">
        <v>375189.8</v>
      </c>
      <c r="T47" s="358">
        <v>2015</v>
      </c>
      <c r="U47" s="358">
        <v>5050</v>
      </c>
      <c r="V47" s="359"/>
      <c r="X47" s="358">
        <v>2015</v>
      </c>
      <c r="Y47" s="358">
        <v>5050</v>
      </c>
      <c r="Z47" s="359"/>
    </row>
    <row r="48" spans="1:26">
      <c r="A48" s="54" t="s">
        <v>321</v>
      </c>
      <c r="B48" s="61">
        <v>64</v>
      </c>
      <c r="C48" s="56">
        <f t="shared" si="4"/>
        <v>0</v>
      </c>
      <c r="D48" s="57">
        <f t="shared" si="0"/>
        <v>53610.200000000012</v>
      </c>
      <c r="E48" s="363">
        <f t="shared" si="1"/>
        <v>53610.200000000012</v>
      </c>
      <c r="G48" s="132" t="s">
        <v>321</v>
      </c>
      <c r="H48" s="359">
        <f t="shared" si="2"/>
        <v>0</v>
      </c>
      <c r="I48" s="359">
        <f t="shared" si="3"/>
        <v>0</v>
      </c>
      <c r="L48" s="132" t="s">
        <v>321</v>
      </c>
      <c r="M48" s="132">
        <v>64</v>
      </c>
      <c r="N48" s="60">
        <v>53610.200000000012</v>
      </c>
      <c r="O48" s="54">
        <v>64</v>
      </c>
      <c r="P48" s="54" t="s">
        <v>321</v>
      </c>
      <c r="R48" s="791">
        <v>53610.200000000012</v>
      </c>
      <c r="T48" s="358">
        <v>2015</v>
      </c>
      <c r="U48" s="358">
        <v>64</v>
      </c>
      <c r="V48" s="359"/>
      <c r="X48" s="358">
        <v>2015</v>
      </c>
      <c r="Y48" s="358">
        <v>64</v>
      </c>
      <c r="Z48" s="359"/>
    </row>
    <row r="49" spans="1:28">
      <c r="A49" s="783" t="s">
        <v>868</v>
      </c>
      <c r="B49" s="61">
        <v>65</v>
      </c>
      <c r="C49" s="56">
        <f t="shared" si="4"/>
        <v>0</v>
      </c>
      <c r="D49" s="57">
        <f t="shared" si="0"/>
        <v>0</v>
      </c>
      <c r="E49" s="363">
        <f t="shared" si="1"/>
        <v>0</v>
      </c>
      <c r="G49" s="783" t="s">
        <v>868</v>
      </c>
      <c r="H49" s="359">
        <f t="shared" si="2"/>
        <v>0</v>
      </c>
      <c r="I49" s="359">
        <f t="shared" si="3"/>
        <v>0</v>
      </c>
      <c r="L49" s="783" t="s">
        <v>868</v>
      </c>
      <c r="M49" s="132">
        <v>65</v>
      </c>
      <c r="N49" s="60"/>
      <c r="O49" s="54">
        <v>65</v>
      </c>
      <c r="P49" s="783" t="s">
        <v>908</v>
      </c>
      <c r="T49" s="358"/>
      <c r="U49" s="358"/>
      <c r="V49" s="359"/>
      <c r="X49" s="358"/>
      <c r="Y49" s="358"/>
      <c r="Z49" s="359"/>
    </row>
    <row r="50" spans="1:28">
      <c r="A50" s="67" t="s">
        <v>324</v>
      </c>
      <c r="B50" s="61">
        <v>3029</v>
      </c>
      <c r="C50" s="56">
        <f t="shared" si="4"/>
        <v>0</v>
      </c>
      <c r="D50" s="57">
        <f t="shared" si="0"/>
        <v>50000</v>
      </c>
      <c r="E50" s="363">
        <f t="shared" si="1"/>
        <v>50000</v>
      </c>
      <c r="G50" s="132" t="s">
        <v>324</v>
      </c>
      <c r="H50" s="359">
        <f t="shared" si="2"/>
        <v>0</v>
      </c>
      <c r="I50" s="359">
        <f t="shared" si="3"/>
        <v>0</v>
      </c>
      <c r="L50" s="132" t="s">
        <v>324</v>
      </c>
      <c r="M50" s="132">
        <v>3029</v>
      </c>
      <c r="N50" s="60">
        <v>50000</v>
      </c>
      <c r="O50" s="54">
        <v>3029</v>
      </c>
      <c r="P50" s="54" t="s">
        <v>324</v>
      </c>
      <c r="R50" s="791">
        <v>50000</v>
      </c>
      <c r="T50" s="358">
        <v>2015</v>
      </c>
      <c r="U50" s="358">
        <v>3029</v>
      </c>
      <c r="V50" s="359"/>
      <c r="X50" s="358">
        <v>2015</v>
      </c>
      <c r="Y50" s="358">
        <v>3029</v>
      </c>
      <c r="Z50" s="359"/>
    </row>
    <row r="51" spans="1:28">
      <c r="A51" s="67" t="s">
        <v>325</v>
      </c>
      <c r="B51" s="61">
        <v>3478</v>
      </c>
      <c r="C51" s="56">
        <f t="shared" si="4"/>
        <v>0</v>
      </c>
      <c r="D51" s="57">
        <f t="shared" si="0"/>
        <v>0</v>
      </c>
      <c r="E51" s="363">
        <f t="shared" si="1"/>
        <v>0</v>
      </c>
      <c r="G51" s="133" t="s">
        <v>325</v>
      </c>
      <c r="H51" s="359">
        <f t="shared" si="2"/>
        <v>0</v>
      </c>
      <c r="I51" s="359">
        <f t="shared" si="3"/>
        <v>0</v>
      </c>
      <c r="L51" s="133" t="s">
        <v>325</v>
      </c>
      <c r="M51" s="132">
        <v>3478</v>
      </c>
      <c r="N51" s="60">
        <f t="shared" ref="N51:N53" si="5">R51</f>
        <v>0</v>
      </c>
      <c r="O51" s="54">
        <v>3478</v>
      </c>
      <c r="R51" s="791">
        <v>0</v>
      </c>
      <c r="T51" s="358">
        <v>2015</v>
      </c>
      <c r="U51" s="358">
        <v>3478</v>
      </c>
      <c r="V51" s="359"/>
      <c r="X51" s="358">
        <v>2015</v>
      </c>
      <c r="Y51" s="358">
        <v>3478</v>
      </c>
      <c r="Z51" s="359"/>
    </row>
    <row r="52" spans="1:28">
      <c r="A52" s="54" t="s">
        <v>250</v>
      </c>
      <c r="B52" s="61">
        <v>4000</v>
      </c>
      <c r="C52" s="56">
        <f t="shared" si="4"/>
        <v>2359270</v>
      </c>
      <c r="D52" s="57">
        <f t="shared" si="0"/>
        <v>137929.4</v>
      </c>
      <c r="E52" s="363">
        <f t="shared" si="1"/>
        <v>2497199.4</v>
      </c>
      <c r="G52" s="132" t="s">
        <v>250</v>
      </c>
      <c r="H52" s="359">
        <f t="shared" si="2"/>
        <v>2035.78</v>
      </c>
      <c r="I52" s="359">
        <f t="shared" si="3"/>
        <v>323.49</v>
      </c>
      <c r="L52" s="132" t="s">
        <v>250</v>
      </c>
      <c r="M52" s="132">
        <v>4000</v>
      </c>
      <c r="N52" s="60">
        <v>137929.4</v>
      </c>
      <c r="O52" s="54">
        <v>4000</v>
      </c>
      <c r="P52" s="54" t="s">
        <v>250</v>
      </c>
      <c r="R52" s="791">
        <v>137929.4</v>
      </c>
      <c r="T52" s="358">
        <v>2015</v>
      </c>
      <c r="U52" s="358">
        <v>4000</v>
      </c>
      <c r="V52" s="359">
        <v>2035.78</v>
      </c>
      <c r="X52" s="358">
        <v>2015</v>
      </c>
      <c r="Y52" s="358">
        <v>4000</v>
      </c>
      <c r="Z52" s="359">
        <v>323.49</v>
      </c>
    </row>
    <row r="53" spans="1:28">
      <c r="A53" s="54" t="s">
        <v>284</v>
      </c>
      <c r="B53" s="61">
        <v>4013</v>
      </c>
      <c r="C53" s="56">
        <f t="shared" si="4"/>
        <v>199999</v>
      </c>
      <c r="D53" s="57">
        <f t="shared" si="0"/>
        <v>0</v>
      </c>
      <c r="E53" s="363">
        <f t="shared" si="1"/>
        <v>199999</v>
      </c>
      <c r="G53" s="132" t="s">
        <v>284</v>
      </c>
      <c r="H53" s="359">
        <f t="shared" si="2"/>
        <v>199.999</v>
      </c>
      <c r="I53" s="359">
        <f t="shared" si="3"/>
        <v>0</v>
      </c>
      <c r="L53" s="132" t="s">
        <v>284</v>
      </c>
      <c r="M53" s="132">
        <v>4013</v>
      </c>
      <c r="N53" s="60">
        <f t="shared" si="5"/>
        <v>0</v>
      </c>
      <c r="O53" s="54">
        <v>4013</v>
      </c>
      <c r="R53" s="791">
        <v>0</v>
      </c>
      <c r="T53" s="358">
        <v>2015</v>
      </c>
      <c r="U53" s="358">
        <v>4013</v>
      </c>
      <c r="V53" s="359">
        <v>199.999</v>
      </c>
      <c r="X53" s="358">
        <v>2015</v>
      </c>
      <c r="Y53" s="358">
        <v>4013</v>
      </c>
      <c r="Z53" s="359"/>
    </row>
    <row r="54" spans="1:28">
      <c r="A54" s="54" t="s">
        <v>326</v>
      </c>
      <c r="B54" s="54">
        <v>5034</v>
      </c>
      <c r="C54" s="56">
        <f t="shared" si="4"/>
        <v>0</v>
      </c>
      <c r="D54" s="57">
        <f t="shared" si="0"/>
        <v>53308.449000000001</v>
      </c>
      <c r="E54" s="363">
        <f t="shared" si="1"/>
        <v>53308.449000000001</v>
      </c>
      <c r="G54" s="132" t="s">
        <v>326</v>
      </c>
      <c r="H54" s="359">
        <f t="shared" si="2"/>
        <v>0</v>
      </c>
      <c r="I54" s="359">
        <f t="shared" si="3"/>
        <v>0</v>
      </c>
      <c r="L54" s="132" t="s">
        <v>326</v>
      </c>
      <c r="M54" s="132">
        <v>5034</v>
      </c>
      <c r="N54" s="60">
        <v>53308.449000000001</v>
      </c>
      <c r="O54" s="54">
        <v>5034</v>
      </c>
      <c r="P54" s="54" t="s">
        <v>326</v>
      </c>
      <c r="R54" s="791">
        <v>53308.449000000001</v>
      </c>
      <c r="T54" s="358">
        <v>2015</v>
      </c>
      <c r="U54" s="358">
        <v>5034</v>
      </c>
      <c r="V54" s="359"/>
      <c r="X54" s="358">
        <v>2015</v>
      </c>
      <c r="Y54" s="358">
        <v>5034</v>
      </c>
      <c r="Z54" s="360"/>
    </row>
    <row r="55" spans="1:28">
      <c r="C55" s="62">
        <f>SUM(C3:C54)</f>
        <v>302622167</v>
      </c>
      <c r="D55" s="62">
        <f>SUM(D2:D54)</f>
        <v>15335908.928590002</v>
      </c>
      <c r="E55" s="364">
        <f>SUM(E2:E54)</f>
        <v>317958075.92859006</v>
      </c>
      <c r="H55" s="62">
        <f>SUM(H2:H54)</f>
        <v>257155.02899999995</v>
      </c>
      <c r="I55" s="62">
        <f>SUM(I2:I54)</f>
        <v>45467.137999999999</v>
      </c>
      <c r="L55" s="58" t="s">
        <v>210</v>
      </c>
      <c r="M55" s="59"/>
      <c r="N55" s="60">
        <f>SUM(N2:N54)</f>
        <v>15335908.928590002</v>
      </c>
      <c r="P55" s="357" t="s">
        <v>210</v>
      </c>
      <c r="R55" s="791">
        <f>SUM(R2:R54)</f>
        <v>15335908.928590002</v>
      </c>
      <c r="V55" s="361">
        <f>SUM(V2:V54)</f>
        <v>257155.02899999995</v>
      </c>
      <c r="Z55" s="361">
        <f>SUM(Z2:Z54)</f>
        <v>45467.137999999999</v>
      </c>
      <c r="AA55" s="361">
        <f>V55+Z55</f>
        <v>302622.16699999996</v>
      </c>
      <c r="AB55" s="362">
        <f>AA55*1000</f>
        <v>302622166.99999994</v>
      </c>
    </row>
    <row r="58" spans="1:28">
      <c r="N58" s="69"/>
    </row>
  </sheetData>
  <sortState ref="A41:AB42">
    <sortCondition ref="B41:B42"/>
  </sortState>
  <pageMargins left="0.7" right="0.7" top="0.75" bottom="0.75" header="0.3" footer="0.3"/>
  <pageSetup scale="8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K156"/>
  <sheetViews>
    <sheetView showGridLines="0" zoomScaleNormal="100" zoomScaleSheetLayoutView="80" workbookViewId="0">
      <selection activeCell="J18" sqref="J18"/>
    </sheetView>
  </sheetViews>
  <sheetFormatPr defaultRowHeight="18" customHeight="1"/>
  <cols>
    <col min="1" max="1" width="8.28515625" style="146" customWidth="1"/>
    <col min="2" max="2" width="55.42578125" style="147" bestFit="1" customWidth="1"/>
    <col min="3" max="3" width="9.5703125" style="147" customWidth="1"/>
    <col min="4" max="4" width="9.140625" style="147"/>
    <col min="5" max="5" width="12.42578125" style="147" customWidth="1"/>
    <col min="6" max="6" width="18.5703125" style="147" customWidth="1"/>
    <col min="7" max="7" width="23.5703125" style="147" customWidth="1"/>
    <col min="8" max="8" width="17.140625" style="147" customWidth="1"/>
    <col min="9" max="9" width="21.140625" style="147" customWidth="1"/>
    <col min="10" max="10" width="19.85546875" style="147" customWidth="1"/>
    <col min="11" max="11" width="17.5703125" style="147" customWidth="1"/>
    <col min="12" max="16384" width="9.140625" style="147"/>
  </cols>
  <sheetData>
    <row r="1" spans="1:11" ht="18" customHeight="1">
      <c r="C1" s="148"/>
      <c r="D1" s="149"/>
      <c r="E1" s="148"/>
      <c r="F1" s="148"/>
      <c r="G1" s="148"/>
      <c r="H1" s="148"/>
      <c r="I1" s="148"/>
      <c r="J1" s="148"/>
      <c r="K1" s="148"/>
    </row>
    <row r="2" spans="1:11" ht="18" customHeight="1">
      <c r="D2" s="910" t="s">
        <v>713</v>
      </c>
      <c r="E2" s="911"/>
      <c r="F2" s="911"/>
      <c r="G2" s="911"/>
      <c r="H2" s="911"/>
    </row>
    <row r="3" spans="1:11" ht="18" customHeight="1">
      <c r="B3" s="150" t="s">
        <v>0</v>
      </c>
    </row>
    <row r="5" spans="1:11" ht="18" customHeight="1">
      <c r="B5" s="151" t="s">
        <v>40</v>
      </c>
      <c r="C5" s="917" t="s">
        <v>200</v>
      </c>
      <c r="D5" s="918"/>
      <c r="E5" s="918"/>
      <c r="F5" s="918"/>
      <c r="G5" s="919"/>
    </row>
    <row r="6" spans="1:11" ht="18" customHeight="1">
      <c r="B6" s="151" t="s">
        <v>3</v>
      </c>
      <c r="C6" s="920" t="s">
        <v>712</v>
      </c>
      <c r="D6" s="921"/>
      <c r="E6" s="921"/>
      <c r="F6" s="921"/>
      <c r="G6" s="922"/>
    </row>
    <row r="7" spans="1:11" ht="18" customHeight="1">
      <c r="B7" s="151" t="s">
        <v>4</v>
      </c>
      <c r="C7" s="923" t="s">
        <v>711</v>
      </c>
      <c r="D7" s="924"/>
      <c r="E7" s="924"/>
      <c r="F7" s="924"/>
      <c r="G7" s="925"/>
    </row>
    <row r="9" spans="1:11" ht="18" customHeight="1">
      <c r="B9" s="151" t="s">
        <v>1</v>
      </c>
      <c r="C9" s="912" t="s">
        <v>710</v>
      </c>
      <c r="D9" s="918"/>
      <c r="E9" s="918"/>
      <c r="F9" s="918"/>
      <c r="G9" s="919"/>
    </row>
    <row r="10" spans="1:11" ht="18" customHeight="1">
      <c r="B10" s="151" t="s">
        <v>2</v>
      </c>
      <c r="C10" s="926" t="s">
        <v>709</v>
      </c>
      <c r="D10" s="927"/>
      <c r="E10" s="927"/>
      <c r="F10" s="927"/>
      <c r="G10" s="928"/>
    </row>
    <row r="11" spans="1:11" ht="18" customHeight="1">
      <c r="B11" s="151" t="s">
        <v>32</v>
      </c>
      <c r="C11" s="912" t="s">
        <v>708</v>
      </c>
      <c r="D11" s="913"/>
      <c r="E11" s="913"/>
      <c r="F11" s="913"/>
      <c r="G11" s="913"/>
    </row>
    <row r="12" spans="1:11" ht="18" customHeight="1">
      <c r="B12" s="151"/>
      <c r="C12" s="151"/>
      <c r="D12" s="151"/>
      <c r="E12" s="151"/>
      <c r="F12" s="151"/>
      <c r="G12" s="151"/>
    </row>
    <row r="13" spans="1:11" ht="24.6" customHeight="1">
      <c r="B13" s="914"/>
      <c r="C13" s="915"/>
      <c r="D13" s="915"/>
      <c r="E13" s="915"/>
      <c r="F13" s="915"/>
      <c r="G13" s="915"/>
      <c r="H13" s="916"/>
      <c r="I13" s="148"/>
    </row>
    <row r="14" spans="1:11" ht="18" customHeight="1">
      <c r="B14" s="152"/>
    </row>
    <row r="15" spans="1:11" ht="18" customHeight="1">
      <c r="B15" s="152"/>
    </row>
    <row r="16" spans="1:11" ht="45" customHeight="1">
      <c r="A16" s="149" t="s">
        <v>181</v>
      </c>
      <c r="B16" s="148"/>
      <c r="C16" s="148"/>
      <c r="D16" s="148"/>
      <c r="E16" s="148"/>
      <c r="F16" s="153" t="s">
        <v>9</v>
      </c>
      <c r="G16" s="153" t="s">
        <v>37</v>
      </c>
      <c r="H16" s="153" t="s">
        <v>29</v>
      </c>
      <c r="I16" s="153" t="s">
        <v>30</v>
      </c>
      <c r="J16" s="153" t="s">
        <v>33</v>
      </c>
      <c r="K16" s="153" t="s">
        <v>34</v>
      </c>
    </row>
    <row r="17" spans="1:11" ht="18" customHeight="1">
      <c r="A17" s="154" t="s">
        <v>184</v>
      </c>
      <c r="B17" s="150" t="s">
        <v>182</v>
      </c>
    </row>
    <row r="18" spans="1:11" ht="18" customHeight="1">
      <c r="A18" s="151" t="s">
        <v>185</v>
      </c>
      <c r="B18" s="155" t="s">
        <v>183</v>
      </c>
      <c r="F18" s="156" t="s">
        <v>73</v>
      </c>
      <c r="G18" s="156" t="s">
        <v>73</v>
      </c>
      <c r="H18" s="157">
        <v>7626995</v>
      </c>
      <c r="I18" s="158">
        <v>0</v>
      </c>
      <c r="J18" s="157">
        <v>6522034</v>
      </c>
      <c r="K18" s="159">
        <f>(H18+I18)-J18</f>
        <v>1104961</v>
      </c>
    </row>
    <row r="19" spans="1:11" ht="45" customHeight="1">
      <c r="A19" s="149" t="s">
        <v>8</v>
      </c>
      <c r="B19" s="148"/>
      <c r="C19" s="148"/>
      <c r="D19" s="148"/>
      <c r="E19" s="148"/>
      <c r="F19" s="153" t="s">
        <v>9</v>
      </c>
      <c r="G19" s="153" t="s">
        <v>37</v>
      </c>
      <c r="H19" s="153" t="s">
        <v>29</v>
      </c>
      <c r="I19" s="153" t="s">
        <v>30</v>
      </c>
      <c r="J19" s="153" t="s">
        <v>33</v>
      </c>
      <c r="K19" s="153" t="s">
        <v>34</v>
      </c>
    </row>
    <row r="20" spans="1:11" ht="18" customHeight="1">
      <c r="A20" s="154" t="s">
        <v>74</v>
      </c>
      <c r="B20" s="150" t="s">
        <v>41</v>
      </c>
    </row>
    <row r="21" spans="1:11" ht="18" customHeight="1">
      <c r="A21" s="151" t="s">
        <v>75</v>
      </c>
      <c r="B21" s="155" t="s">
        <v>42</v>
      </c>
      <c r="F21" s="156">
        <v>13491.9</v>
      </c>
      <c r="G21" s="156">
        <v>22746</v>
      </c>
      <c r="H21" s="157">
        <f>4625569-4027266</f>
        <v>598303</v>
      </c>
      <c r="I21" s="158">
        <f t="shared" ref="I21:I34" si="0">H21*F$114</f>
        <v>490428.96909999999</v>
      </c>
      <c r="J21" s="157">
        <v>44180</v>
      </c>
      <c r="K21" s="159">
        <f t="shared" ref="K21:K34" si="1">(H21+I21)-J21</f>
        <v>1044551.9690999999</v>
      </c>
    </row>
    <row r="22" spans="1:11" ht="18" customHeight="1">
      <c r="A22" s="151" t="s">
        <v>76</v>
      </c>
      <c r="B22" s="147" t="s">
        <v>6</v>
      </c>
      <c r="F22" s="156"/>
      <c r="G22" s="156"/>
      <c r="H22" s="157"/>
      <c r="I22" s="158">
        <f t="shared" si="0"/>
        <v>0</v>
      </c>
      <c r="J22" s="157"/>
      <c r="K22" s="159">
        <f t="shared" si="1"/>
        <v>0</v>
      </c>
    </row>
    <row r="23" spans="1:11" ht="18" customHeight="1">
      <c r="A23" s="151" t="s">
        <v>77</v>
      </c>
      <c r="B23" s="147" t="s">
        <v>43</v>
      </c>
      <c r="F23" s="156"/>
      <c r="G23" s="156"/>
      <c r="H23" s="157"/>
      <c r="I23" s="158">
        <f t="shared" si="0"/>
        <v>0</v>
      </c>
      <c r="J23" s="157"/>
      <c r="K23" s="159">
        <f t="shared" si="1"/>
        <v>0</v>
      </c>
    </row>
    <row r="24" spans="1:11" ht="18" customHeight="1">
      <c r="A24" s="151" t="s">
        <v>78</v>
      </c>
      <c r="B24" s="147" t="s">
        <v>44</v>
      </c>
      <c r="F24" s="156">
        <f>35864.1-33052.8</f>
        <v>2811.2999999999956</v>
      </c>
      <c r="G24" s="156">
        <f>27827-20671</f>
        <v>7156</v>
      </c>
      <c r="H24" s="157">
        <f>17467457-17327299</f>
        <v>140158</v>
      </c>
      <c r="I24" s="158">
        <f t="shared" si="0"/>
        <v>114887.5126</v>
      </c>
      <c r="J24" s="157"/>
      <c r="K24" s="159">
        <f t="shared" si="1"/>
        <v>255045.51260000002</v>
      </c>
    </row>
    <row r="25" spans="1:11" ht="18" customHeight="1">
      <c r="A25" s="151" t="s">
        <v>79</v>
      </c>
      <c r="B25" s="147" t="s">
        <v>5</v>
      </c>
      <c r="F25" s="156"/>
      <c r="G25" s="156"/>
      <c r="H25" s="157"/>
      <c r="I25" s="158">
        <f t="shared" si="0"/>
        <v>0</v>
      </c>
      <c r="J25" s="157"/>
      <c r="K25" s="159">
        <f t="shared" si="1"/>
        <v>0</v>
      </c>
    </row>
    <row r="26" spans="1:11" ht="18" customHeight="1">
      <c r="A26" s="151" t="s">
        <v>80</v>
      </c>
      <c r="B26" s="147" t="s">
        <v>45</v>
      </c>
      <c r="F26" s="156"/>
      <c r="G26" s="156"/>
      <c r="H26" s="157"/>
      <c r="I26" s="158">
        <f t="shared" si="0"/>
        <v>0</v>
      </c>
      <c r="J26" s="157"/>
      <c r="K26" s="159">
        <f t="shared" si="1"/>
        <v>0</v>
      </c>
    </row>
    <row r="27" spans="1:11" ht="18" customHeight="1">
      <c r="A27" s="151" t="s">
        <v>81</v>
      </c>
      <c r="B27" s="147" t="s">
        <v>46</v>
      </c>
      <c r="F27" s="156"/>
      <c r="G27" s="156"/>
      <c r="H27" s="157"/>
      <c r="I27" s="158">
        <f t="shared" si="0"/>
        <v>0</v>
      </c>
      <c r="J27" s="157"/>
      <c r="K27" s="159">
        <f t="shared" si="1"/>
        <v>0</v>
      </c>
    </row>
    <row r="28" spans="1:11" ht="18" customHeight="1">
      <c r="A28" s="151" t="s">
        <v>82</v>
      </c>
      <c r="B28" s="147" t="s">
        <v>47</v>
      </c>
      <c r="F28" s="156"/>
      <c r="G28" s="156"/>
      <c r="H28" s="157"/>
      <c r="I28" s="158">
        <f t="shared" si="0"/>
        <v>0</v>
      </c>
      <c r="J28" s="157"/>
      <c r="K28" s="159">
        <f t="shared" si="1"/>
        <v>0</v>
      </c>
    </row>
    <row r="29" spans="1:11" ht="18" customHeight="1">
      <c r="A29" s="151" t="s">
        <v>83</v>
      </c>
      <c r="B29" s="147" t="s">
        <v>48</v>
      </c>
      <c r="F29" s="156">
        <v>159</v>
      </c>
      <c r="G29" s="156">
        <v>59</v>
      </c>
      <c r="H29" s="157">
        <v>6726</v>
      </c>
      <c r="I29" s="158">
        <f t="shared" si="0"/>
        <v>5513.3022000000001</v>
      </c>
      <c r="J29" s="157"/>
      <c r="K29" s="159">
        <f t="shared" si="1"/>
        <v>12239.3022</v>
      </c>
    </row>
    <row r="30" spans="1:11" ht="18" customHeight="1">
      <c r="A30" s="151" t="s">
        <v>84</v>
      </c>
      <c r="B30" s="898"/>
      <c r="C30" s="899"/>
      <c r="D30" s="900"/>
      <c r="F30" s="156"/>
      <c r="G30" s="156"/>
      <c r="H30" s="157"/>
      <c r="I30" s="158">
        <f t="shared" si="0"/>
        <v>0</v>
      </c>
      <c r="J30" s="157"/>
      <c r="K30" s="159">
        <f t="shared" si="1"/>
        <v>0</v>
      </c>
    </row>
    <row r="31" spans="1:11" ht="18" customHeight="1">
      <c r="A31" s="151" t="s">
        <v>133</v>
      </c>
      <c r="B31" s="898"/>
      <c r="C31" s="899"/>
      <c r="D31" s="900"/>
      <c r="F31" s="156"/>
      <c r="G31" s="156"/>
      <c r="H31" s="157"/>
      <c r="I31" s="158">
        <f t="shared" si="0"/>
        <v>0</v>
      </c>
      <c r="J31" s="157"/>
      <c r="K31" s="159">
        <f t="shared" si="1"/>
        <v>0</v>
      </c>
    </row>
    <row r="32" spans="1:11" ht="18" customHeight="1">
      <c r="A32" s="151" t="s">
        <v>134</v>
      </c>
      <c r="B32" s="393"/>
      <c r="C32" s="394"/>
      <c r="D32" s="395"/>
      <c r="F32" s="156"/>
      <c r="G32" s="160" t="s">
        <v>85</v>
      </c>
      <c r="H32" s="157"/>
      <c r="I32" s="158">
        <f t="shared" si="0"/>
        <v>0</v>
      </c>
      <c r="J32" s="157"/>
      <c r="K32" s="159">
        <f t="shared" si="1"/>
        <v>0</v>
      </c>
    </row>
    <row r="33" spans="1:11" ht="18" customHeight="1">
      <c r="A33" s="151" t="s">
        <v>135</v>
      </c>
      <c r="B33" s="393"/>
      <c r="C33" s="394"/>
      <c r="D33" s="395"/>
      <c r="F33" s="156"/>
      <c r="G33" s="160" t="s">
        <v>85</v>
      </c>
      <c r="H33" s="157"/>
      <c r="I33" s="158">
        <f t="shared" si="0"/>
        <v>0</v>
      </c>
      <c r="J33" s="157"/>
      <c r="K33" s="159">
        <f t="shared" si="1"/>
        <v>0</v>
      </c>
    </row>
    <row r="34" spans="1:11" ht="18" customHeight="1">
      <c r="A34" s="151" t="s">
        <v>136</v>
      </c>
      <c r="B34" s="898"/>
      <c r="C34" s="899"/>
      <c r="D34" s="900"/>
      <c r="F34" s="156"/>
      <c r="G34" s="160" t="s">
        <v>85</v>
      </c>
      <c r="H34" s="157"/>
      <c r="I34" s="158">
        <f t="shared" si="0"/>
        <v>0</v>
      </c>
      <c r="J34" s="157"/>
      <c r="K34" s="159">
        <f t="shared" si="1"/>
        <v>0</v>
      </c>
    </row>
    <row r="35" spans="1:11" ht="18" customHeight="1">
      <c r="K35" s="161"/>
    </row>
    <row r="36" spans="1:11" ht="18" customHeight="1">
      <c r="A36" s="154" t="s">
        <v>137</v>
      </c>
      <c r="B36" s="150" t="s">
        <v>138</v>
      </c>
      <c r="E36" s="150" t="s">
        <v>7</v>
      </c>
      <c r="F36" s="162">
        <f t="shared" ref="F36:K36" si="2">SUM(F21:F34)</f>
        <v>16462.199999999997</v>
      </c>
      <c r="G36" s="162">
        <f t="shared" si="2"/>
        <v>29961</v>
      </c>
      <c r="H36" s="162">
        <f t="shared" si="2"/>
        <v>745187</v>
      </c>
      <c r="I36" s="159">
        <f t="shared" si="2"/>
        <v>610829.78390000004</v>
      </c>
      <c r="J36" s="159">
        <f t="shared" si="2"/>
        <v>44180</v>
      </c>
      <c r="K36" s="159">
        <f t="shared" si="2"/>
        <v>1311836.7838999999</v>
      </c>
    </row>
    <row r="37" spans="1:11" ht="18" customHeight="1" thickBot="1">
      <c r="B37" s="150"/>
      <c r="F37" s="163"/>
      <c r="G37" s="163"/>
      <c r="H37" s="164"/>
      <c r="I37" s="164"/>
      <c r="J37" s="164"/>
      <c r="K37" s="165"/>
    </row>
    <row r="38" spans="1:11" ht="42.75" customHeight="1">
      <c r="F38" s="153" t="s">
        <v>9</v>
      </c>
      <c r="G38" s="153" t="s">
        <v>37</v>
      </c>
      <c r="H38" s="153" t="s">
        <v>29</v>
      </c>
      <c r="I38" s="153" t="s">
        <v>30</v>
      </c>
      <c r="J38" s="153" t="s">
        <v>33</v>
      </c>
      <c r="K38" s="153" t="s">
        <v>34</v>
      </c>
    </row>
    <row r="39" spans="1:11" ht="18.75" customHeight="1">
      <c r="A39" s="154" t="s">
        <v>86</v>
      </c>
      <c r="B39" s="150" t="s">
        <v>49</v>
      </c>
    </row>
    <row r="40" spans="1:11" ht="18" customHeight="1">
      <c r="A40" s="151" t="s">
        <v>87</v>
      </c>
      <c r="B40" s="147" t="s">
        <v>31</v>
      </c>
      <c r="F40" s="156"/>
      <c r="G40" s="156"/>
      <c r="H40" s="157"/>
      <c r="I40" s="158">
        <f>H40*F$114</f>
        <v>0</v>
      </c>
      <c r="J40" s="157"/>
      <c r="K40" s="159">
        <f t="shared" ref="K40:K47" si="3">(H40+I40)-J40</f>
        <v>0</v>
      </c>
    </row>
    <row r="41" spans="1:11" ht="18" customHeight="1">
      <c r="A41" s="151" t="s">
        <v>88</v>
      </c>
      <c r="B41" s="904" t="s">
        <v>50</v>
      </c>
      <c r="C41" s="907"/>
      <c r="F41" s="156"/>
      <c r="G41" s="156"/>
      <c r="H41" s="157"/>
      <c r="I41" s="158">
        <f>H41*F$114</f>
        <v>0</v>
      </c>
      <c r="J41" s="157"/>
      <c r="K41" s="159">
        <f t="shared" si="3"/>
        <v>0</v>
      </c>
    </row>
    <row r="42" spans="1:11" ht="18" customHeight="1">
      <c r="A42" s="151" t="s">
        <v>89</v>
      </c>
      <c r="B42" s="155" t="s">
        <v>11</v>
      </c>
      <c r="F42" s="156">
        <v>1337.5</v>
      </c>
      <c r="G42" s="156">
        <v>938</v>
      </c>
      <c r="H42" s="157">
        <v>54131</v>
      </c>
      <c r="I42" s="158">
        <f>H42*F$114</f>
        <v>44371.180699999997</v>
      </c>
      <c r="J42" s="157">
        <v>260</v>
      </c>
      <c r="K42" s="159">
        <f t="shared" si="3"/>
        <v>98242.180699999997</v>
      </c>
    </row>
    <row r="43" spans="1:11" ht="18" customHeight="1">
      <c r="A43" s="151" t="s">
        <v>90</v>
      </c>
      <c r="B43" s="166" t="s">
        <v>10</v>
      </c>
      <c r="C43" s="167"/>
      <c r="D43" s="167"/>
      <c r="F43" s="156"/>
      <c r="G43" s="156"/>
      <c r="H43" s="157">
        <v>114840</v>
      </c>
      <c r="I43" s="158">
        <v>0</v>
      </c>
      <c r="J43" s="157"/>
      <c r="K43" s="159">
        <f t="shared" si="3"/>
        <v>114840</v>
      </c>
    </row>
    <row r="44" spans="1:11" ht="18" customHeight="1">
      <c r="A44" s="151" t="s">
        <v>91</v>
      </c>
      <c r="B44" s="901" t="s">
        <v>707</v>
      </c>
      <c r="C44" s="902"/>
      <c r="D44" s="903"/>
      <c r="F44" s="168">
        <v>10196.5</v>
      </c>
      <c r="G44" s="168">
        <v>1194</v>
      </c>
      <c r="H44" s="168">
        <v>381786</v>
      </c>
      <c r="I44" s="158">
        <f>H44*F$114</f>
        <v>312949.98420000001</v>
      </c>
      <c r="J44" s="168"/>
      <c r="K44" s="170">
        <f t="shared" si="3"/>
        <v>694735.98420000006</v>
      </c>
    </row>
    <row r="45" spans="1:11" ht="18" customHeight="1">
      <c r="A45" s="151" t="s">
        <v>139</v>
      </c>
      <c r="B45" s="898"/>
      <c r="C45" s="899"/>
      <c r="D45" s="900"/>
      <c r="F45" s="156"/>
      <c r="G45" s="156"/>
      <c r="H45" s="157"/>
      <c r="I45" s="158">
        <f>H45*F$114</f>
        <v>0</v>
      </c>
      <c r="J45" s="157"/>
      <c r="K45" s="159">
        <f t="shared" si="3"/>
        <v>0</v>
      </c>
    </row>
    <row r="46" spans="1:11" ht="18" customHeight="1">
      <c r="A46" s="151" t="s">
        <v>140</v>
      </c>
      <c r="B46" s="898"/>
      <c r="C46" s="899"/>
      <c r="D46" s="900"/>
      <c r="F46" s="156"/>
      <c r="G46" s="156"/>
      <c r="H46" s="157"/>
      <c r="I46" s="158">
        <f>H46*F$114</f>
        <v>0</v>
      </c>
      <c r="J46" s="157"/>
      <c r="K46" s="159">
        <f t="shared" si="3"/>
        <v>0</v>
      </c>
    </row>
    <row r="47" spans="1:11" ht="18" customHeight="1">
      <c r="A47" s="151" t="s">
        <v>141</v>
      </c>
      <c r="B47" s="898"/>
      <c r="C47" s="899"/>
      <c r="D47" s="900"/>
      <c r="F47" s="156"/>
      <c r="G47" s="156"/>
      <c r="H47" s="157"/>
      <c r="I47" s="158">
        <f>H47*F$114</f>
        <v>0</v>
      </c>
      <c r="J47" s="157"/>
      <c r="K47" s="159">
        <f t="shared" si="3"/>
        <v>0</v>
      </c>
    </row>
    <row r="49" spans="1:11" ht="18" customHeight="1">
      <c r="A49" s="154" t="s">
        <v>142</v>
      </c>
      <c r="B49" s="150" t="s">
        <v>143</v>
      </c>
      <c r="E49" s="150" t="s">
        <v>7</v>
      </c>
      <c r="F49" s="171">
        <f t="shared" ref="F49:K49" si="4">SUM(F40:F47)</f>
        <v>11534</v>
      </c>
      <c r="G49" s="171">
        <f t="shared" si="4"/>
        <v>2132</v>
      </c>
      <c r="H49" s="159">
        <f t="shared" si="4"/>
        <v>550757</v>
      </c>
      <c r="I49" s="159">
        <f t="shared" si="4"/>
        <v>357321.16489999997</v>
      </c>
      <c r="J49" s="159">
        <f t="shared" si="4"/>
        <v>260</v>
      </c>
      <c r="K49" s="159">
        <f t="shared" si="4"/>
        <v>907818.16490000009</v>
      </c>
    </row>
    <row r="50" spans="1:11" ht="18" customHeight="1" thickBot="1">
      <c r="G50" s="172"/>
      <c r="H50" s="172"/>
      <c r="I50" s="172"/>
      <c r="J50" s="172"/>
      <c r="K50" s="172"/>
    </row>
    <row r="51" spans="1:11" ht="42.75" customHeight="1">
      <c r="F51" s="153" t="s">
        <v>9</v>
      </c>
      <c r="G51" s="153" t="s">
        <v>37</v>
      </c>
      <c r="H51" s="153" t="s">
        <v>29</v>
      </c>
      <c r="I51" s="153" t="s">
        <v>30</v>
      </c>
      <c r="J51" s="153" t="s">
        <v>33</v>
      </c>
      <c r="K51" s="153" t="s">
        <v>34</v>
      </c>
    </row>
    <row r="52" spans="1:11" ht="18" customHeight="1">
      <c r="A52" s="154" t="s">
        <v>92</v>
      </c>
      <c r="B52" s="905" t="s">
        <v>38</v>
      </c>
      <c r="C52" s="906"/>
    </row>
    <row r="53" spans="1:11" ht="18" customHeight="1">
      <c r="A53" s="151" t="s">
        <v>51</v>
      </c>
      <c r="B53" s="908" t="s">
        <v>706</v>
      </c>
      <c r="C53" s="909"/>
      <c r="D53" s="903"/>
      <c r="F53" s="156">
        <f>7863.8+7998.5</f>
        <v>15862.3</v>
      </c>
      <c r="G53" s="156">
        <f>2877+4406</f>
        <v>7283</v>
      </c>
      <c r="H53" s="157">
        <f>485932+700145</f>
        <v>1186077</v>
      </c>
      <c r="I53" s="158">
        <f>H53*F$114</f>
        <v>972227.31689999998</v>
      </c>
      <c r="J53" s="157">
        <f>202681+461750</f>
        <v>664431</v>
      </c>
      <c r="K53" s="159">
        <f t="shared" ref="K53:K62" si="5">(H53+I53)-J53</f>
        <v>1493873.3169</v>
      </c>
    </row>
    <row r="54" spans="1:11" ht="18" customHeight="1">
      <c r="A54" s="151" t="s">
        <v>93</v>
      </c>
      <c r="B54" s="396" t="s">
        <v>526</v>
      </c>
      <c r="C54" s="397"/>
      <c r="D54" s="392"/>
      <c r="F54" s="156">
        <v>1836</v>
      </c>
      <c r="G54" s="156">
        <v>340</v>
      </c>
      <c r="H54" s="157">
        <v>53257</v>
      </c>
      <c r="I54" s="158">
        <f>H54*F$114</f>
        <v>43654.762900000002</v>
      </c>
      <c r="J54" s="157">
        <v>0</v>
      </c>
      <c r="K54" s="159">
        <f t="shared" si="5"/>
        <v>96911.762900000002</v>
      </c>
    </row>
    <row r="55" spans="1:11" ht="18" customHeight="1">
      <c r="A55" s="151" t="s">
        <v>94</v>
      </c>
      <c r="B55" s="901" t="s">
        <v>705</v>
      </c>
      <c r="C55" s="902"/>
      <c r="D55" s="903"/>
      <c r="F55" s="156">
        <v>0</v>
      </c>
      <c r="G55" s="156">
        <v>0</v>
      </c>
      <c r="H55" s="157">
        <v>0</v>
      </c>
      <c r="I55" s="158">
        <f>H55*F$114</f>
        <v>0</v>
      </c>
      <c r="J55" s="157">
        <v>0</v>
      </c>
      <c r="K55" s="159">
        <f t="shared" si="5"/>
        <v>0</v>
      </c>
    </row>
    <row r="56" spans="1:11" ht="18" customHeight="1">
      <c r="A56" s="151" t="s">
        <v>95</v>
      </c>
      <c r="B56" s="901" t="s">
        <v>704</v>
      </c>
      <c r="C56" s="902"/>
      <c r="D56" s="903"/>
      <c r="F56" s="156">
        <v>3611</v>
      </c>
      <c r="G56" s="156">
        <v>1053</v>
      </c>
      <c r="H56" s="157">
        <v>6592110</v>
      </c>
      <c r="I56" s="158">
        <v>0</v>
      </c>
      <c r="J56" s="157">
        <v>1059284</v>
      </c>
      <c r="K56" s="159">
        <f t="shared" si="5"/>
        <v>5532826</v>
      </c>
    </row>
    <row r="57" spans="1:11" ht="18" customHeight="1">
      <c r="A57" s="151" t="s">
        <v>96</v>
      </c>
      <c r="B57" s="901" t="s">
        <v>527</v>
      </c>
      <c r="C57" s="902"/>
      <c r="D57" s="903"/>
      <c r="F57" s="156">
        <v>11742</v>
      </c>
      <c r="G57" s="156">
        <v>11995</v>
      </c>
      <c r="H57" s="157">
        <v>1414211</v>
      </c>
      <c r="I57" s="158">
        <f>H57*F$114</f>
        <v>1159228.7567</v>
      </c>
      <c r="J57" s="157">
        <v>879932</v>
      </c>
      <c r="K57" s="159">
        <f t="shared" si="5"/>
        <v>1693507.7566999998</v>
      </c>
    </row>
    <row r="58" spans="1:11" ht="18" customHeight="1">
      <c r="A58" s="151" t="s">
        <v>97</v>
      </c>
      <c r="B58" s="396" t="s">
        <v>703</v>
      </c>
      <c r="C58" s="397"/>
      <c r="D58" s="392"/>
      <c r="F58" s="156">
        <v>0</v>
      </c>
      <c r="G58" s="156">
        <v>191</v>
      </c>
      <c r="H58" s="157">
        <v>454649.2</v>
      </c>
      <c r="I58" s="158">
        <v>0</v>
      </c>
      <c r="J58" s="157">
        <v>0</v>
      </c>
      <c r="K58" s="159">
        <f t="shared" si="5"/>
        <v>454649.2</v>
      </c>
    </row>
    <row r="59" spans="1:11" ht="18" customHeight="1">
      <c r="A59" s="151" t="s">
        <v>98</v>
      </c>
      <c r="B59" s="901" t="s">
        <v>702</v>
      </c>
      <c r="C59" s="902"/>
      <c r="D59" s="903"/>
      <c r="F59" s="156">
        <v>0</v>
      </c>
      <c r="G59" s="156">
        <v>0</v>
      </c>
      <c r="H59" s="157">
        <v>2150903</v>
      </c>
      <c r="I59" s="158">
        <v>0</v>
      </c>
      <c r="J59" s="157">
        <v>0</v>
      </c>
      <c r="K59" s="159">
        <f t="shared" si="5"/>
        <v>2150903</v>
      </c>
    </row>
    <row r="60" spans="1:11" ht="18" customHeight="1">
      <c r="A60" s="151" t="s">
        <v>99</v>
      </c>
      <c r="B60" s="396" t="s">
        <v>504</v>
      </c>
      <c r="C60" s="397"/>
      <c r="D60" s="392"/>
      <c r="F60" s="156">
        <v>33</v>
      </c>
      <c r="G60" s="156">
        <v>33</v>
      </c>
      <c r="H60" s="157">
        <v>1201</v>
      </c>
      <c r="I60" s="158">
        <f>H60*F$114</f>
        <v>984.4597</v>
      </c>
      <c r="J60" s="157">
        <v>0</v>
      </c>
      <c r="K60" s="159">
        <f t="shared" si="5"/>
        <v>2185.4596999999999</v>
      </c>
    </row>
    <row r="61" spans="1:11" ht="18" customHeight="1">
      <c r="A61" s="151" t="s">
        <v>100</v>
      </c>
      <c r="B61" s="396" t="s">
        <v>701</v>
      </c>
      <c r="C61" s="397"/>
      <c r="D61" s="392"/>
      <c r="F61" s="156">
        <v>0</v>
      </c>
      <c r="G61" s="156">
        <v>0</v>
      </c>
      <c r="H61" s="157">
        <v>1846678</v>
      </c>
      <c r="I61" s="158">
        <v>0</v>
      </c>
      <c r="J61" s="157">
        <v>0</v>
      </c>
      <c r="K61" s="159">
        <f t="shared" si="5"/>
        <v>1846678</v>
      </c>
    </row>
    <row r="62" spans="1:11" ht="18" customHeight="1">
      <c r="A62" s="151" t="s">
        <v>101</v>
      </c>
      <c r="B62" s="901"/>
      <c r="C62" s="902"/>
      <c r="D62" s="903"/>
      <c r="F62" s="156">
        <v>0</v>
      </c>
      <c r="G62" s="156">
        <v>0</v>
      </c>
      <c r="H62" s="157"/>
      <c r="I62" s="158">
        <f>H62*F$114</f>
        <v>0</v>
      </c>
      <c r="J62" s="157">
        <v>0</v>
      </c>
      <c r="K62" s="159">
        <f t="shared" si="5"/>
        <v>0</v>
      </c>
    </row>
    <row r="63" spans="1:11" ht="18" customHeight="1">
      <c r="A63" s="151"/>
      <c r="I63" s="173"/>
    </row>
    <row r="64" spans="1:11" ht="18" customHeight="1">
      <c r="A64" s="151" t="s">
        <v>144</v>
      </c>
      <c r="B64" s="150" t="s">
        <v>145</v>
      </c>
      <c r="E64" s="150" t="s">
        <v>7</v>
      </c>
      <c r="F64" s="162">
        <f t="shared" ref="F64:K64" si="6">SUM(F53:F62)</f>
        <v>33084.300000000003</v>
      </c>
      <c r="G64" s="162">
        <f t="shared" si="6"/>
        <v>20895</v>
      </c>
      <c r="H64" s="159">
        <f t="shared" si="6"/>
        <v>13699086.199999999</v>
      </c>
      <c r="I64" s="159">
        <f t="shared" si="6"/>
        <v>2176095.2962000002</v>
      </c>
      <c r="J64" s="159">
        <f t="shared" si="6"/>
        <v>2603647</v>
      </c>
      <c r="K64" s="159">
        <f t="shared" si="6"/>
        <v>13271534.496199999</v>
      </c>
    </row>
    <row r="65" spans="1:11" ht="18" customHeight="1">
      <c r="F65" s="174"/>
      <c r="G65" s="174"/>
      <c r="H65" s="174"/>
      <c r="I65" s="174"/>
      <c r="J65" s="174"/>
      <c r="K65" s="174"/>
    </row>
    <row r="66" spans="1:11" ht="42.75" customHeight="1">
      <c r="F66" s="175" t="s">
        <v>9</v>
      </c>
      <c r="G66" s="175" t="s">
        <v>37</v>
      </c>
      <c r="H66" s="175" t="s">
        <v>29</v>
      </c>
      <c r="I66" s="175" t="s">
        <v>30</v>
      </c>
      <c r="J66" s="175" t="s">
        <v>33</v>
      </c>
      <c r="K66" s="175" t="s">
        <v>34</v>
      </c>
    </row>
    <row r="67" spans="1:11" ht="18" customHeight="1">
      <c r="A67" s="154" t="s">
        <v>102</v>
      </c>
      <c r="B67" s="150" t="s">
        <v>12</v>
      </c>
      <c r="F67" s="176"/>
      <c r="G67" s="176"/>
      <c r="H67" s="176"/>
      <c r="I67" s="177"/>
      <c r="J67" s="176"/>
      <c r="K67" s="178"/>
    </row>
    <row r="68" spans="1:11" ht="18" customHeight="1">
      <c r="A68" s="151" t="s">
        <v>103</v>
      </c>
      <c r="B68" s="147" t="s">
        <v>52</v>
      </c>
      <c r="F68" s="179">
        <v>3768</v>
      </c>
      <c r="G68" s="179">
        <v>433</v>
      </c>
      <c r="H68" s="156">
        <v>379521</v>
      </c>
      <c r="I68" s="158">
        <f>H68*F$114</f>
        <v>311093.36369999999</v>
      </c>
      <c r="J68" s="179">
        <v>410178</v>
      </c>
      <c r="K68" s="159">
        <f>(H68+I68)-J68</f>
        <v>280436.36369999999</v>
      </c>
    </row>
    <row r="69" spans="1:11" ht="18" customHeight="1">
      <c r="A69" s="151" t="s">
        <v>104</v>
      </c>
      <c r="B69" s="155" t="s">
        <v>53</v>
      </c>
      <c r="F69" s="179"/>
      <c r="G69" s="179"/>
      <c r="H69" s="179"/>
      <c r="I69" s="158">
        <f>H69*F$114</f>
        <v>0</v>
      </c>
      <c r="J69" s="179"/>
      <c r="K69" s="159">
        <f>(H69+I69)-J69</f>
        <v>0</v>
      </c>
    </row>
    <row r="70" spans="1:11" ht="18" customHeight="1">
      <c r="A70" s="151" t="s">
        <v>178</v>
      </c>
      <c r="B70" s="396"/>
      <c r="C70" s="397"/>
      <c r="D70" s="392"/>
      <c r="E70" s="150"/>
      <c r="F70" s="180"/>
      <c r="G70" s="180"/>
      <c r="H70" s="181"/>
      <c r="I70" s="158">
        <f>H70*F$114</f>
        <v>0</v>
      </c>
      <c r="J70" s="181"/>
      <c r="K70" s="159">
        <f>(H70+I70)-J70</f>
        <v>0</v>
      </c>
    </row>
    <row r="71" spans="1:11" ht="18" customHeight="1">
      <c r="A71" s="151" t="s">
        <v>179</v>
      </c>
      <c r="B71" s="396"/>
      <c r="C71" s="397"/>
      <c r="D71" s="392"/>
      <c r="E71" s="150"/>
      <c r="F71" s="180"/>
      <c r="G71" s="180"/>
      <c r="H71" s="181"/>
      <c r="I71" s="158">
        <f>H71*F$114</f>
        <v>0</v>
      </c>
      <c r="J71" s="181"/>
      <c r="K71" s="159">
        <f>(H71+I71)-J71</f>
        <v>0</v>
      </c>
    </row>
    <row r="72" spans="1:11" ht="18" customHeight="1">
      <c r="A72" s="151" t="s">
        <v>180</v>
      </c>
      <c r="B72" s="390"/>
      <c r="C72" s="391"/>
      <c r="D72" s="182"/>
      <c r="E72" s="150"/>
      <c r="F72" s="156"/>
      <c r="G72" s="156"/>
      <c r="H72" s="157"/>
      <c r="I72" s="158">
        <f>H72*F$114</f>
        <v>0</v>
      </c>
      <c r="J72" s="157"/>
      <c r="K72" s="159">
        <f>(H72+I72)-J72</f>
        <v>0</v>
      </c>
    </row>
    <row r="73" spans="1:11" ht="18" customHeight="1">
      <c r="A73" s="151"/>
      <c r="B73" s="155"/>
      <c r="E73" s="150"/>
      <c r="F73" s="183"/>
      <c r="G73" s="183"/>
      <c r="H73" s="184"/>
      <c r="I73" s="177"/>
      <c r="J73" s="184"/>
      <c r="K73" s="178"/>
    </row>
    <row r="74" spans="1:11" ht="18" customHeight="1">
      <c r="A74" s="154" t="s">
        <v>146</v>
      </c>
      <c r="B74" s="150" t="s">
        <v>147</v>
      </c>
      <c r="E74" s="150" t="s">
        <v>7</v>
      </c>
      <c r="F74" s="185">
        <f t="shared" ref="F74:K74" si="7">SUM(F68:F72)</f>
        <v>3768</v>
      </c>
      <c r="G74" s="185">
        <f t="shared" si="7"/>
        <v>433</v>
      </c>
      <c r="H74" s="185">
        <f t="shared" si="7"/>
        <v>379521</v>
      </c>
      <c r="I74" s="186">
        <f t="shared" si="7"/>
        <v>311093.36369999999</v>
      </c>
      <c r="J74" s="185">
        <f t="shared" si="7"/>
        <v>410178</v>
      </c>
      <c r="K74" s="187">
        <f t="shared" si="7"/>
        <v>280436.36369999999</v>
      </c>
    </row>
    <row r="75" spans="1:11" ht="42.75" customHeight="1">
      <c r="F75" s="153" t="s">
        <v>9</v>
      </c>
      <c r="G75" s="153" t="s">
        <v>37</v>
      </c>
      <c r="H75" s="153" t="s">
        <v>29</v>
      </c>
      <c r="I75" s="153" t="s">
        <v>30</v>
      </c>
      <c r="J75" s="153" t="s">
        <v>33</v>
      </c>
      <c r="K75" s="153" t="s">
        <v>34</v>
      </c>
    </row>
    <row r="76" spans="1:11" ht="18" customHeight="1">
      <c r="A76" s="154" t="s">
        <v>105</v>
      </c>
      <c r="B76" s="150" t="s">
        <v>106</v>
      </c>
    </row>
    <row r="77" spans="1:11" ht="18" customHeight="1">
      <c r="A77" s="151" t="s">
        <v>107</v>
      </c>
      <c r="B77" s="155" t="s">
        <v>54</v>
      </c>
      <c r="F77" s="156"/>
      <c r="G77" s="156"/>
      <c r="H77" s="157"/>
      <c r="I77" s="158">
        <f>H77*F$114</f>
        <v>0</v>
      </c>
      <c r="J77" s="157"/>
      <c r="K77" s="159">
        <f>(H77+I77)-J77</f>
        <v>0</v>
      </c>
    </row>
    <row r="78" spans="1:11" ht="18" customHeight="1">
      <c r="A78" s="151" t="s">
        <v>108</v>
      </c>
      <c r="B78" s="155" t="s">
        <v>55</v>
      </c>
      <c r="F78" s="156"/>
      <c r="G78" s="156"/>
      <c r="H78" s="157">
        <v>239923</v>
      </c>
      <c r="I78" s="158">
        <v>0</v>
      </c>
      <c r="J78" s="157">
        <v>167557</v>
      </c>
      <c r="K78" s="159">
        <f>(H78+I78)-J78</f>
        <v>72366</v>
      </c>
    </row>
    <row r="79" spans="1:11" ht="18" customHeight="1">
      <c r="A79" s="151" t="s">
        <v>109</v>
      </c>
      <c r="B79" s="155" t="s">
        <v>13</v>
      </c>
      <c r="F79" s="156">
        <v>656</v>
      </c>
      <c r="G79" s="156">
        <v>1509</v>
      </c>
      <c r="H79" s="157">
        <v>153880</v>
      </c>
      <c r="I79" s="158">
        <f>H79*F$114</f>
        <v>126135.436</v>
      </c>
      <c r="J79" s="157"/>
      <c r="K79" s="159">
        <f>(H79+I79)-J79</f>
        <v>280015.43599999999</v>
      </c>
    </row>
    <row r="80" spans="1:11" ht="18" customHeight="1">
      <c r="A80" s="151" t="s">
        <v>110</v>
      </c>
      <c r="B80" s="155" t="s">
        <v>56</v>
      </c>
      <c r="F80" s="156">
        <v>24</v>
      </c>
      <c r="G80" s="156">
        <v>4200</v>
      </c>
      <c r="H80" s="157">
        <v>3889</v>
      </c>
      <c r="I80" s="158">
        <f>H80*F$114</f>
        <v>3187.8132999999998</v>
      </c>
      <c r="J80" s="157"/>
      <c r="K80" s="159">
        <f>(H80+I80)-J80</f>
        <v>7076.8132999999998</v>
      </c>
    </row>
    <row r="81" spans="1:11" ht="18" customHeight="1">
      <c r="A81" s="151"/>
      <c r="K81" s="188"/>
    </row>
    <row r="82" spans="1:11" ht="18" customHeight="1">
      <c r="A82" s="151" t="s">
        <v>148</v>
      </c>
      <c r="B82" s="150" t="s">
        <v>149</v>
      </c>
      <c r="E82" s="150" t="s">
        <v>7</v>
      </c>
      <c r="F82" s="185">
        <f t="shared" ref="F82:K82" si="8">SUM(F77:F80)</f>
        <v>680</v>
      </c>
      <c r="G82" s="185">
        <f t="shared" si="8"/>
        <v>5709</v>
      </c>
      <c r="H82" s="187">
        <f t="shared" si="8"/>
        <v>397692</v>
      </c>
      <c r="I82" s="187">
        <f t="shared" si="8"/>
        <v>129323.2493</v>
      </c>
      <c r="J82" s="187">
        <f t="shared" si="8"/>
        <v>167557</v>
      </c>
      <c r="K82" s="187">
        <f t="shared" si="8"/>
        <v>359458.24929999997</v>
      </c>
    </row>
    <row r="83" spans="1:11" ht="18" customHeight="1" thickBot="1">
      <c r="A83" s="151"/>
      <c r="F83" s="172"/>
      <c r="G83" s="172"/>
      <c r="H83" s="172"/>
      <c r="I83" s="172"/>
      <c r="J83" s="172"/>
      <c r="K83" s="172"/>
    </row>
    <row r="84" spans="1:11" ht="42.75" customHeight="1">
      <c r="F84" s="153" t="s">
        <v>9</v>
      </c>
      <c r="G84" s="153" t="s">
        <v>37</v>
      </c>
      <c r="H84" s="153" t="s">
        <v>29</v>
      </c>
      <c r="I84" s="153" t="s">
        <v>30</v>
      </c>
      <c r="J84" s="153" t="s">
        <v>33</v>
      </c>
      <c r="K84" s="153" t="s">
        <v>34</v>
      </c>
    </row>
    <row r="85" spans="1:11" ht="18" customHeight="1">
      <c r="A85" s="154" t="s">
        <v>111</v>
      </c>
      <c r="B85" s="150" t="s">
        <v>57</v>
      </c>
    </row>
    <row r="86" spans="1:11" ht="18" customHeight="1">
      <c r="A86" s="151" t="s">
        <v>112</v>
      </c>
      <c r="B86" s="155" t="s">
        <v>113</v>
      </c>
      <c r="F86" s="156"/>
      <c r="G86" s="156"/>
      <c r="H86" s="157"/>
      <c r="I86" s="158">
        <f t="shared" ref="I86:I96" si="9">H86*F$114</f>
        <v>0</v>
      </c>
      <c r="J86" s="157"/>
      <c r="K86" s="159">
        <f t="shared" ref="K86:K96" si="10">(H86+I86)-J86</f>
        <v>0</v>
      </c>
    </row>
    <row r="87" spans="1:11" ht="18" customHeight="1">
      <c r="A87" s="151" t="s">
        <v>114</v>
      </c>
      <c r="B87" s="155" t="s">
        <v>14</v>
      </c>
      <c r="F87" s="156"/>
      <c r="G87" s="156"/>
      <c r="H87" s="157"/>
      <c r="I87" s="158">
        <f t="shared" si="9"/>
        <v>0</v>
      </c>
      <c r="J87" s="157"/>
      <c r="K87" s="159">
        <f t="shared" si="10"/>
        <v>0</v>
      </c>
    </row>
    <row r="88" spans="1:11" ht="18" customHeight="1">
      <c r="A88" s="151" t="s">
        <v>115</v>
      </c>
      <c r="B88" s="155" t="s">
        <v>116</v>
      </c>
      <c r="F88" s="156"/>
      <c r="G88" s="156"/>
      <c r="H88" s="157"/>
      <c r="I88" s="158">
        <f t="shared" si="9"/>
        <v>0</v>
      </c>
      <c r="J88" s="157"/>
      <c r="K88" s="159">
        <f t="shared" si="10"/>
        <v>0</v>
      </c>
    </row>
    <row r="89" spans="1:11" ht="18" customHeight="1">
      <c r="A89" s="151" t="s">
        <v>117</v>
      </c>
      <c r="B89" s="155" t="s">
        <v>58</v>
      </c>
      <c r="F89" s="156"/>
      <c r="G89" s="156"/>
      <c r="H89" s="157"/>
      <c r="I89" s="158">
        <f t="shared" si="9"/>
        <v>0</v>
      </c>
      <c r="J89" s="157"/>
      <c r="K89" s="159">
        <f t="shared" si="10"/>
        <v>0</v>
      </c>
    </row>
    <row r="90" spans="1:11" ht="18" customHeight="1">
      <c r="A90" s="151" t="s">
        <v>118</v>
      </c>
      <c r="B90" s="904" t="s">
        <v>59</v>
      </c>
      <c r="C90" s="907"/>
      <c r="F90" s="156">
        <v>300</v>
      </c>
      <c r="G90" s="156"/>
      <c r="H90" s="157">
        <v>390</v>
      </c>
      <c r="I90" s="158">
        <f t="shared" si="9"/>
        <v>319.68299999999999</v>
      </c>
      <c r="J90" s="157"/>
      <c r="K90" s="159">
        <f t="shared" si="10"/>
        <v>709.68299999999999</v>
      </c>
    </row>
    <row r="91" spans="1:11" ht="18" customHeight="1">
      <c r="A91" s="151" t="s">
        <v>119</v>
      </c>
      <c r="B91" s="155" t="s">
        <v>60</v>
      </c>
      <c r="F91" s="156"/>
      <c r="G91" s="156"/>
      <c r="H91" s="157"/>
      <c r="I91" s="158">
        <f t="shared" si="9"/>
        <v>0</v>
      </c>
      <c r="J91" s="157"/>
      <c r="K91" s="159">
        <f t="shared" si="10"/>
        <v>0</v>
      </c>
    </row>
    <row r="92" spans="1:11" ht="18" customHeight="1">
      <c r="A92" s="151" t="s">
        <v>120</v>
      </c>
      <c r="B92" s="155" t="s">
        <v>121</v>
      </c>
      <c r="F92" s="189">
        <v>15</v>
      </c>
      <c r="G92" s="189">
        <v>45</v>
      </c>
      <c r="H92" s="190">
        <v>556</v>
      </c>
      <c r="I92" s="158">
        <f t="shared" si="9"/>
        <v>455.75319999999999</v>
      </c>
      <c r="J92" s="190"/>
      <c r="K92" s="159">
        <f t="shared" si="10"/>
        <v>1011.7532</v>
      </c>
    </row>
    <row r="93" spans="1:11" ht="18" customHeight="1">
      <c r="A93" s="151" t="s">
        <v>122</v>
      </c>
      <c r="B93" s="155" t="s">
        <v>123</v>
      </c>
      <c r="F93" s="156">
        <v>116</v>
      </c>
      <c r="G93" s="156">
        <v>495</v>
      </c>
      <c r="H93" s="157">
        <v>3803</v>
      </c>
      <c r="I93" s="158">
        <f t="shared" si="9"/>
        <v>3117.3191000000002</v>
      </c>
      <c r="J93" s="157"/>
      <c r="K93" s="159">
        <f t="shared" si="10"/>
        <v>6920.3191000000006</v>
      </c>
    </row>
    <row r="94" spans="1:11" ht="18" customHeight="1">
      <c r="A94" s="151" t="s">
        <v>124</v>
      </c>
      <c r="B94" s="901"/>
      <c r="C94" s="902"/>
      <c r="D94" s="903"/>
      <c r="F94" s="156"/>
      <c r="G94" s="156"/>
      <c r="H94" s="157"/>
      <c r="I94" s="158">
        <f t="shared" si="9"/>
        <v>0</v>
      </c>
      <c r="J94" s="157"/>
      <c r="K94" s="159">
        <f t="shared" si="10"/>
        <v>0</v>
      </c>
    </row>
    <row r="95" spans="1:11" ht="18" customHeight="1">
      <c r="A95" s="151" t="s">
        <v>125</v>
      </c>
      <c r="B95" s="901"/>
      <c r="C95" s="902"/>
      <c r="D95" s="903"/>
      <c r="F95" s="156"/>
      <c r="G95" s="156"/>
      <c r="H95" s="157"/>
      <c r="I95" s="158">
        <f t="shared" si="9"/>
        <v>0</v>
      </c>
      <c r="J95" s="157"/>
      <c r="K95" s="159">
        <f t="shared" si="10"/>
        <v>0</v>
      </c>
    </row>
    <row r="96" spans="1:11" ht="18" customHeight="1">
      <c r="A96" s="151" t="s">
        <v>126</v>
      </c>
      <c r="B96" s="901"/>
      <c r="C96" s="902"/>
      <c r="D96" s="903"/>
      <c r="F96" s="156"/>
      <c r="G96" s="156"/>
      <c r="H96" s="157"/>
      <c r="I96" s="158">
        <f t="shared" si="9"/>
        <v>0</v>
      </c>
      <c r="J96" s="157"/>
      <c r="K96" s="159">
        <f t="shared" si="10"/>
        <v>0</v>
      </c>
    </row>
    <row r="97" spans="1:11" ht="18" customHeight="1">
      <c r="A97" s="151"/>
      <c r="B97" s="155"/>
    </row>
    <row r="98" spans="1:11" ht="18" customHeight="1">
      <c r="A98" s="154" t="s">
        <v>150</v>
      </c>
      <c r="B98" s="150" t="s">
        <v>151</v>
      </c>
      <c r="E98" s="150" t="s">
        <v>7</v>
      </c>
      <c r="F98" s="162">
        <f t="shared" ref="F98:K98" si="11">SUM(F86:F96)</f>
        <v>431</v>
      </c>
      <c r="G98" s="162">
        <f t="shared" si="11"/>
        <v>540</v>
      </c>
      <c r="H98" s="162">
        <f t="shared" si="11"/>
        <v>4749</v>
      </c>
      <c r="I98" s="162">
        <f t="shared" si="11"/>
        <v>3892.7553000000003</v>
      </c>
      <c r="J98" s="162">
        <f t="shared" si="11"/>
        <v>0</v>
      </c>
      <c r="K98" s="162">
        <f t="shared" si="11"/>
        <v>8641.7553000000007</v>
      </c>
    </row>
    <row r="99" spans="1:11" ht="18" customHeight="1" thickBot="1">
      <c r="B99" s="150"/>
      <c r="F99" s="172"/>
      <c r="G99" s="172"/>
      <c r="H99" s="172"/>
      <c r="I99" s="172"/>
      <c r="J99" s="172"/>
      <c r="K99" s="172"/>
    </row>
    <row r="100" spans="1:11" ht="42.75" customHeight="1">
      <c r="F100" s="153" t="s">
        <v>9</v>
      </c>
      <c r="G100" s="153" t="s">
        <v>37</v>
      </c>
      <c r="H100" s="153" t="s">
        <v>29</v>
      </c>
      <c r="I100" s="153" t="s">
        <v>30</v>
      </c>
      <c r="J100" s="153" t="s">
        <v>33</v>
      </c>
      <c r="K100" s="153" t="s">
        <v>34</v>
      </c>
    </row>
    <row r="101" spans="1:11" ht="18" customHeight="1">
      <c r="A101" s="154" t="s">
        <v>130</v>
      </c>
      <c r="B101" s="150" t="s">
        <v>63</v>
      </c>
    </row>
    <row r="102" spans="1:11" ht="18" customHeight="1">
      <c r="A102" s="151" t="s">
        <v>131</v>
      </c>
      <c r="B102" s="155" t="s">
        <v>152</v>
      </c>
      <c r="F102" s="156">
        <v>826</v>
      </c>
      <c r="G102" s="156">
        <v>1</v>
      </c>
      <c r="H102" s="157">
        <v>30703</v>
      </c>
      <c r="I102" s="158">
        <f>H102*F$114</f>
        <v>25167.249100000001</v>
      </c>
      <c r="J102" s="157"/>
      <c r="K102" s="159">
        <f>(H102+I102)-J102</f>
        <v>55870.249100000001</v>
      </c>
    </row>
    <row r="103" spans="1:11" ht="18" customHeight="1">
      <c r="A103" s="151" t="s">
        <v>132</v>
      </c>
      <c r="B103" s="904" t="s">
        <v>62</v>
      </c>
      <c r="C103" s="904"/>
      <c r="F103" s="156"/>
      <c r="G103" s="156"/>
      <c r="H103" s="157"/>
      <c r="I103" s="158">
        <f>H103*F$114</f>
        <v>0</v>
      </c>
      <c r="J103" s="157"/>
      <c r="K103" s="159">
        <f>(H103+I103)-J103</f>
        <v>0</v>
      </c>
    </row>
    <row r="104" spans="1:11" ht="18" customHeight="1">
      <c r="A104" s="151" t="s">
        <v>128</v>
      </c>
      <c r="B104" s="901"/>
      <c r="C104" s="902"/>
      <c r="D104" s="903"/>
      <c r="F104" s="156"/>
      <c r="G104" s="156"/>
      <c r="H104" s="157"/>
      <c r="I104" s="158">
        <f>H104*F$114</f>
        <v>0</v>
      </c>
      <c r="J104" s="157"/>
      <c r="K104" s="159">
        <f>(H104+I104)-J104</f>
        <v>0</v>
      </c>
    </row>
    <row r="105" spans="1:11" ht="18" customHeight="1">
      <c r="A105" s="151" t="s">
        <v>127</v>
      </c>
      <c r="B105" s="901"/>
      <c r="C105" s="902"/>
      <c r="D105" s="903"/>
      <c r="F105" s="156"/>
      <c r="G105" s="156"/>
      <c r="H105" s="157"/>
      <c r="I105" s="158">
        <f>H105*F$114</f>
        <v>0</v>
      </c>
      <c r="J105" s="157"/>
      <c r="K105" s="159">
        <f>(H105+I105)-J105</f>
        <v>0</v>
      </c>
    </row>
    <row r="106" spans="1:11" ht="18" customHeight="1">
      <c r="A106" s="151" t="s">
        <v>129</v>
      </c>
      <c r="B106" s="901"/>
      <c r="C106" s="902"/>
      <c r="D106" s="903"/>
      <c r="F106" s="156"/>
      <c r="G106" s="156"/>
      <c r="H106" s="157"/>
      <c r="I106" s="158">
        <f>H106*F$114</f>
        <v>0</v>
      </c>
      <c r="J106" s="157"/>
      <c r="K106" s="159">
        <f>(H106+I106)-J106</f>
        <v>0</v>
      </c>
    </row>
    <row r="107" spans="1:11" ht="18" customHeight="1">
      <c r="B107" s="150"/>
    </row>
    <row r="108" spans="1:11" s="167" customFormat="1" ht="18" customHeight="1">
      <c r="A108" s="154" t="s">
        <v>153</v>
      </c>
      <c r="B108" s="191" t="s">
        <v>154</v>
      </c>
      <c r="C108" s="147"/>
      <c r="D108" s="147"/>
      <c r="E108" s="150" t="s">
        <v>7</v>
      </c>
      <c r="F108" s="162">
        <f t="shared" ref="F108:K108" si="12">SUM(F102:F106)</f>
        <v>826</v>
      </c>
      <c r="G108" s="162">
        <f t="shared" si="12"/>
        <v>1</v>
      </c>
      <c r="H108" s="159">
        <f t="shared" si="12"/>
        <v>30703</v>
      </c>
      <c r="I108" s="159">
        <f t="shared" si="12"/>
        <v>25167.249100000001</v>
      </c>
      <c r="J108" s="159">
        <f t="shared" si="12"/>
        <v>0</v>
      </c>
      <c r="K108" s="159">
        <f t="shared" si="12"/>
        <v>55870.249100000001</v>
      </c>
    </row>
    <row r="109" spans="1:11" s="167" customFormat="1" ht="18" customHeight="1" thickBot="1">
      <c r="A109" s="192"/>
      <c r="B109" s="193"/>
      <c r="C109" s="194"/>
      <c r="D109" s="194"/>
      <c r="E109" s="194"/>
      <c r="F109" s="172"/>
      <c r="G109" s="172"/>
      <c r="H109" s="172"/>
      <c r="I109" s="172"/>
      <c r="J109" s="172"/>
      <c r="K109" s="172"/>
    </row>
    <row r="110" spans="1:11" s="167" customFormat="1" ht="18" customHeight="1">
      <c r="A110" s="154" t="s">
        <v>156</v>
      </c>
      <c r="B110" s="150" t="s">
        <v>39</v>
      </c>
      <c r="C110" s="147"/>
      <c r="D110" s="147"/>
      <c r="E110" s="147"/>
      <c r="F110" s="147"/>
      <c r="G110" s="147"/>
      <c r="H110" s="147"/>
      <c r="I110" s="147"/>
      <c r="J110" s="147"/>
      <c r="K110" s="147"/>
    </row>
    <row r="111" spans="1:11" ht="18" customHeight="1">
      <c r="A111" s="154" t="s">
        <v>155</v>
      </c>
      <c r="B111" s="150" t="s">
        <v>164</v>
      </c>
      <c r="E111" s="150" t="s">
        <v>7</v>
      </c>
      <c r="F111" s="157">
        <v>4027266</v>
      </c>
    </row>
    <row r="112" spans="1:11" ht="18" customHeight="1">
      <c r="B112" s="150"/>
      <c r="E112" s="150"/>
      <c r="F112" s="195"/>
    </row>
    <row r="113" spans="1:6" ht="18" customHeight="1">
      <c r="A113" s="154"/>
      <c r="B113" s="150" t="s">
        <v>15</v>
      </c>
    </row>
    <row r="114" spans="1:6" ht="18" customHeight="1">
      <c r="A114" s="151" t="s">
        <v>171</v>
      </c>
      <c r="B114" s="155" t="s">
        <v>35</v>
      </c>
      <c r="F114" s="196">
        <v>0.81969999999999998</v>
      </c>
    </row>
    <row r="115" spans="1:6" ht="18" customHeight="1">
      <c r="A115" s="151"/>
      <c r="B115" s="150"/>
    </row>
    <row r="116" spans="1:6" ht="18" customHeight="1">
      <c r="A116" s="151" t="s">
        <v>170</v>
      </c>
      <c r="B116" s="150" t="s">
        <v>16</v>
      </c>
    </row>
    <row r="117" spans="1:6" ht="18" customHeight="1">
      <c r="A117" s="151" t="s">
        <v>172</v>
      </c>
      <c r="B117" s="155" t="s">
        <v>17</v>
      </c>
      <c r="F117" s="157">
        <v>299284747</v>
      </c>
    </row>
    <row r="118" spans="1:6" ht="18" customHeight="1">
      <c r="A118" s="151" t="s">
        <v>173</v>
      </c>
      <c r="B118" s="147" t="s">
        <v>18</v>
      </c>
      <c r="F118" s="157">
        <v>15809813</v>
      </c>
    </row>
    <row r="119" spans="1:6" ht="18" customHeight="1">
      <c r="A119" s="151" t="s">
        <v>174</v>
      </c>
      <c r="B119" s="150" t="s">
        <v>19</v>
      </c>
      <c r="F119" s="187">
        <f>SUM(F117:F118)</f>
        <v>315094560</v>
      </c>
    </row>
    <row r="120" spans="1:6" ht="18" customHeight="1">
      <c r="A120" s="151"/>
      <c r="B120" s="150"/>
    </row>
    <row r="121" spans="1:6" ht="18" customHeight="1">
      <c r="A121" s="151" t="s">
        <v>167</v>
      </c>
      <c r="B121" s="150" t="s">
        <v>36</v>
      </c>
      <c r="F121" s="157">
        <v>298834515</v>
      </c>
    </row>
    <row r="122" spans="1:6" ht="18" customHeight="1">
      <c r="A122" s="151"/>
    </row>
    <row r="123" spans="1:6" ht="18" customHeight="1">
      <c r="A123" s="151" t="s">
        <v>175</v>
      </c>
      <c r="B123" s="150" t="s">
        <v>20</v>
      </c>
      <c r="F123" s="157">
        <v>16260045</v>
      </c>
    </row>
    <row r="124" spans="1:6" ht="18" customHeight="1">
      <c r="A124" s="151"/>
    </row>
    <row r="125" spans="1:6" ht="18" customHeight="1">
      <c r="A125" s="151" t="s">
        <v>176</v>
      </c>
      <c r="B125" s="150" t="s">
        <v>21</v>
      </c>
      <c r="F125" s="157">
        <v>2068739</v>
      </c>
    </row>
    <row r="126" spans="1:6" ht="18" customHeight="1">
      <c r="A126" s="151"/>
    </row>
    <row r="127" spans="1:6" ht="18" customHeight="1">
      <c r="A127" s="151" t="s">
        <v>177</v>
      </c>
      <c r="B127" s="150" t="s">
        <v>22</v>
      </c>
      <c r="F127" s="157">
        <v>18328784</v>
      </c>
    </row>
    <row r="128" spans="1:6" ht="18" customHeight="1">
      <c r="A128" s="151"/>
    </row>
    <row r="129" spans="1:11" ht="42.75" customHeight="1">
      <c r="F129" s="153" t="s">
        <v>9</v>
      </c>
      <c r="G129" s="153" t="s">
        <v>37</v>
      </c>
      <c r="H129" s="153" t="s">
        <v>29</v>
      </c>
      <c r="I129" s="153" t="s">
        <v>30</v>
      </c>
      <c r="J129" s="153" t="s">
        <v>33</v>
      </c>
      <c r="K129" s="153" t="s">
        <v>34</v>
      </c>
    </row>
    <row r="130" spans="1:11" ht="18" customHeight="1">
      <c r="A130" s="154" t="s">
        <v>157</v>
      </c>
      <c r="B130" s="150" t="s">
        <v>23</v>
      </c>
    </row>
    <row r="131" spans="1:11" ht="18" customHeight="1">
      <c r="A131" s="151" t="s">
        <v>158</v>
      </c>
      <c r="B131" s="147" t="s">
        <v>24</v>
      </c>
      <c r="F131" s="156"/>
      <c r="G131" s="156"/>
      <c r="H131" s="157"/>
      <c r="I131" s="158">
        <f>H131*F$114</f>
        <v>0</v>
      </c>
      <c r="J131" s="157"/>
      <c r="K131" s="159">
        <f>(H131+I131)-J131</f>
        <v>0</v>
      </c>
    </row>
    <row r="132" spans="1:11" ht="18" customHeight="1">
      <c r="A132" s="151" t="s">
        <v>159</v>
      </c>
      <c r="B132" s="147" t="s">
        <v>25</v>
      </c>
      <c r="F132" s="156"/>
      <c r="G132" s="156"/>
      <c r="H132" s="157"/>
      <c r="I132" s="158">
        <f>H132*F$114</f>
        <v>0</v>
      </c>
      <c r="J132" s="157"/>
      <c r="K132" s="159">
        <f>(H132+I132)-J132</f>
        <v>0</v>
      </c>
    </row>
    <row r="133" spans="1:11" ht="18" customHeight="1">
      <c r="A133" s="151" t="s">
        <v>160</v>
      </c>
      <c r="B133" s="898"/>
      <c r="C133" s="899"/>
      <c r="D133" s="900"/>
      <c r="F133" s="156"/>
      <c r="G133" s="156"/>
      <c r="H133" s="157"/>
      <c r="I133" s="158">
        <f>H133*F$114</f>
        <v>0</v>
      </c>
      <c r="J133" s="157"/>
      <c r="K133" s="159">
        <f>(H133+I133)-J133</f>
        <v>0</v>
      </c>
    </row>
    <row r="134" spans="1:11" ht="18" customHeight="1">
      <c r="A134" s="151" t="s">
        <v>161</v>
      </c>
      <c r="B134" s="898"/>
      <c r="C134" s="899"/>
      <c r="D134" s="900"/>
      <c r="F134" s="156"/>
      <c r="G134" s="156"/>
      <c r="H134" s="157"/>
      <c r="I134" s="158">
        <f>H134*F$114</f>
        <v>0</v>
      </c>
      <c r="J134" s="157"/>
      <c r="K134" s="159">
        <f>(H134+I134)-J134</f>
        <v>0</v>
      </c>
    </row>
    <row r="135" spans="1:11" ht="18" customHeight="1">
      <c r="A135" s="151" t="s">
        <v>162</v>
      </c>
      <c r="B135" s="898"/>
      <c r="C135" s="899"/>
      <c r="D135" s="900"/>
      <c r="F135" s="156"/>
      <c r="G135" s="156"/>
      <c r="H135" s="157"/>
      <c r="I135" s="158">
        <f>H135*F$114</f>
        <v>0</v>
      </c>
      <c r="J135" s="157"/>
      <c r="K135" s="159">
        <f>(H135+I135)-J135</f>
        <v>0</v>
      </c>
    </row>
    <row r="136" spans="1:11" ht="18" customHeight="1">
      <c r="A136" s="154"/>
    </row>
    <row r="137" spans="1:11" ht="18" customHeight="1">
      <c r="A137" s="154" t="s">
        <v>163</v>
      </c>
      <c r="B137" s="150" t="s">
        <v>27</v>
      </c>
      <c r="F137" s="162">
        <f t="shared" ref="F137:K137" si="13">SUM(F131:F135)</f>
        <v>0</v>
      </c>
      <c r="G137" s="162">
        <f t="shared" si="13"/>
        <v>0</v>
      </c>
      <c r="H137" s="159">
        <f t="shared" si="13"/>
        <v>0</v>
      </c>
      <c r="I137" s="159">
        <f t="shared" si="13"/>
        <v>0</v>
      </c>
      <c r="J137" s="159">
        <f t="shared" si="13"/>
        <v>0</v>
      </c>
      <c r="K137" s="159">
        <f t="shared" si="13"/>
        <v>0</v>
      </c>
    </row>
    <row r="138" spans="1:11" ht="18" customHeight="1">
      <c r="A138" s="147"/>
    </row>
    <row r="139" spans="1:11" ht="42.75" customHeight="1">
      <c r="F139" s="153" t="s">
        <v>9</v>
      </c>
      <c r="G139" s="153" t="s">
        <v>37</v>
      </c>
      <c r="H139" s="153" t="s">
        <v>29</v>
      </c>
      <c r="I139" s="153" t="s">
        <v>30</v>
      </c>
      <c r="J139" s="153" t="s">
        <v>33</v>
      </c>
      <c r="K139" s="153" t="s">
        <v>34</v>
      </c>
    </row>
    <row r="140" spans="1:11" ht="18" customHeight="1">
      <c r="A140" s="154" t="s">
        <v>166</v>
      </c>
      <c r="B140" s="150" t="s">
        <v>26</v>
      </c>
    </row>
    <row r="141" spans="1:11" ht="18" customHeight="1">
      <c r="A141" s="151" t="s">
        <v>137</v>
      </c>
      <c r="B141" s="150" t="s">
        <v>64</v>
      </c>
      <c r="F141" s="197">
        <f t="shared" ref="F141:K141" si="14">F36</f>
        <v>16462.199999999997</v>
      </c>
      <c r="G141" s="197">
        <f t="shared" si="14"/>
        <v>29961</v>
      </c>
      <c r="H141" s="197">
        <f t="shared" si="14"/>
        <v>745187</v>
      </c>
      <c r="I141" s="197">
        <f t="shared" si="14"/>
        <v>610829.78390000004</v>
      </c>
      <c r="J141" s="197">
        <f t="shared" si="14"/>
        <v>44180</v>
      </c>
      <c r="K141" s="197">
        <f t="shared" si="14"/>
        <v>1311836.7838999999</v>
      </c>
    </row>
    <row r="142" spans="1:11" ht="18" customHeight="1">
      <c r="A142" s="151" t="s">
        <v>142</v>
      </c>
      <c r="B142" s="150" t="s">
        <v>65</v>
      </c>
      <c r="F142" s="197">
        <f t="shared" ref="F142:K142" si="15">F49</f>
        <v>11534</v>
      </c>
      <c r="G142" s="197">
        <f t="shared" si="15"/>
        <v>2132</v>
      </c>
      <c r="H142" s="197">
        <f t="shared" si="15"/>
        <v>550757</v>
      </c>
      <c r="I142" s="197">
        <f t="shared" si="15"/>
        <v>357321.16489999997</v>
      </c>
      <c r="J142" s="197">
        <f t="shared" si="15"/>
        <v>260</v>
      </c>
      <c r="K142" s="197">
        <f t="shared" si="15"/>
        <v>907818.16490000009</v>
      </c>
    </row>
    <row r="143" spans="1:11" ht="18" customHeight="1">
      <c r="A143" s="151" t="s">
        <v>144</v>
      </c>
      <c r="B143" s="150" t="s">
        <v>66</v>
      </c>
      <c r="F143" s="197">
        <f t="shared" ref="F143:K143" si="16">F64</f>
        <v>33084.300000000003</v>
      </c>
      <c r="G143" s="197">
        <f t="shared" si="16"/>
        <v>20895</v>
      </c>
      <c r="H143" s="197">
        <f t="shared" si="16"/>
        <v>13699086.199999999</v>
      </c>
      <c r="I143" s="197">
        <f t="shared" si="16"/>
        <v>2176095.2962000002</v>
      </c>
      <c r="J143" s="197">
        <f t="shared" si="16"/>
        <v>2603647</v>
      </c>
      <c r="K143" s="197">
        <f t="shared" si="16"/>
        <v>13271534.496199999</v>
      </c>
    </row>
    <row r="144" spans="1:11" ht="18" customHeight="1">
      <c r="A144" s="151" t="s">
        <v>146</v>
      </c>
      <c r="B144" s="150" t="s">
        <v>67</v>
      </c>
      <c r="F144" s="197">
        <f t="shared" ref="F144:K144" si="17">F74</f>
        <v>3768</v>
      </c>
      <c r="G144" s="197">
        <f t="shared" si="17"/>
        <v>433</v>
      </c>
      <c r="H144" s="197">
        <f t="shared" si="17"/>
        <v>379521</v>
      </c>
      <c r="I144" s="197">
        <f t="shared" si="17"/>
        <v>311093.36369999999</v>
      </c>
      <c r="J144" s="197">
        <f t="shared" si="17"/>
        <v>410178</v>
      </c>
      <c r="K144" s="197">
        <f t="shared" si="17"/>
        <v>280436.36369999999</v>
      </c>
    </row>
    <row r="145" spans="1:11" ht="18" customHeight="1">
      <c r="A145" s="151" t="s">
        <v>148</v>
      </c>
      <c r="B145" s="150" t="s">
        <v>68</v>
      </c>
      <c r="F145" s="197">
        <f t="shared" ref="F145:K145" si="18">F82</f>
        <v>680</v>
      </c>
      <c r="G145" s="197">
        <f t="shared" si="18"/>
        <v>5709</v>
      </c>
      <c r="H145" s="197">
        <f t="shared" si="18"/>
        <v>397692</v>
      </c>
      <c r="I145" s="197">
        <f t="shared" si="18"/>
        <v>129323.2493</v>
      </c>
      <c r="J145" s="197">
        <f t="shared" si="18"/>
        <v>167557</v>
      </c>
      <c r="K145" s="197">
        <f t="shared" si="18"/>
        <v>359458.24929999997</v>
      </c>
    </row>
    <row r="146" spans="1:11" ht="18" customHeight="1">
      <c r="A146" s="151" t="s">
        <v>150</v>
      </c>
      <c r="B146" s="150" t="s">
        <v>69</v>
      </c>
      <c r="F146" s="197">
        <f t="shared" ref="F146:K146" si="19">F98</f>
        <v>431</v>
      </c>
      <c r="G146" s="197">
        <f t="shared" si="19"/>
        <v>540</v>
      </c>
      <c r="H146" s="197">
        <f t="shared" si="19"/>
        <v>4749</v>
      </c>
      <c r="I146" s="197">
        <f t="shared" si="19"/>
        <v>3892.7553000000003</v>
      </c>
      <c r="J146" s="197">
        <f t="shared" si="19"/>
        <v>0</v>
      </c>
      <c r="K146" s="197">
        <f t="shared" si="19"/>
        <v>8641.7553000000007</v>
      </c>
    </row>
    <row r="147" spans="1:11" ht="18" customHeight="1">
      <c r="A147" s="151" t="s">
        <v>153</v>
      </c>
      <c r="B147" s="150" t="s">
        <v>61</v>
      </c>
      <c r="F147" s="162">
        <f t="shared" ref="F147:K147" si="20">F108</f>
        <v>826</v>
      </c>
      <c r="G147" s="162">
        <f t="shared" si="20"/>
        <v>1</v>
      </c>
      <c r="H147" s="162">
        <f t="shared" si="20"/>
        <v>30703</v>
      </c>
      <c r="I147" s="162">
        <f t="shared" si="20"/>
        <v>25167.249100000001</v>
      </c>
      <c r="J147" s="162">
        <f t="shared" si="20"/>
        <v>0</v>
      </c>
      <c r="K147" s="162">
        <f t="shared" si="20"/>
        <v>55870.249100000001</v>
      </c>
    </row>
    <row r="148" spans="1:11" ht="18" customHeight="1">
      <c r="A148" s="151" t="s">
        <v>155</v>
      </c>
      <c r="B148" s="150" t="s">
        <v>70</v>
      </c>
      <c r="F148" s="198" t="s">
        <v>73</v>
      </c>
      <c r="G148" s="198" t="s">
        <v>73</v>
      </c>
      <c r="H148" s="199" t="s">
        <v>73</v>
      </c>
      <c r="I148" s="199" t="s">
        <v>73</v>
      </c>
      <c r="J148" s="199" t="s">
        <v>73</v>
      </c>
      <c r="K148" s="200">
        <f>F111</f>
        <v>4027266</v>
      </c>
    </row>
    <row r="149" spans="1:11" ht="18" customHeight="1">
      <c r="A149" s="151" t="s">
        <v>163</v>
      </c>
      <c r="B149" s="150" t="s">
        <v>71</v>
      </c>
      <c r="F149" s="162">
        <f t="shared" ref="F149:K149" si="21">F137</f>
        <v>0</v>
      </c>
      <c r="G149" s="162">
        <f t="shared" si="21"/>
        <v>0</v>
      </c>
      <c r="H149" s="162">
        <f t="shared" si="21"/>
        <v>0</v>
      </c>
      <c r="I149" s="162">
        <f t="shared" si="21"/>
        <v>0</v>
      </c>
      <c r="J149" s="162">
        <f t="shared" si="21"/>
        <v>0</v>
      </c>
      <c r="K149" s="162">
        <f t="shared" si="21"/>
        <v>0</v>
      </c>
    </row>
    <row r="150" spans="1:11" ht="18" customHeight="1">
      <c r="A150" s="151" t="s">
        <v>185</v>
      </c>
      <c r="B150" s="150" t="s">
        <v>186</v>
      </c>
      <c r="F150" s="198" t="s">
        <v>73</v>
      </c>
      <c r="G150" s="198" t="s">
        <v>73</v>
      </c>
      <c r="H150" s="162">
        <f>H18</f>
        <v>7626995</v>
      </c>
      <c r="I150" s="162">
        <f>I18</f>
        <v>0</v>
      </c>
      <c r="J150" s="162">
        <f>J18</f>
        <v>6522034</v>
      </c>
      <c r="K150" s="162">
        <f>K18</f>
        <v>1104961</v>
      </c>
    </row>
    <row r="151" spans="1:11" ht="18" customHeight="1">
      <c r="B151" s="150"/>
      <c r="F151" s="174"/>
      <c r="G151" s="174"/>
      <c r="H151" s="174"/>
      <c r="I151" s="174"/>
      <c r="J151" s="174"/>
      <c r="K151" s="174"/>
    </row>
    <row r="152" spans="1:11" ht="18" customHeight="1">
      <c r="A152" s="154" t="s">
        <v>165</v>
      </c>
      <c r="B152" s="150" t="s">
        <v>26</v>
      </c>
      <c r="F152" s="201">
        <f t="shared" ref="F152:K152" si="22">SUM(F141:F150)</f>
        <v>66785.5</v>
      </c>
      <c r="G152" s="201">
        <f t="shared" si="22"/>
        <v>59671</v>
      </c>
      <c r="H152" s="201">
        <f t="shared" si="22"/>
        <v>23434690.199999999</v>
      </c>
      <c r="I152" s="201">
        <f t="shared" si="22"/>
        <v>3613722.8624</v>
      </c>
      <c r="J152" s="201">
        <f t="shared" si="22"/>
        <v>9747856</v>
      </c>
      <c r="K152" s="201">
        <f t="shared" si="22"/>
        <v>21327823.062399998</v>
      </c>
    </row>
    <row r="154" spans="1:11" ht="18" customHeight="1">
      <c r="A154" s="154" t="s">
        <v>168</v>
      </c>
      <c r="B154" s="150" t="s">
        <v>28</v>
      </c>
      <c r="F154" s="53">
        <f>K152/F121</f>
        <v>7.1370012471283648E-2</v>
      </c>
    </row>
    <row r="155" spans="1:11" ht="18" customHeight="1">
      <c r="A155" s="154" t="s">
        <v>169</v>
      </c>
      <c r="B155" s="150" t="s">
        <v>72</v>
      </c>
      <c r="F155" s="53">
        <f>K152/F127</f>
        <v>1.1636245515469001</v>
      </c>
      <c r="G155" s="150"/>
    </row>
    <row r="156" spans="1:11" ht="18" customHeight="1">
      <c r="G156" s="150"/>
    </row>
  </sheetData>
  <sheetProtection algorithmName="SHA-512" hashValue="iVvdvBFvLJrCQayOzWBOnlmmkvSOlg0vsuWfxw4ykvUWsRMIU69Eos4F9LU4n3blGdfrud4L5z60Zw6vfmvLvQ==" saltValue="dNfDTr1s26G+Dg2uXX89nw==" spinCount="100000" sheet="1" objects="1" scenarios="1"/>
  <mergeCells count="34">
    <mergeCell ref="D2:H2"/>
    <mergeCell ref="B45:D45"/>
    <mergeCell ref="B46:D46"/>
    <mergeCell ref="B47:D47"/>
    <mergeCell ref="B34:D34"/>
    <mergeCell ref="C11:G11"/>
    <mergeCell ref="B41:C41"/>
    <mergeCell ref="B44:D44"/>
    <mergeCell ref="B13:H13"/>
    <mergeCell ref="C5:G5"/>
    <mergeCell ref="C6:G6"/>
    <mergeCell ref="C7:G7"/>
    <mergeCell ref="C9:G9"/>
    <mergeCell ref="C10:G10"/>
    <mergeCell ref="B30:D30"/>
    <mergeCell ref="B31:D31"/>
    <mergeCell ref="B52:C52"/>
    <mergeCell ref="B90:C90"/>
    <mergeCell ref="B53:D53"/>
    <mergeCell ref="B55:D55"/>
    <mergeCell ref="B56:D56"/>
    <mergeCell ref="B62:D62"/>
    <mergeCell ref="B59:D59"/>
    <mergeCell ref="B103:C103"/>
    <mergeCell ref="B96:D96"/>
    <mergeCell ref="B95:D95"/>
    <mergeCell ref="B57:D57"/>
    <mergeCell ref="B94:D94"/>
    <mergeCell ref="B134:D134"/>
    <mergeCell ref="B135:D135"/>
    <mergeCell ref="B133:D133"/>
    <mergeCell ref="B104:D104"/>
    <mergeCell ref="B105:D105"/>
    <mergeCell ref="B106:D106"/>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156"/>
  <sheetViews>
    <sheetView showGridLines="0" topLeftCell="A15" zoomScaleNormal="100" zoomScaleSheetLayoutView="50" workbookViewId="0">
      <selection activeCell="H18" sqref="H18"/>
    </sheetView>
  </sheetViews>
  <sheetFormatPr defaultRowHeight="18" customHeight="1"/>
  <cols>
    <col min="1" max="1" width="8.42578125" style="146" customWidth="1"/>
    <col min="2" max="2" width="55.42578125" style="147" bestFit="1" customWidth="1"/>
    <col min="3" max="3" width="9.5703125" style="147" customWidth="1"/>
    <col min="4" max="4" width="9.140625" style="147"/>
    <col min="5" max="5" width="12.42578125" style="147" customWidth="1"/>
    <col min="6" max="6" width="18.5703125" style="147" customWidth="1"/>
    <col min="7" max="7" width="23.5703125" style="147" customWidth="1"/>
    <col min="8" max="8" width="17.140625" style="147" customWidth="1"/>
    <col min="9" max="9" width="21.140625" style="147" customWidth="1"/>
    <col min="10" max="10" width="19.85546875" style="147" customWidth="1"/>
    <col min="11" max="11" width="17.5703125" style="147" customWidth="1"/>
    <col min="12" max="16384" width="9.140625" style="147"/>
  </cols>
  <sheetData>
    <row r="1" spans="1:11" ht="18" customHeight="1">
      <c r="C1" s="148"/>
      <c r="D1" s="149"/>
      <c r="E1" s="148"/>
      <c r="F1" s="148"/>
      <c r="G1" s="148"/>
      <c r="H1" s="148"/>
      <c r="I1" s="148"/>
      <c r="J1" s="148"/>
      <c r="K1" s="148"/>
    </row>
    <row r="2" spans="1:11" ht="18" customHeight="1">
      <c r="D2" s="910" t="s">
        <v>713</v>
      </c>
      <c r="E2" s="911"/>
      <c r="F2" s="911"/>
      <c r="G2" s="911"/>
      <c r="H2" s="911"/>
    </row>
    <row r="3" spans="1:11" ht="18" customHeight="1">
      <c r="B3" s="150" t="s">
        <v>0</v>
      </c>
    </row>
    <row r="5" spans="1:11" ht="18" customHeight="1">
      <c r="B5" s="151" t="s">
        <v>40</v>
      </c>
      <c r="C5" s="912" t="s">
        <v>623</v>
      </c>
      <c r="D5" s="918"/>
      <c r="E5" s="918"/>
      <c r="F5" s="918"/>
      <c r="G5" s="919"/>
    </row>
    <row r="6" spans="1:11" ht="18" customHeight="1">
      <c r="B6" s="151" t="s">
        <v>3</v>
      </c>
      <c r="C6" s="929" t="s">
        <v>624</v>
      </c>
      <c r="D6" s="921"/>
      <c r="E6" s="921"/>
      <c r="F6" s="921"/>
      <c r="G6" s="922"/>
    </row>
    <row r="7" spans="1:11" ht="18" customHeight="1">
      <c r="B7" s="151" t="s">
        <v>4</v>
      </c>
      <c r="C7" s="930">
        <v>8244</v>
      </c>
      <c r="D7" s="924"/>
      <c r="E7" s="924"/>
      <c r="F7" s="924"/>
      <c r="G7" s="925"/>
    </row>
    <row r="9" spans="1:11" ht="18" customHeight="1">
      <c r="B9" s="151" t="s">
        <v>1</v>
      </c>
      <c r="C9" s="912" t="s">
        <v>625</v>
      </c>
      <c r="D9" s="918"/>
      <c r="E9" s="918"/>
      <c r="F9" s="918"/>
      <c r="G9" s="919"/>
    </row>
    <row r="10" spans="1:11" ht="18" customHeight="1">
      <c r="B10" s="151" t="s">
        <v>2</v>
      </c>
      <c r="C10" s="926" t="s">
        <v>626</v>
      </c>
      <c r="D10" s="927"/>
      <c r="E10" s="927"/>
      <c r="F10" s="927"/>
      <c r="G10" s="928"/>
    </row>
    <row r="11" spans="1:11" ht="18" customHeight="1">
      <c r="B11" s="151" t="s">
        <v>32</v>
      </c>
      <c r="C11" s="912" t="s">
        <v>627</v>
      </c>
      <c r="D11" s="913"/>
      <c r="E11" s="913"/>
      <c r="F11" s="913"/>
      <c r="G11" s="913"/>
    </row>
    <row r="12" spans="1:11" ht="18" customHeight="1">
      <c r="B12" s="151"/>
      <c r="C12" s="151"/>
      <c r="D12" s="151"/>
      <c r="E12" s="151"/>
      <c r="F12" s="151"/>
      <c r="G12" s="151"/>
    </row>
    <row r="13" spans="1:11" ht="24.6" customHeight="1">
      <c r="B13" s="914"/>
      <c r="C13" s="915"/>
      <c r="D13" s="915"/>
      <c r="E13" s="915"/>
      <c r="F13" s="915"/>
      <c r="G13" s="915"/>
      <c r="H13" s="916"/>
      <c r="I13" s="148"/>
    </row>
    <row r="14" spans="1:11" ht="18" customHeight="1">
      <c r="B14" s="152"/>
    </row>
    <row r="15" spans="1:11" ht="18" customHeight="1">
      <c r="B15" s="152"/>
    </row>
    <row r="16" spans="1:11" ht="45.2" customHeight="1">
      <c r="A16" s="149" t="s">
        <v>181</v>
      </c>
      <c r="B16" s="148"/>
      <c r="C16" s="148"/>
      <c r="D16" s="148"/>
      <c r="E16" s="148"/>
      <c r="F16" s="153" t="s">
        <v>9</v>
      </c>
      <c r="G16" s="153" t="s">
        <v>37</v>
      </c>
      <c r="H16" s="153" t="s">
        <v>29</v>
      </c>
      <c r="I16" s="153" t="s">
        <v>30</v>
      </c>
      <c r="J16" s="153" t="s">
        <v>33</v>
      </c>
      <c r="K16" s="153" t="s">
        <v>34</v>
      </c>
    </row>
    <row r="17" spans="1:11" ht="18" customHeight="1">
      <c r="A17" s="154" t="s">
        <v>184</v>
      </c>
      <c r="B17" s="150" t="s">
        <v>182</v>
      </c>
    </row>
    <row r="18" spans="1:11" ht="18" customHeight="1">
      <c r="A18" s="151" t="s">
        <v>185</v>
      </c>
      <c r="B18" s="155" t="s">
        <v>183</v>
      </c>
      <c r="F18" s="156" t="s">
        <v>73</v>
      </c>
      <c r="G18" s="156" t="s">
        <v>73</v>
      </c>
      <c r="H18" s="157">
        <f>[9]Sheet1!H18</f>
        <v>38920808.960145496</v>
      </c>
      <c r="I18" s="158">
        <v>0</v>
      </c>
      <c r="J18" s="157">
        <f>[9]Sheet1!J18</f>
        <v>33282158.047506906</v>
      </c>
      <c r="K18" s="159">
        <f>(H18+I18)-J18</f>
        <v>5638650.9126385897</v>
      </c>
    </row>
    <row r="19" spans="1:11" ht="45.2" customHeight="1">
      <c r="A19" s="149" t="s">
        <v>8</v>
      </c>
      <c r="B19" s="148"/>
      <c r="C19" s="148"/>
      <c r="D19" s="148"/>
      <c r="E19" s="148"/>
      <c r="F19" s="153" t="s">
        <v>9</v>
      </c>
      <c r="G19" s="153" t="s">
        <v>37</v>
      </c>
      <c r="H19" s="153" t="s">
        <v>29</v>
      </c>
      <c r="I19" s="153" t="s">
        <v>30</v>
      </c>
      <c r="J19" s="153" t="s">
        <v>33</v>
      </c>
      <c r="K19" s="153" t="s">
        <v>34</v>
      </c>
    </row>
    <row r="20" spans="1:11" ht="18" customHeight="1">
      <c r="A20" s="154" t="s">
        <v>74</v>
      </c>
      <c r="B20" s="150" t="s">
        <v>41</v>
      </c>
    </row>
    <row r="21" spans="1:11" ht="18" customHeight="1">
      <c r="A21" s="151" t="s">
        <v>75</v>
      </c>
      <c r="B21" s="155" t="s">
        <v>42</v>
      </c>
      <c r="F21" s="156">
        <f>[9]Sheet1!F21</f>
        <v>29747.4</v>
      </c>
      <c r="G21" s="156">
        <f>[9]Sheet1!G21</f>
        <v>40967</v>
      </c>
      <c r="H21" s="156">
        <f>[9]Sheet1!H21</f>
        <v>2374001.2844799999</v>
      </c>
      <c r="I21" s="158">
        <f t="shared" ref="I21:I34" si="0">H21*F$114</f>
        <v>884452.02146786742</v>
      </c>
      <c r="J21" s="156">
        <f>'[10]FY 15'!$G$24</f>
        <v>46027</v>
      </c>
      <c r="K21" s="159">
        <f t="shared" ref="K21:K34" si="1">(H21+I21)-J21</f>
        <v>3212426.3059478672</v>
      </c>
    </row>
    <row r="22" spans="1:11" ht="18" customHeight="1">
      <c r="A22" s="151" t="s">
        <v>76</v>
      </c>
      <c r="B22" s="147" t="s">
        <v>6</v>
      </c>
      <c r="F22" s="156">
        <f>[9]Sheet1!F22</f>
        <v>0</v>
      </c>
      <c r="G22" s="156">
        <f>[9]Sheet1!G22</f>
        <v>50</v>
      </c>
      <c r="H22" s="156">
        <f>[9]Sheet1!H22</f>
        <v>0</v>
      </c>
      <c r="I22" s="158">
        <f t="shared" si="0"/>
        <v>0</v>
      </c>
      <c r="J22" s="156">
        <f>[9]Sheet1!J22</f>
        <v>0</v>
      </c>
      <c r="K22" s="159">
        <f t="shared" si="1"/>
        <v>0</v>
      </c>
    </row>
    <row r="23" spans="1:11" ht="18" customHeight="1">
      <c r="A23" s="151" t="s">
        <v>77</v>
      </c>
      <c r="B23" s="147" t="s">
        <v>43</v>
      </c>
      <c r="F23" s="156">
        <f>[9]Sheet1!F23</f>
        <v>0</v>
      </c>
      <c r="G23" s="156">
        <f>[9]Sheet1!G23</f>
        <v>0</v>
      </c>
      <c r="H23" s="156">
        <f>[9]Sheet1!H23</f>
        <v>0</v>
      </c>
      <c r="I23" s="158">
        <f t="shared" si="0"/>
        <v>0</v>
      </c>
      <c r="J23" s="156">
        <f>[9]Sheet1!J23</f>
        <v>0</v>
      </c>
      <c r="K23" s="159">
        <f t="shared" si="1"/>
        <v>0</v>
      </c>
    </row>
    <row r="24" spans="1:11" ht="18" customHeight="1">
      <c r="A24" s="151" t="s">
        <v>78</v>
      </c>
      <c r="B24" s="147" t="s">
        <v>44</v>
      </c>
      <c r="F24" s="156">
        <f>[9]Sheet1!F24</f>
        <v>0</v>
      </c>
      <c r="G24" s="156">
        <f>[9]Sheet1!G24</f>
        <v>0</v>
      </c>
      <c r="H24" s="156">
        <f>[9]Sheet1!H24</f>
        <v>0</v>
      </c>
      <c r="I24" s="158">
        <f t="shared" si="0"/>
        <v>0</v>
      </c>
      <c r="J24" s="156">
        <f>[9]Sheet1!J24</f>
        <v>0</v>
      </c>
      <c r="K24" s="159">
        <f t="shared" si="1"/>
        <v>0</v>
      </c>
    </row>
    <row r="25" spans="1:11" ht="18" customHeight="1">
      <c r="A25" s="151" t="s">
        <v>79</v>
      </c>
      <c r="B25" s="147" t="s">
        <v>5</v>
      </c>
      <c r="F25" s="156">
        <f>[9]Sheet1!F25</f>
        <v>0</v>
      </c>
      <c r="G25" s="156">
        <f>[9]Sheet1!G25</f>
        <v>0</v>
      </c>
      <c r="H25" s="156">
        <f>[9]Sheet1!H25</f>
        <v>0</v>
      </c>
      <c r="I25" s="158">
        <f t="shared" si="0"/>
        <v>0</v>
      </c>
      <c r="J25" s="156">
        <f>[9]Sheet1!J25</f>
        <v>0</v>
      </c>
      <c r="K25" s="159">
        <f t="shared" si="1"/>
        <v>0</v>
      </c>
    </row>
    <row r="26" spans="1:11" ht="18" customHeight="1">
      <c r="A26" s="151" t="s">
        <v>80</v>
      </c>
      <c r="B26" s="147" t="s">
        <v>45</v>
      </c>
      <c r="F26" s="156">
        <f>[9]Sheet1!F26</f>
        <v>0</v>
      </c>
      <c r="G26" s="156">
        <f>[9]Sheet1!G26</f>
        <v>0</v>
      </c>
      <c r="H26" s="156">
        <f>[9]Sheet1!H26</f>
        <v>0</v>
      </c>
      <c r="I26" s="158">
        <f t="shared" si="0"/>
        <v>0</v>
      </c>
      <c r="J26" s="156">
        <f>[9]Sheet1!J26</f>
        <v>0</v>
      </c>
      <c r="K26" s="159">
        <f t="shared" si="1"/>
        <v>0</v>
      </c>
    </row>
    <row r="27" spans="1:11" ht="18" customHeight="1">
      <c r="A27" s="151" t="s">
        <v>81</v>
      </c>
      <c r="B27" s="147" t="s">
        <v>46</v>
      </c>
      <c r="F27" s="156">
        <f>[9]Sheet1!F27</f>
        <v>0</v>
      </c>
      <c r="G27" s="156">
        <f>[9]Sheet1!G27</f>
        <v>0</v>
      </c>
      <c r="H27" s="156">
        <f>[9]Sheet1!H27</f>
        <v>0</v>
      </c>
      <c r="I27" s="158">
        <f t="shared" si="0"/>
        <v>0</v>
      </c>
      <c r="J27" s="156">
        <f>[9]Sheet1!J27</f>
        <v>0</v>
      </c>
      <c r="K27" s="159">
        <f t="shared" si="1"/>
        <v>0</v>
      </c>
    </row>
    <row r="28" spans="1:11" ht="18" customHeight="1">
      <c r="A28" s="151" t="s">
        <v>82</v>
      </c>
      <c r="B28" s="147" t="s">
        <v>47</v>
      </c>
      <c r="F28" s="156">
        <f>[9]Sheet1!F28</f>
        <v>4368</v>
      </c>
      <c r="G28" s="156">
        <f>[9]Sheet1!G28</f>
        <v>536</v>
      </c>
      <c r="H28" s="156">
        <f>[9]Sheet1!H28</f>
        <v>220934.48</v>
      </c>
      <c r="I28" s="158">
        <f t="shared" si="0"/>
        <v>82310.801062078521</v>
      </c>
      <c r="J28" s="156">
        <f>[9]Sheet1!J28</f>
        <v>171944</v>
      </c>
      <c r="K28" s="159">
        <f t="shared" si="1"/>
        <v>131301.28106207855</v>
      </c>
    </row>
    <row r="29" spans="1:11" ht="18" customHeight="1">
      <c r="A29" s="151" t="s">
        <v>83</v>
      </c>
      <c r="B29" s="147" t="s">
        <v>48</v>
      </c>
      <c r="F29" s="156">
        <f>[9]Sheet1!F29</f>
        <v>0</v>
      </c>
      <c r="G29" s="156">
        <f>[9]Sheet1!G29</f>
        <v>0</v>
      </c>
      <c r="H29" s="156">
        <f>[9]Sheet1!H29</f>
        <v>0</v>
      </c>
      <c r="I29" s="158">
        <f t="shared" si="0"/>
        <v>0</v>
      </c>
      <c r="J29" s="156">
        <f>[9]Sheet1!J29</f>
        <v>0</v>
      </c>
      <c r="K29" s="159">
        <f t="shared" si="1"/>
        <v>0</v>
      </c>
    </row>
    <row r="30" spans="1:11" ht="18" customHeight="1">
      <c r="A30" s="151" t="s">
        <v>84</v>
      </c>
      <c r="B30" s="898"/>
      <c r="C30" s="899"/>
      <c r="D30" s="900"/>
      <c r="F30" s="156">
        <f>[9]Sheet1!F30</f>
        <v>0</v>
      </c>
      <c r="G30" s="156">
        <f>[9]Sheet1!G30</f>
        <v>0</v>
      </c>
      <c r="H30" s="156">
        <f>[9]Sheet1!H30</f>
        <v>0</v>
      </c>
      <c r="I30" s="158">
        <f t="shared" si="0"/>
        <v>0</v>
      </c>
      <c r="J30" s="156">
        <f>[9]Sheet1!J30</f>
        <v>0</v>
      </c>
      <c r="K30" s="159">
        <f t="shared" si="1"/>
        <v>0</v>
      </c>
    </row>
    <row r="31" spans="1:11" ht="18" customHeight="1">
      <c r="A31" s="151" t="s">
        <v>133</v>
      </c>
      <c r="B31" s="898"/>
      <c r="C31" s="899"/>
      <c r="D31" s="900"/>
      <c r="F31" s="156">
        <f>[9]Sheet1!F31</f>
        <v>0</v>
      </c>
      <c r="G31" s="156">
        <f>[9]Sheet1!G31</f>
        <v>0</v>
      </c>
      <c r="H31" s="156">
        <f>[9]Sheet1!H31</f>
        <v>0</v>
      </c>
      <c r="I31" s="158">
        <f t="shared" si="0"/>
        <v>0</v>
      </c>
      <c r="J31" s="156">
        <f>[9]Sheet1!J31</f>
        <v>0</v>
      </c>
      <c r="K31" s="159">
        <f t="shared" si="1"/>
        <v>0</v>
      </c>
    </row>
    <row r="32" spans="1:11" ht="18" customHeight="1">
      <c r="A32" s="151" t="s">
        <v>134</v>
      </c>
      <c r="B32" s="393"/>
      <c r="C32" s="394"/>
      <c r="D32" s="395"/>
      <c r="F32" s="156">
        <f>[9]Sheet1!F32</f>
        <v>0</v>
      </c>
      <c r="G32" s="156">
        <f>[9]Sheet1!G32</f>
        <v>0</v>
      </c>
      <c r="H32" s="156">
        <f>[9]Sheet1!H32</f>
        <v>0</v>
      </c>
      <c r="I32" s="158">
        <f t="shared" si="0"/>
        <v>0</v>
      </c>
      <c r="J32" s="156">
        <f>[9]Sheet1!J32</f>
        <v>0</v>
      </c>
      <c r="K32" s="159">
        <f t="shared" si="1"/>
        <v>0</v>
      </c>
    </row>
    <row r="33" spans="1:11" ht="18" customHeight="1">
      <c r="A33" s="151" t="s">
        <v>135</v>
      </c>
      <c r="B33" s="393"/>
      <c r="C33" s="394"/>
      <c r="D33" s="395"/>
      <c r="F33" s="156">
        <f>[9]Sheet1!F33</f>
        <v>0</v>
      </c>
      <c r="G33" s="156">
        <f>[9]Sheet1!G33</f>
        <v>0</v>
      </c>
      <c r="H33" s="156">
        <f>[9]Sheet1!H33</f>
        <v>0</v>
      </c>
      <c r="I33" s="158">
        <f t="shared" si="0"/>
        <v>0</v>
      </c>
      <c r="J33" s="156">
        <f>[9]Sheet1!J33</f>
        <v>0</v>
      </c>
      <c r="K33" s="159">
        <f t="shared" si="1"/>
        <v>0</v>
      </c>
    </row>
    <row r="34" spans="1:11" ht="18" customHeight="1">
      <c r="A34" s="151" t="s">
        <v>136</v>
      </c>
      <c r="B34" s="898"/>
      <c r="C34" s="899"/>
      <c r="D34" s="900"/>
      <c r="F34" s="156">
        <f>[9]Sheet1!F34</f>
        <v>0</v>
      </c>
      <c r="G34" s="156">
        <f>[9]Sheet1!G34</f>
        <v>0</v>
      </c>
      <c r="H34" s="156">
        <f>[9]Sheet1!H34</f>
        <v>0</v>
      </c>
      <c r="I34" s="158">
        <f t="shared" si="0"/>
        <v>0</v>
      </c>
      <c r="J34" s="156">
        <f>[9]Sheet1!J34</f>
        <v>0</v>
      </c>
      <c r="K34" s="159">
        <f t="shared" si="1"/>
        <v>0</v>
      </c>
    </row>
    <row r="35" spans="1:11" ht="18" customHeight="1">
      <c r="K35" s="161"/>
    </row>
    <row r="36" spans="1:11" ht="18" customHeight="1">
      <c r="A36" s="154" t="s">
        <v>137</v>
      </c>
      <c r="B36" s="150" t="s">
        <v>138</v>
      </c>
      <c r="E36" s="150" t="s">
        <v>7</v>
      </c>
      <c r="F36" s="162">
        <f t="shared" ref="F36:K36" si="2">SUM(F21:F34)</f>
        <v>34115.4</v>
      </c>
      <c r="G36" s="162">
        <f t="shared" si="2"/>
        <v>41553</v>
      </c>
      <c r="H36" s="162">
        <f t="shared" si="2"/>
        <v>2594935.7644799999</v>
      </c>
      <c r="I36" s="159">
        <f t="shared" si="2"/>
        <v>966762.82252994599</v>
      </c>
      <c r="J36" s="159">
        <f t="shared" si="2"/>
        <v>217971</v>
      </c>
      <c r="K36" s="159">
        <f t="shared" si="2"/>
        <v>3343727.5870099459</v>
      </c>
    </row>
    <row r="37" spans="1:11" ht="18" customHeight="1" thickBot="1">
      <c r="B37" s="150"/>
      <c r="F37" s="163"/>
      <c r="G37" s="163"/>
      <c r="H37" s="164"/>
      <c r="I37" s="164"/>
      <c r="J37" s="164"/>
      <c r="K37" s="165"/>
    </row>
    <row r="38" spans="1:11" ht="42.75" customHeight="1">
      <c r="F38" s="153" t="s">
        <v>9</v>
      </c>
      <c r="G38" s="153" t="s">
        <v>37</v>
      </c>
      <c r="H38" s="153" t="s">
        <v>29</v>
      </c>
      <c r="I38" s="153" t="s">
        <v>30</v>
      </c>
      <c r="J38" s="153" t="s">
        <v>33</v>
      </c>
      <c r="K38" s="153" t="s">
        <v>34</v>
      </c>
    </row>
    <row r="39" spans="1:11" ht="18.75" customHeight="1">
      <c r="A39" s="154" t="s">
        <v>86</v>
      </c>
      <c r="B39" s="150" t="s">
        <v>49</v>
      </c>
    </row>
    <row r="40" spans="1:11" ht="18" customHeight="1">
      <c r="A40" s="151" t="s">
        <v>87</v>
      </c>
      <c r="B40" s="147" t="s">
        <v>31</v>
      </c>
      <c r="F40" s="156">
        <f>[9]Sheet1!F40</f>
        <v>2319299.1011093548</v>
      </c>
      <c r="G40" s="156">
        <f>[9]Sheet1!G40</f>
        <v>0</v>
      </c>
      <c r="H40" s="156">
        <f>[9]Sheet1!H40</f>
        <v>92841103.560044304</v>
      </c>
      <c r="I40" s="158">
        <f t="shared" ref="I40:I47" si="3">H40*F$114</f>
        <v>34588650.922728926</v>
      </c>
      <c r="J40" s="157"/>
      <c r="K40" s="159">
        <f t="shared" ref="K40:K47" si="4">(H40+I40)-J40</f>
        <v>127429754.48277323</v>
      </c>
    </row>
    <row r="41" spans="1:11" ht="18" customHeight="1">
      <c r="A41" s="151" t="s">
        <v>88</v>
      </c>
      <c r="B41" s="904" t="s">
        <v>50</v>
      </c>
      <c r="C41" s="907"/>
      <c r="F41" s="156">
        <f>[9]Sheet1!F41</f>
        <v>73392</v>
      </c>
      <c r="G41" s="156">
        <f>[9]Sheet1!G41</f>
        <v>999</v>
      </c>
      <c r="H41" s="156">
        <f>[9]Sheet1!H41</f>
        <v>2385240</v>
      </c>
      <c r="I41" s="158">
        <f t="shared" si="3"/>
        <v>888639.08940475085</v>
      </c>
      <c r="J41" s="157"/>
      <c r="K41" s="159">
        <f t="shared" si="4"/>
        <v>3273879.0894047506</v>
      </c>
    </row>
    <row r="42" spans="1:11" ht="18" customHeight="1">
      <c r="A42" s="151" t="s">
        <v>89</v>
      </c>
      <c r="B42" s="155" t="s">
        <v>11</v>
      </c>
      <c r="F42" s="156">
        <f>[9]Sheet1!F42</f>
        <v>0</v>
      </c>
      <c r="G42" s="156">
        <f>[9]Sheet1!G42</f>
        <v>0</v>
      </c>
      <c r="H42" s="156">
        <f>[9]Sheet1!H42</f>
        <v>0</v>
      </c>
      <c r="I42" s="158">
        <f t="shared" si="3"/>
        <v>0</v>
      </c>
      <c r="J42" s="157"/>
      <c r="K42" s="159">
        <f t="shared" si="4"/>
        <v>0</v>
      </c>
    </row>
    <row r="43" spans="1:11" ht="18" customHeight="1">
      <c r="A43" s="151" t="s">
        <v>90</v>
      </c>
      <c r="B43" s="166" t="s">
        <v>10</v>
      </c>
      <c r="C43" s="167"/>
      <c r="D43" s="167"/>
      <c r="F43" s="156">
        <f>[9]Sheet1!F43</f>
        <v>0</v>
      </c>
      <c r="G43" s="156">
        <f>[9]Sheet1!G43</f>
        <v>0</v>
      </c>
      <c r="H43" s="156">
        <f>[9]Sheet1!H43</f>
        <v>0</v>
      </c>
      <c r="I43" s="158">
        <f t="shared" si="3"/>
        <v>0</v>
      </c>
      <c r="J43" s="157"/>
      <c r="K43" s="159">
        <f t="shared" si="4"/>
        <v>0</v>
      </c>
    </row>
    <row r="44" spans="1:11" ht="18" customHeight="1">
      <c r="A44" s="151" t="s">
        <v>91</v>
      </c>
      <c r="B44" s="898"/>
      <c r="C44" s="899"/>
      <c r="D44" s="900"/>
      <c r="F44" s="156">
        <f>[9]Sheet1!F44</f>
        <v>0</v>
      </c>
      <c r="G44" s="156">
        <f>[9]Sheet1!G44</f>
        <v>0</v>
      </c>
      <c r="H44" s="156">
        <f>[9]Sheet1!H44</f>
        <v>0</v>
      </c>
      <c r="I44" s="158">
        <f t="shared" si="3"/>
        <v>0</v>
      </c>
      <c r="J44" s="168"/>
      <c r="K44" s="170">
        <f t="shared" si="4"/>
        <v>0</v>
      </c>
    </row>
    <row r="45" spans="1:11" ht="18" customHeight="1">
      <c r="A45" s="151" t="s">
        <v>139</v>
      </c>
      <c r="B45" s="898"/>
      <c r="C45" s="899"/>
      <c r="D45" s="900"/>
      <c r="F45" s="156">
        <f>[9]Sheet1!F45</f>
        <v>0</v>
      </c>
      <c r="G45" s="156">
        <f>[9]Sheet1!G45</f>
        <v>0</v>
      </c>
      <c r="H45" s="156">
        <f>[9]Sheet1!H45</f>
        <v>0</v>
      </c>
      <c r="I45" s="158">
        <f t="shared" si="3"/>
        <v>0</v>
      </c>
      <c r="J45" s="157"/>
      <c r="K45" s="159">
        <f t="shared" si="4"/>
        <v>0</v>
      </c>
    </row>
    <row r="46" spans="1:11" ht="18" customHeight="1">
      <c r="A46" s="151" t="s">
        <v>140</v>
      </c>
      <c r="B46" s="898"/>
      <c r="C46" s="899"/>
      <c r="D46" s="900"/>
      <c r="F46" s="156">
        <f>[9]Sheet1!F46</f>
        <v>0</v>
      </c>
      <c r="G46" s="156">
        <f>[9]Sheet1!G46</f>
        <v>0</v>
      </c>
      <c r="H46" s="156">
        <f>[9]Sheet1!H46</f>
        <v>0</v>
      </c>
      <c r="I46" s="158">
        <f t="shared" si="3"/>
        <v>0</v>
      </c>
      <c r="J46" s="157"/>
      <c r="K46" s="159">
        <f t="shared" si="4"/>
        <v>0</v>
      </c>
    </row>
    <row r="47" spans="1:11" ht="18" customHeight="1">
      <c r="A47" s="151" t="s">
        <v>141</v>
      </c>
      <c r="B47" s="898"/>
      <c r="C47" s="899"/>
      <c r="D47" s="900"/>
      <c r="F47" s="156">
        <f>[9]Sheet1!F47</f>
        <v>0</v>
      </c>
      <c r="G47" s="156">
        <f>[9]Sheet1!G47</f>
        <v>0</v>
      </c>
      <c r="H47" s="156">
        <f>[9]Sheet1!H47</f>
        <v>0</v>
      </c>
      <c r="I47" s="158">
        <f t="shared" si="3"/>
        <v>0</v>
      </c>
      <c r="J47" s="157"/>
      <c r="K47" s="159">
        <f t="shared" si="4"/>
        <v>0</v>
      </c>
    </row>
    <row r="49" spans="1:11" ht="18" customHeight="1">
      <c r="A49" s="154" t="s">
        <v>142</v>
      </c>
      <c r="B49" s="150" t="s">
        <v>143</v>
      </c>
      <c r="E49" s="150" t="s">
        <v>7</v>
      </c>
      <c r="F49" s="171">
        <f t="shared" ref="F49:K49" si="5">SUM(F40:F47)</f>
        <v>2392691.1011093548</v>
      </c>
      <c r="G49" s="171">
        <f t="shared" si="5"/>
        <v>999</v>
      </c>
      <c r="H49" s="159">
        <f t="shared" si="5"/>
        <v>95226343.560044304</v>
      </c>
      <c r="I49" s="159">
        <f t="shared" si="5"/>
        <v>35477290.01213368</v>
      </c>
      <c r="J49" s="159">
        <f t="shared" si="5"/>
        <v>0</v>
      </c>
      <c r="K49" s="159">
        <f t="shared" si="5"/>
        <v>130703633.57217798</v>
      </c>
    </row>
    <row r="50" spans="1:11" ht="18" customHeight="1" thickBot="1">
      <c r="G50" s="172"/>
      <c r="H50" s="172"/>
      <c r="I50" s="172"/>
      <c r="J50" s="172"/>
      <c r="K50" s="172"/>
    </row>
    <row r="51" spans="1:11" ht="42.75" customHeight="1">
      <c r="F51" s="153" t="s">
        <v>9</v>
      </c>
      <c r="G51" s="153" t="s">
        <v>37</v>
      </c>
      <c r="H51" s="153" t="s">
        <v>29</v>
      </c>
      <c r="I51" s="153" t="s">
        <v>30</v>
      </c>
      <c r="J51" s="153" t="s">
        <v>33</v>
      </c>
      <c r="K51" s="153" t="s">
        <v>34</v>
      </c>
    </row>
    <row r="52" spans="1:11" ht="18" customHeight="1">
      <c r="A52" s="154" t="s">
        <v>92</v>
      </c>
      <c r="B52" s="905" t="s">
        <v>38</v>
      </c>
      <c r="C52" s="906"/>
    </row>
    <row r="53" spans="1:11" ht="18" customHeight="1">
      <c r="A53" s="151" t="s">
        <v>51</v>
      </c>
      <c r="B53" s="908" t="s">
        <v>628</v>
      </c>
      <c r="C53" s="909"/>
      <c r="D53" s="903"/>
      <c r="F53" s="156">
        <f>[9]Sheet1!F53</f>
        <v>33254.690004896373</v>
      </c>
      <c r="G53" s="156">
        <f>[9]Sheet1!G53</f>
        <v>14720</v>
      </c>
      <c r="H53" s="156">
        <f>[9]Sheet1!H53</f>
        <v>5035253</v>
      </c>
      <c r="I53" s="158">
        <f t="shared" ref="I53:I62" si="6">H53*F$114</f>
        <v>1875921.3499868107</v>
      </c>
      <c r="J53" s="156">
        <f>[9]Sheet1!J53</f>
        <v>3294321</v>
      </c>
      <c r="K53" s="159">
        <f t="shared" ref="K53:K62" si="7">(H53+I53)-J53</f>
        <v>3616853.3499868102</v>
      </c>
    </row>
    <row r="54" spans="1:11" ht="18" customHeight="1">
      <c r="A54" s="151" t="s">
        <v>93</v>
      </c>
      <c r="B54" s="396" t="s">
        <v>629</v>
      </c>
      <c r="C54" s="397"/>
      <c r="D54" s="392"/>
      <c r="F54" s="156">
        <f>[9]Sheet1!F54</f>
        <v>247095.30999064445</v>
      </c>
      <c r="G54" s="156">
        <f>[9]Sheet1!G54</f>
        <v>24739</v>
      </c>
      <c r="H54" s="156">
        <f>[9]Sheet1!H54</f>
        <v>12994776.300000001</v>
      </c>
      <c r="I54" s="158">
        <f t="shared" si="6"/>
        <v>4841301.5789817534</v>
      </c>
      <c r="J54" s="156">
        <f>[9]Sheet1!J54</f>
        <v>7827146</v>
      </c>
      <c r="K54" s="159">
        <f t="shared" si="7"/>
        <v>10008931.878981754</v>
      </c>
    </row>
    <row r="55" spans="1:11" ht="18" customHeight="1">
      <c r="A55" s="151" t="s">
        <v>94</v>
      </c>
      <c r="B55" s="901"/>
      <c r="C55" s="902"/>
      <c r="D55" s="903"/>
      <c r="F55" s="156">
        <f>[9]Sheet1!F55</f>
        <v>0</v>
      </c>
      <c r="G55" s="156">
        <f>[9]Sheet1!G55</f>
        <v>0</v>
      </c>
      <c r="H55" s="156">
        <f>[9]Sheet1!H55</f>
        <v>0</v>
      </c>
      <c r="I55" s="158">
        <f t="shared" si="6"/>
        <v>0</v>
      </c>
      <c r="J55" s="156">
        <f>[9]Sheet1!J55</f>
        <v>0</v>
      </c>
      <c r="K55" s="159">
        <f t="shared" si="7"/>
        <v>0</v>
      </c>
    </row>
    <row r="56" spans="1:11" ht="18" customHeight="1">
      <c r="A56" s="151" t="s">
        <v>95</v>
      </c>
      <c r="B56" s="901"/>
      <c r="C56" s="902"/>
      <c r="D56" s="903"/>
      <c r="F56" s="156">
        <f>[9]Sheet1!F56</f>
        <v>0</v>
      </c>
      <c r="G56" s="156">
        <f>[9]Sheet1!G56</f>
        <v>0</v>
      </c>
      <c r="H56" s="156">
        <f>[9]Sheet1!H56</f>
        <v>0</v>
      </c>
      <c r="I56" s="158">
        <f t="shared" si="6"/>
        <v>0</v>
      </c>
      <c r="J56" s="156">
        <f>[9]Sheet1!J56</f>
        <v>0</v>
      </c>
      <c r="K56" s="159">
        <f t="shared" si="7"/>
        <v>0</v>
      </c>
    </row>
    <row r="57" spans="1:11" ht="18" customHeight="1">
      <c r="A57" s="151" t="s">
        <v>96</v>
      </c>
      <c r="B57" s="901"/>
      <c r="C57" s="902"/>
      <c r="D57" s="903"/>
      <c r="F57" s="156">
        <f>[9]Sheet1!F57</f>
        <v>0</v>
      </c>
      <c r="G57" s="156">
        <f>[9]Sheet1!G57</f>
        <v>0</v>
      </c>
      <c r="H57" s="156">
        <f>[9]Sheet1!H57</f>
        <v>0</v>
      </c>
      <c r="I57" s="158">
        <f t="shared" si="6"/>
        <v>0</v>
      </c>
      <c r="J57" s="156">
        <f>[9]Sheet1!J57</f>
        <v>0</v>
      </c>
      <c r="K57" s="159">
        <f t="shared" si="7"/>
        <v>0</v>
      </c>
    </row>
    <row r="58" spans="1:11" ht="18" customHeight="1">
      <c r="A58" s="151" t="s">
        <v>97</v>
      </c>
      <c r="B58" s="396"/>
      <c r="C58" s="397"/>
      <c r="D58" s="392"/>
      <c r="F58" s="156">
        <f>[9]Sheet1!F58</f>
        <v>0</v>
      </c>
      <c r="G58" s="156">
        <f>[9]Sheet1!G58</f>
        <v>0</v>
      </c>
      <c r="H58" s="156">
        <f>[9]Sheet1!H58</f>
        <v>0</v>
      </c>
      <c r="I58" s="158">
        <f t="shared" si="6"/>
        <v>0</v>
      </c>
      <c r="J58" s="156">
        <f>[9]Sheet1!J58</f>
        <v>0</v>
      </c>
      <c r="K58" s="159">
        <f t="shared" si="7"/>
        <v>0</v>
      </c>
    </row>
    <row r="59" spans="1:11" ht="18" customHeight="1">
      <c r="A59" s="151" t="s">
        <v>98</v>
      </c>
      <c r="B59" s="901"/>
      <c r="C59" s="902"/>
      <c r="D59" s="903"/>
      <c r="F59" s="156">
        <f>[9]Sheet1!F59</f>
        <v>0</v>
      </c>
      <c r="G59" s="156">
        <f>[9]Sheet1!G59</f>
        <v>0</v>
      </c>
      <c r="H59" s="156">
        <f>[9]Sheet1!H59</f>
        <v>0</v>
      </c>
      <c r="I59" s="158">
        <f t="shared" si="6"/>
        <v>0</v>
      </c>
      <c r="J59" s="156">
        <f>[9]Sheet1!J59</f>
        <v>0</v>
      </c>
      <c r="K59" s="159">
        <f t="shared" si="7"/>
        <v>0</v>
      </c>
    </row>
    <row r="60" spans="1:11" ht="18" customHeight="1">
      <c r="A60" s="151" t="s">
        <v>99</v>
      </c>
      <c r="B60" s="396"/>
      <c r="C60" s="397"/>
      <c r="D60" s="392"/>
      <c r="F60" s="156">
        <f>[9]Sheet1!F60</f>
        <v>0</v>
      </c>
      <c r="G60" s="156">
        <f>[9]Sheet1!G60</f>
        <v>0</v>
      </c>
      <c r="H60" s="156">
        <f>[9]Sheet1!H60</f>
        <v>0</v>
      </c>
      <c r="I60" s="158">
        <f t="shared" si="6"/>
        <v>0</v>
      </c>
      <c r="J60" s="156">
        <f>[9]Sheet1!J60</f>
        <v>0</v>
      </c>
      <c r="K60" s="159">
        <f t="shared" si="7"/>
        <v>0</v>
      </c>
    </row>
    <row r="61" spans="1:11" ht="18" customHeight="1">
      <c r="A61" s="151" t="s">
        <v>100</v>
      </c>
      <c r="B61" s="396"/>
      <c r="C61" s="397"/>
      <c r="D61" s="392"/>
      <c r="F61" s="156">
        <f>[9]Sheet1!F61</f>
        <v>0</v>
      </c>
      <c r="G61" s="156">
        <f>[9]Sheet1!G61</f>
        <v>0</v>
      </c>
      <c r="H61" s="156">
        <f>[9]Sheet1!H61</f>
        <v>0</v>
      </c>
      <c r="I61" s="158">
        <f t="shared" si="6"/>
        <v>0</v>
      </c>
      <c r="J61" s="156">
        <f>[9]Sheet1!J61</f>
        <v>0</v>
      </c>
      <c r="K61" s="159">
        <f t="shared" si="7"/>
        <v>0</v>
      </c>
    </row>
    <row r="62" spans="1:11" ht="18" customHeight="1">
      <c r="A62" s="151" t="s">
        <v>101</v>
      </c>
      <c r="B62" s="901"/>
      <c r="C62" s="902"/>
      <c r="D62" s="903"/>
      <c r="F62" s="156">
        <f>[9]Sheet1!F62</f>
        <v>0</v>
      </c>
      <c r="G62" s="156">
        <f>[9]Sheet1!G62</f>
        <v>0</v>
      </c>
      <c r="H62" s="156">
        <f>[9]Sheet1!H62</f>
        <v>0</v>
      </c>
      <c r="I62" s="158">
        <f t="shared" si="6"/>
        <v>0</v>
      </c>
      <c r="J62" s="156">
        <f>[9]Sheet1!J62</f>
        <v>0</v>
      </c>
      <c r="K62" s="159">
        <f t="shared" si="7"/>
        <v>0</v>
      </c>
    </row>
    <row r="63" spans="1:11" ht="18" customHeight="1">
      <c r="A63" s="151"/>
      <c r="I63" s="173"/>
    </row>
    <row r="64" spans="1:11" ht="18" customHeight="1">
      <c r="A64" s="151" t="s">
        <v>144</v>
      </c>
      <c r="B64" s="150" t="s">
        <v>145</v>
      </c>
      <c r="E64" s="150" t="s">
        <v>7</v>
      </c>
      <c r="F64" s="162">
        <f t="shared" ref="F64:K64" si="8">SUM(F53:F62)</f>
        <v>280349.99999554083</v>
      </c>
      <c r="G64" s="162">
        <f t="shared" si="8"/>
        <v>39459</v>
      </c>
      <c r="H64" s="159">
        <f t="shared" si="8"/>
        <v>18030029.300000001</v>
      </c>
      <c r="I64" s="159">
        <f t="shared" si="8"/>
        <v>6717222.9289685637</v>
      </c>
      <c r="J64" s="159">
        <f t="shared" si="8"/>
        <v>11121467</v>
      </c>
      <c r="K64" s="159">
        <f t="shared" si="8"/>
        <v>13625785.228968564</v>
      </c>
    </row>
    <row r="65" spans="1:11" ht="18" customHeight="1">
      <c r="F65" s="174"/>
      <c r="G65" s="174"/>
      <c r="H65" s="174"/>
      <c r="I65" s="174"/>
      <c r="J65" s="174"/>
      <c r="K65" s="174"/>
    </row>
    <row r="66" spans="1:11" ht="42.75" customHeight="1">
      <c r="F66" s="175" t="s">
        <v>9</v>
      </c>
      <c r="G66" s="175" t="s">
        <v>37</v>
      </c>
      <c r="H66" s="175" t="s">
        <v>29</v>
      </c>
      <c r="I66" s="175" t="s">
        <v>30</v>
      </c>
      <c r="J66" s="175" t="s">
        <v>33</v>
      </c>
      <c r="K66" s="175" t="s">
        <v>34</v>
      </c>
    </row>
    <row r="67" spans="1:11" ht="18" customHeight="1">
      <c r="A67" s="154" t="s">
        <v>102</v>
      </c>
      <c r="B67" s="150" t="s">
        <v>12</v>
      </c>
      <c r="F67" s="176"/>
      <c r="G67" s="176"/>
      <c r="H67" s="176"/>
      <c r="I67" s="177"/>
      <c r="J67" s="176"/>
      <c r="K67" s="178"/>
    </row>
    <row r="68" spans="1:11" ht="18" customHeight="1">
      <c r="A68" s="151" t="s">
        <v>103</v>
      </c>
      <c r="B68" s="147" t="s">
        <v>52</v>
      </c>
      <c r="F68" s="179"/>
      <c r="G68" s="179"/>
      <c r="H68" s="179"/>
      <c r="I68" s="158">
        <v>0</v>
      </c>
      <c r="J68" s="179"/>
      <c r="K68" s="159">
        <f>(H68+I68)-J68</f>
        <v>0</v>
      </c>
    </row>
    <row r="69" spans="1:11" ht="18" customHeight="1">
      <c r="A69" s="151" t="s">
        <v>104</v>
      </c>
      <c r="B69" s="155" t="s">
        <v>53</v>
      </c>
      <c r="F69" s="179"/>
      <c r="G69" s="179"/>
      <c r="H69" s="179"/>
      <c r="I69" s="158">
        <v>0</v>
      </c>
      <c r="J69" s="179"/>
      <c r="K69" s="159">
        <f>(H69+I69)-J69</f>
        <v>0</v>
      </c>
    </row>
    <row r="70" spans="1:11" ht="18" customHeight="1">
      <c r="A70" s="151" t="s">
        <v>178</v>
      </c>
      <c r="B70" s="396"/>
      <c r="C70" s="397"/>
      <c r="D70" s="392"/>
      <c r="E70" s="150"/>
      <c r="F70" s="180"/>
      <c r="G70" s="180"/>
      <c r="H70" s="181"/>
      <c r="I70" s="158">
        <v>0</v>
      </c>
      <c r="J70" s="181"/>
      <c r="K70" s="159">
        <f>(H70+I70)-J70</f>
        <v>0</v>
      </c>
    </row>
    <row r="71" spans="1:11" ht="18" customHeight="1">
      <c r="A71" s="151" t="s">
        <v>179</v>
      </c>
      <c r="B71" s="396"/>
      <c r="C71" s="397"/>
      <c r="D71" s="392"/>
      <c r="E71" s="150"/>
      <c r="F71" s="180"/>
      <c r="G71" s="180"/>
      <c r="H71" s="181"/>
      <c r="I71" s="158">
        <v>0</v>
      </c>
      <c r="J71" s="181"/>
      <c r="K71" s="159">
        <f>(H71+I71)-J71</f>
        <v>0</v>
      </c>
    </row>
    <row r="72" spans="1:11" ht="18" customHeight="1">
      <c r="A72" s="151" t="s">
        <v>180</v>
      </c>
      <c r="B72" s="390"/>
      <c r="C72" s="391"/>
      <c r="D72" s="182"/>
      <c r="E72" s="150"/>
      <c r="F72" s="156"/>
      <c r="G72" s="156"/>
      <c r="H72" s="157"/>
      <c r="I72" s="158">
        <v>0</v>
      </c>
      <c r="J72" s="157"/>
      <c r="K72" s="159">
        <f>(H72+I72)-J72</f>
        <v>0</v>
      </c>
    </row>
    <row r="73" spans="1:11" ht="18" customHeight="1">
      <c r="A73" s="151"/>
      <c r="B73" s="155"/>
      <c r="E73" s="150"/>
      <c r="F73" s="183"/>
      <c r="G73" s="183"/>
      <c r="H73" s="184"/>
      <c r="I73" s="177"/>
      <c r="J73" s="184"/>
      <c r="K73" s="178"/>
    </row>
    <row r="74" spans="1:11" ht="18" customHeight="1">
      <c r="A74" s="154" t="s">
        <v>146</v>
      </c>
      <c r="B74" s="150" t="s">
        <v>147</v>
      </c>
      <c r="E74" s="150" t="s">
        <v>7</v>
      </c>
      <c r="F74" s="185">
        <f t="shared" ref="F74:K74" si="9">SUM(F68:F72)</f>
        <v>0</v>
      </c>
      <c r="G74" s="185">
        <f t="shared" si="9"/>
        <v>0</v>
      </c>
      <c r="H74" s="185">
        <f t="shared" si="9"/>
        <v>0</v>
      </c>
      <c r="I74" s="186">
        <f t="shared" si="9"/>
        <v>0</v>
      </c>
      <c r="J74" s="185">
        <f t="shared" si="9"/>
        <v>0</v>
      </c>
      <c r="K74" s="187">
        <f t="shared" si="9"/>
        <v>0</v>
      </c>
    </row>
    <row r="75" spans="1:11" ht="42.75" customHeight="1">
      <c r="F75" s="153" t="s">
        <v>9</v>
      </c>
      <c r="G75" s="153" t="s">
        <v>37</v>
      </c>
      <c r="H75" s="153" t="s">
        <v>29</v>
      </c>
      <c r="I75" s="153" t="s">
        <v>30</v>
      </c>
      <c r="J75" s="153" t="s">
        <v>33</v>
      </c>
      <c r="K75" s="153" t="s">
        <v>34</v>
      </c>
    </row>
    <row r="76" spans="1:11" ht="18" customHeight="1">
      <c r="A76" s="154" t="s">
        <v>105</v>
      </c>
      <c r="B76" s="150" t="s">
        <v>106</v>
      </c>
    </row>
    <row r="77" spans="1:11" ht="18" customHeight="1">
      <c r="A77" s="151" t="s">
        <v>107</v>
      </c>
      <c r="B77" s="155" t="s">
        <v>54</v>
      </c>
      <c r="F77" s="156">
        <f>[9]Sheet1!F77</f>
        <v>520</v>
      </c>
      <c r="G77" s="156">
        <f>[9]Sheet1!G77</f>
        <v>1076</v>
      </c>
      <c r="H77" s="156">
        <f>[9]Sheet1!H77</f>
        <v>452733.76799999998</v>
      </c>
      <c r="I77" s="158">
        <v>0</v>
      </c>
      <c r="J77" s="156">
        <f>[9]Sheet1!J77</f>
        <v>0</v>
      </c>
      <c r="K77" s="159">
        <f>(H77+I77)-J77</f>
        <v>452733.76799999998</v>
      </c>
    </row>
    <row r="78" spans="1:11" ht="18" customHeight="1">
      <c r="A78" s="151" t="s">
        <v>108</v>
      </c>
      <c r="B78" s="155" t="s">
        <v>55</v>
      </c>
      <c r="F78" s="156">
        <f>[9]Sheet1!F78</f>
        <v>0</v>
      </c>
      <c r="G78" s="156">
        <f>[9]Sheet1!G78</f>
        <v>0</v>
      </c>
      <c r="H78" s="156">
        <f>[9]Sheet1!H78</f>
        <v>0</v>
      </c>
      <c r="I78" s="158">
        <v>0</v>
      </c>
      <c r="J78" s="156">
        <f>[9]Sheet1!J78</f>
        <v>0</v>
      </c>
      <c r="K78" s="159">
        <f>(H78+I78)-J78</f>
        <v>0</v>
      </c>
    </row>
    <row r="79" spans="1:11" ht="18" customHeight="1">
      <c r="A79" s="151" t="s">
        <v>109</v>
      </c>
      <c r="B79" s="155" t="s">
        <v>13</v>
      </c>
      <c r="F79" s="156">
        <f>[9]Sheet1!F79</f>
        <v>0</v>
      </c>
      <c r="G79" s="156">
        <f>[9]Sheet1!G79</f>
        <v>0</v>
      </c>
      <c r="H79" s="156">
        <f>[9]Sheet1!H79</f>
        <v>0</v>
      </c>
      <c r="I79" s="158">
        <v>0</v>
      </c>
      <c r="J79" s="156">
        <f>[9]Sheet1!J79</f>
        <v>0</v>
      </c>
      <c r="K79" s="159">
        <f>(H79+I79)-J79</f>
        <v>0</v>
      </c>
    </row>
    <row r="80" spans="1:11" ht="18" customHeight="1">
      <c r="A80" s="151" t="s">
        <v>110</v>
      </c>
      <c r="B80" s="155" t="s">
        <v>56</v>
      </c>
      <c r="F80" s="156">
        <f>[9]Sheet1!F80</f>
        <v>0</v>
      </c>
      <c r="G80" s="156">
        <f>[9]Sheet1!G80</f>
        <v>0</v>
      </c>
      <c r="H80" s="156">
        <f>[9]Sheet1!H80</f>
        <v>0</v>
      </c>
      <c r="I80" s="158">
        <v>0</v>
      </c>
      <c r="J80" s="156">
        <f>[9]Sheet1!J80</f>
        <v>0</v>
      </c>
      <c r="K80" s="159">
        <f>(H80+I80)-J80</f>
        <v>0</v>
      </c>
    </row>
    <row r="81" spans="1:11" ht="18" customHeight="1">
      <c r="A81" s="151"/>
      <c r="K81" s="188"/>
    </row>
    <row r="82" spans="1:11" ht="18" customHeight="1">
      <c r="A82" s="151" t="s">
        <v>148</v>
      </c>
      <c r="B82" s="150" t="s">
        <v>149</v>
      </c>
      <c r="E82" s="150" t="s">
        <v>7</v>
      </c>
      <c r="F82" s="185">
        <f t="shared" ref="F82:K82" si="10">SUM(F77:F80)</f>
        <v>520</v>
      </c>
      <c r="G82" s="185">
        <f t="shared" si="10"/>
        <v>1076</v>
      </c>
      <c r="H82" s="187">
        <f t="shared" si="10"/>
        <v>452733.76799999998</v>
      </c>
      <c r="I82" s="187">
        <f t="shared" si="10"/>
        <v>0</v>
      </c>
      <c r="J82" s="187">
        <f t="shared" si="10"/>
        <v>0</v>
      </c>
      <c r="K82" s="187">
        <f t="shared" si="10"/>
        <v>452733.76799999998</v>
      </c>
    </row>
    <row r="83" spans="1:11" ht="18" customHeight="1" thickBot="1">
      <c r="A83" s="151"/>
      <c r="F83" s="172"/>
      <c r="G83" s="172"/>
      <c r="H83" s="172"/>
      <c r="I83" s="172"/>
      <c r="J83" s="172"/>
      <c r="K83" s="172"/>
    </row>
    <row r="84" spans="1:11" ht="42.75" customHeight="1">
      <c r="F84" s="153" t="s">
        <v>9</v>
      </c>
      <c r="G84" s="153" t="s">
        <v>37</v>
      </c>
      <c r="H84" s="153" t="s">
        <v>29</v>
      </c>
      <c r="I84" s="153" t="s">
        <v>30</v>
      </c>
      <c r="J84" s="153" t="s">
        <v>33</v>
      </c>
      <c r="K84" s="153" t="s">
        <v>34</v>
      </c>
    </row>
    <row r="85" spans="1:11" ht="18" customHeight="1">
      <c r="A85" s="154" t="s">
        <v>111</v>
      </c>
      <c r="B85" s="150" t="s">
        <v>57</v>
      </c>
    </row>
    <row r="86" spans="1:11" ht="18" customHeight="1">
      <c r="A86" s="151" t="s">
        <v>112</v>
      </c>
      <c r="B86" s="155" t="s">
        <v>113</v>
      </c>
      <c r="F86" s="156">
        <f>[9]Sheet1!F86</f>
        <v>104</v>
      </c>
      <c r="G86" s="156">
        <f>[9]Sheet1!G86</f>
        <v>2800</v>
      </c>
      <c r="H86" s="156">
        <f>[9]Sheet1!H86</f>
        <v>4050.3215999999998</v>
      </c>
      <c r="I86" s="158">
        <f t="shared" ref="I86:I96" si="11">H86*F$114</f>
        <v>1508.9777541968076</v>
      </c>
      <c r="J86" s="156">
        <f>[9]Sheet1!J86</f>
        <v>0</v>
      </c>
      <c r="K86" s="159">
        <f t="shared" ref="K86:K96" si="12">(H86+I86)-J86</f>
        <v>5559.2993541968071</v>
      </c>
    </row>
    <row r="87" spans="1:11" ht="18" customHeight="1">
      <c r="A87" s="151" t="s">
        <v>114</v>
      </c>
      <c r="B87" s="155" t="s">
        <v>14</v>
      </c>
      <c r="F87" s="156">
        <f>[9]Sheet1!F87</f>
        <v>160</v>
      </c>
      <c r="G87" s="156">
        <f>[9]Sheet1!G87</f>
        <v>0</v>
      </c>
      <c r="H87" s="156">
        <f>[9]Sheet1!H87</f>
        <v>24784</v>
      </c>
      <c r="I87" s="158">
        <f t="shared" si="11"/>
        <v>9233.4654759300302</v>
      </c>
      <c r="J87" s="156">
        <f>[9]Sheet1!J87</f>
        <v>0</v>
      </c>
      <c r="K87" s="159">
        <f t="shared" si="12"/>
        <v>34017.465475930032</v>
      </c>
    </row>
    <row r="88" spans="1:11" ht="18" customHeight="1">
      <c r="A88" s="151" t="s">
        <v>115</v>
      </c>
      <c r="B88" s="155" t="s">
        <v>116</v>
      </c>
      <c r="F88" s="156">
        <f>[9]Sheet1!F88</f>
        <v>0</v>
      </c>
      <c r="G88" s="156">
        <f>[9]Sheet1!G88</f>
        <v>0</v>
      </c>
      <c r="H88" s="156">
        <f>[9]Sheet1!H88</f>
        <v>0</v>
      </c>
      <c r="I88" s="158">
        <f t="shared" si="11"/>
        <v>0</v>
      </c>
      <c r="J88" s="156">
        <f>[9]Sheet1!J88</f>
        <v>0</v>
      </c>
      <c r="K88" s="159">
        <f t="shared" si="12"/>
        <v>0</v>
      </c>
    </row>
    <row r="89" spans="1:11" ht="18" customHeight="1">
      <c r="A89" s="151" t="s">
        <v>117</v>
      </c>
      <c r="B89" s="155" t="s">
        <v>58</v>
      </c>
      <c r="F89" s="156">
        <f>[9]Sheet1!F89</f>
        <v>0</v>
      </c>
      <c r="G89" s="156">
        <f>[9]Sheet1!G89</f>
        <v>0</v>
      </c>
      <c r="H89" s="156">
        <f>[9]Sheet1!H89</f>
        <v>428166</v>
      </c>
      <c r="I89" s="158">
        <f t="shared" si="11"/>
        <v>159516.46138504913</v>
      </c>
      <c r="J89" s="156">
        <f>[9]Sheet1!J89</f>
        <v>0</v>
      </c>
      <c r="K89" s="159">
        <f t="shared" si="12"/>
        <v>587682.46138504916</v>
      </c>
    </row>
    <row r="90" spans="1:11" ht="18" customHeight="1">
      <c r="A90" s="151" t="s">
        <v>118</v>
      </c>
      <c r="B90" s="904" t="s">
        <v>59</v>
      </c>
      <c r="C90" s="907"/>
      <c r="F90" s="156">
        <f>[9]Sheet1!F90</f>
        <v>0</v>
      </c>
      <c r="G90" s="156">
        <f>[9]Sheet1!G90</f>
        <v>0</v>
      </c>
      <c r="H90" s="156">
        <f>[9]Sheet1!H90</f>
        <v>0</v>
      </c>
      <c r="I90" s="158">
        <f t="shared" si="11"/>
        <v>0</v>
      </c>
      <c r="J90" s="156">
        <f>[9]Sheet1!J90</f>
        <v>0</v>
      </c>
      <c r="K90" s="159">
        <f t="shared" si="12"/>
        <v>0</v>
      </c>
    </row>
    <row r="91" spans="1:11" ht="18" customHeight="1">
      <c r="A91" s="151" t="s">
        <v>119</v>
      </c>
      <c r="B91" s="155" t="s">
        <v>60</v>
      </c>
      <c r="F91" s="156">
        <f>[9]Sheet1!F91</f>
        <v>172</v>
      </c>
      <c r="G91" s="156">
        <f>[9]Sheet1!G91</f>
        <v>0</v>
      </c>
      <c r="H91" s="156">
        <f>[9]Sheet1!H91</f>
        <v>26642.799999999999</v>
      </c>
      <c r="I91" s="158">
        <f t="shared" si="11"/>
        <v>9925.9753866247829</v>
      </c>
      <c r="J91" s="156">
        <f>[9]Sheet1!J91</f>
        <v>0</v>
      </c>
      <c r="K91" s="159">
        <f t="shared" si="12"/>
        <v>36568.77538662478</v>
      </c>
    </row>
    <row r="92" spans="1:11" ht="18" customHeight="1">
      <c r="A92" s="151" t="s">
        <v>120</v>
      </c>
      <c r="B92" s="155" t="s">
        <v>121</v>
      </c>
      <c r="F92" s="156">
        <f>[9]Sheet1!F92</f>
        <v>0</v>
      </c>
      <c r="G92" s="156">
        <f>[9]Sheet1!G92</f>
        <v>0</v>
      </c>
      <c r="H92" s="156">
        <f>[9]Sheet1!H92</f>
        <v>0</v>
      </c>
      <c r="I92" s="158">
        <f t="shared" si="11"/>
        <v>0</v>
      </c>
      <c r="J92" s="156">
        <f>[9]Sheet1!J92</f>
        <v>0</v>
      </c>
      <c r="K92" s="159">
        <f t="shared" si="12"/>
        <v>0</v>
      </c>
    </row>
    <row r="93" spans="1:11" ht="18" customHeight="1">
      <c r="A93" s="151" t="s">
        <v>122</v>
      </c>
      <c r="B93" s="155" t="s">
        <v>123</v>
      </c>
      <c r="F93" s="156">
        <f>[9]Sheet1!F93</f>
        <v>5304</v>
      </c>
      <c r="G93" s="156">
        <f>[9]Sheet1!G93</f>
        <v>379</v>
      </c>
      <c r="H93" s="156">
        <f>[9]Sheet1!H93</f>
        <v>307699.66024999617</v>
      </c>
      <c r="I93" s="158">
        <f t="shared" si="11"/>
        <v>114635.82108915993</v>
      </c>
      <c r="J93" s="156">
        <f>[9]Sheet1!J93</f>
        <v>80000</v>
      </c>
      <c r="K93" s="159">
        <f t="shared" si="12"/>
        <v>342335.4813391561</v>
      </c>
    </row>
    <row r="94" spans="1:11" ht="18" customHeight="1">
      <c r="A94" s="151" t="s">
        <v>124</v>
      </c>
      <c r="B94" s="901"/>
      <c r="C94" s="902"/>
      <c r="D94" s="903"/>
      <c r="F94" s="156">
        <f>[9]Sheet1!F94</f>
        <v>0</v>
      </c>
      <c r="G94" s="156">
        <f>[9]Sheet1!G94</f>
        <v>0</v>
      </c>
      <c r="H94" s="156">
        <f>[9]Sheet1!H94</f>
        <v>0</v>
      </c>
      <c r="I94" s="158">
        <f t="shared" si="11"/>
        <v>0</v>
      </c>
      <c r="J94" s="156">
        <f>[9]Sheet1!J94</f>
        <v>0</v>
      </c>
      <c r="K94" s="159">
        <f t="shared" si="12"/>
        <v>0</v>
      </c>
    </row>
    <row r="95" spans="1:11" ht="18" customHeight="1">
      <c r="A95" s="151" t="s">
        <v>125</v>
      </c>
      <c r="B95" s="901"/>
      <c r="C95" s="902"/>
      <c r="D95" s="903"/>
      <c r="F95" s="156">
        <f>[9]Sheet1!F95</f>
        <v>0</v>
      </c>
      <c r="G95" s="156">
        <f>[9]Sheet1!G95</f>
        <v>0</v>
      </c>
      <c r="H95" s="156">
        <f>[9]Sheet1!H95</f>
        <v>0</v>
      </c>
      <c r="I95" s="158">
        <f t="shared" si="11"/>
        <v>0</v>
      </c>
      <c r="J95" s="156">
        <f>[9]Sheet1!J95</f>
        <v>0</v>
      </c>
      <c r="K95" s="159">
        <f t="shared" si="12"/>
        <v>0</v>
      </c>
    </row>
    <row r="96" spans="1:11" ht="18" customHeight="1">
      <c r="A96" s="151" t="s">
        <v>126</v>
      </c>
      <c r="B96" s="901"/>
      <c r="C96" s="902"/>
      <c r="D96" s="903"/>
      <c r="F96" s="156">
        <f>[9]Sheet1!F96</f>
        <v>0</v>
      </c>
      <c r="G96" s="156">
        <f>[9]Sheet1!G96</f>
        <v>0</v>
      </c>
      <c r="H96" s="156">
        <f>[9]Sheet1!H96</f>
        <v>0</v>
      </c>
      <c r="I96" s="158">
        <f t="shared" si="11"/>
        <v>0</v>
      </c>
      <c r="J96" s="156">
        <f>[9]Sheet1!J96</f>
        <v>0</v>
      </c>
      <c r="K96" s="159">
        <f t="shared" si="12"/>
        <v>0</v>
      </c>
    </row>
    <row r="97" spans="1:11" ht="18" customHeight="1">
      <c r="A97" s="151"/>
      <c r="B97" s="155"/>
    </row>
    <row r="98" spans="1:11" ht="18" customHeight="1">
      <c r="A98" s="154" t="s">
        <v>150</v>
      </c>
      <c r="B98" s="150" t="s">
        <v>151</v>
      </c>
      <c r="E98" s="150" t="s">
        <v>7</v>
      </c>
      <c r="F98" s="162">
        <f t="shared" ref="F98:K98" si="13">SUM(F86:F96)</f>
        <v>5740</v>
      </c>
      <c r="G98" s="162">
        <f t="shared" si="13"/>
        <v>3179</v>
      </c>
      <c r="H98" s="162">
        <f t="shared" si="13"/>
        <v>791342.78184999619</v>
      </c>
      <c r="I98" s="162">
        <f t="shared" si="13"/>
        <v>294820.70109096065</v>
      </c>
      <c r="J98" s="162">
        <f t="shared" si="13"/>
        <v>80000</v>
      </c>
      <c r="K98" s="162">
        <f t="shared" si="13"/>
        <v>1006163.482940957</v>
      </c>
    </row>
    <row r="99" spans="1:11" ht="18" customHeight="1" thickBot="1">
      <c r="B99" s="150"/>
      <c r="F99" s="172"/>
      <c r="G99" s="172"/>
      <c r="H99" s="172"/>
      <c r="I99" s="172"/>
      <c r="J99" s="172"/>
      <c r="K99" s="172"/>
    </row>
    <row r="100" spans="1:11" ht="42.75" customHeight="1">
      <c r="F100" s="153" t="s">
        <v>9</v>
      </c>
      <c r="G100" s="153" t="s">
        <v>37</v>
      </c>
      <c r="H100" s="153" t="s">
        <v>29</v>
      </c>
      <c r="I100" s="153" t="s">
        <v>30</v>
      </c>
      <c r="J100" s="153" t="s">
        <v>33</v>
      </c>
      <c r="K100" s="153" t="s">
        <v>34</v>
      </c>
    </row>
    <row r="101" spans="1:11" ht="18" customHeight="1">
      <c r="A101" s="154" t="s">
        <v>130</v>
      </c>
      <c r="B101" s="150" t="s">
        <v>63</v>
      </c>
    </row>
    <row r="102" spans="1:11" ht="18" customHeight="1">
      <c r="A102" s="151" t="s">
        <v>131</v>
      </c>
      <c r="B102" s="155" t="s">
        <v>152</v>
      </c>
      <c r="F102" s="156">
        <f>[9]Sheet1!F102</f>
        <v>1001.6</v>
      </c>
      <c r="G102" s="156">
        <f>[9]Sheet1!G102</f>
        <v>0</v>
      </c>
      <c r="H102" s="156">
        <f>[9]Sheet1!H102</f>
        <v>119380.79192</v>
      </c>
      <c r="I102" s="158">
        <f>H102*F$114</f>
        <v>44476.21129287067</v>
      </c>
      <c r="J102" s="156">
        <f>[9]Sheet1!J102</f>
        <v>0</v>
      </c>
      <c r="K102" s="159">
        <f>(H102+I102)-J102</f>
        <v>163857.00321287068</v>
      </c>
    </row>
    <row r="103" spans="1:11" ht="18" customHeight="1">
      <c r="A103" s="151" t="s">
        <v>132</v>
      </c>
      <c r="B103" s="904" t="s">
        <v>62</v>
      </c>
      <c r="C103" s="904"/>
      <c r="F103" s="156">
        <f>[9]Sheet1!F103</f>
        <v>0</v>
      </c>
      <c r="G103" s="156">
        <f>[9]Sheet1!G103</f>
        <v>0</v>
      </c>
      <c r="H103" s="156">
        <f>[9]Sheet1!H103</f>
        <v>0</v>
      </c>
      <c r="I103" s="158">
        <f>H103*F$114</f>
        <v>0</v>
      </c>
      <c r="J103" s="156">
        <f>[9]Sheet1!J103</f>
        <v>0</v>
      </c>
      <c r="K103" s="159">
        <f>(H103+I103)-J103</f>
        <v>0</v>
      </c>
    </row>
    <row r="104" spans="1:11" ht="18" customHeight="1">
      <c r="A104" s="151" t="s">
        <v>128</v>
      </c>
      <c r="B104" s="901"/>
      <c r="C104" s="902"/>
      <c r="D104" s="903"/>
      <c r="F104" s="156">
        <f>[9]Sheet1!F104</f>
        <v>0</v>
      </c>
      <c r="G104" s="156">
        <f>[9]Sheet1!G104</f>
        <v>0</v>
      </c>
      <c r="H104" s="156">
        <f>[9]Sheet1!H104</f>
        <v>0</v>
      </c>
      <c r="I104" s="158">
        <f>H104*F$114</f>
        <v>0</v>
      </c>
      <c r="J104" s="156">
        <f>[9]Sheet1!J104</f>
        <v>0</v>
      </c>
      <c r="K104" s="159">
        <f>(H104+I104)-J104</f>
        <v>0</v>
      </c>
    </row>
    <row r="105" spans="1:11" ht="18" customHeight="1">
      <c r="A105" s="151" t="s">
        <v>127</v>
      </c>
      <c r="B105" s="901"/>
      <c r="C105" s="902"/>
      <c r="D105" s="903"/>
      <c r="F105" s="156">
        <f>[9]Sheet1!F105</f>
        <v>0</v>
      </c>
      <c r="G105" s="156">
        <f>[9]Sheet1!G105</f>
        <v>0</v>
      </c>
      <c r="H105" s="156">
        <f>[9]Sheet1!H105</f>
        <v>0</v>
      </c>
      <c r="I105" s="158">
        <f>H105*F$114</f>
        <v>0</v>
      </c>
      <c r="J105" s="156">
        <f>[9]Sheet1!J105</f>
        <v>0</v>
      </c>
      <c r="K105" s="159">
        <f>(H105+I105)-J105</f>
        <v>0</v>
      </c>
    </row>
    <row r="106" spans="1:11" ht="18" customHeight="1">
      <c r="A106" s="151" t="s">
        <v>129</v>
      </c>
      <c r="B106" s="901"/>
      <c r="C106" s="902"/>
      <c r="D106" s="903"/>
      <c r="F106" s="156">
        <f>[9]Sheet1!F106</f>
        <v>0</v>
      </c>
      <c r="G106" s="156">
        <f>[9]Sheet1!G106</f>
        <v>0</v>
      </c>
      <c r="H106" s="156">
        <f>[9]Sheet1!H106</f>
        <v>0</v>
      </c>
      <c r="I106" s="158">
        <f>H106*F$114</f>
        <v>0</v>
      </c>
      <c r="J106" s="156">
        <f>[9]Sheet1!J106</f>
        <v>0</v>
      </c>
      <c r="K106" s="159">
        <f>(H106+I106)-J106</f>
        <v>0</v>
      </c>
    </row>
    <row r="107" spans="1:11" ht="18" customHeight="1">
      <c r="B107" s="150"/>
    </row>
    <row r="108" spans="1:11" s="167" customFormat="1" ht="18" customHeight="1">
      <c r="A108" s="154" t="s">
        <v>153</v>
      </c>
      <c r="B108" s="191" t="s">
        <v>154</v>
      </c>
      <c r="C108" s="147"/>
      <c r="D108" s="147"/>
      <c r="E108" s="150" t="s">
        <v>7</v>
      </c>
      <c r="F108" s="162">
        <f t="shared" ref="F108:K108" si="14">SUM(F102:F106)</f>
        <v>1001.6</v>
      </c>
      <c r="G108" s="162">
        <f t="shared" si="14"/>
        <v>0</v>
      </c>
      <c r="H108" s="159">
        <f t="shared" si="14"/>
        <v>119380.79192</v>
      </c>
      <c r="I108" s="159">
        <f t="shared" si="14"/>
        <v>44476.21129287067</v>
      </c>
      <c r="J108" s="159">
        <f t="shared" si="14"/>
        <v>0</v>
      </c>
      <c r="K108" s="159">
        <f t="shared" si="14"/>
        <v>163857.00321287068</v>
      </c>
    </row>
    <row r="109" spans="1:11" s="167" customFormat="1" ht="18" customHeight="1" thickBot="1">
      <c r="A109" s="192"/>
      <c r="B109" s="193"/>
      <c r="C109" s="194"/>
      <c r="D109" s="194"/>
      <c r="E109" s="194"/>
      <c r="F109" s="172"/>
      <c r="G109" s="172"/>
      <c r="H109" s="172"/>
      <c r="I109" s="172"/>
      <c r="J109" s="172"/>
      <c r="K109" s="172"/>
    </row>
    <row r="110" spans="1:11" s="167" customFormat="1" ht="18" customHeight="1">
      <c r="A110" s="154" t="s">
        <v>156</v>
      </c>
      <c r="B110" s="150" t="s">
        <v>39</v>
      </c>
      <c r="C110" s="147"/>
      <c r="D110" s="147"/>
      <c r="E110" s="147"/>
      <c r="F110" s="147"/>
      <c r="G110" s="147"/>
      <c r="H110" s="147"/>
      <c r="I110" s="147"/>
      <c r="J110" s="147"/>
      <c r="K110" s="147"/>
    </row>
    <row r="111" spans="1:11" ht="18" customHeight="1">
      <c r="A111" s="154" t="s">
        <v>155</v>
      </c>
      <c r="B111" s="150" t="s">
        <v>164</v>
      </c>
      <c r="E111" s="150" t="s">
        <v>7</v>
      </c>
      <c r="F111" s="157">
        <f>[9]Sheet1!F111</f>
        <v>52771968.829999998</v>
      </c>
    </row>
    <row r="112" spans="1:11" ht="18" customHeight="1">
      <c r="B112" s="150"/>
      <c r="E112" s="150"/>
      <c r="F112" s="195"/>
    </row>
    <row r="113" spans="1:6" ht="18" customHeight="1">
      <c r="A113" s="154"/>
      <c r="B113" s="150" t="s">
        <v>15</v>
      </c>
    </row>
    <row r="114" spans="1:6" ht="18" customHeight="1">
      <c r="A114" s="151" t="s">
        <v>171</v>
      </c>
      <c r="B114" s="155" t="s">
        <v>35</v>
      </c>
      <c r="F114" s="196">
        <f>[9]Sheet1!$F$114</f>
        <v>0.37255751597522718</v>
      </c>
    </row>
    <row r="115" spans="1:6" ht="18" customHeight="1">
      <c r="A115" s="151"/>
      <c r="B115" s="150"/>
    </row>
    <row r="116" spans="1:6" ht="18" customHeight="1">
      <c r="A116" s="151" t="s">
        <v>170</v>
      </c>
      <c r="B116" s="150" t="s">
        <v>16</v>
      </c>
    </row>
    <row r="117" spans="1:6" ht="18" customHeight="1">
      <c r="A117" s="151" t="s">
        <v>172</v>
      </c>
      <c r="B117" s="155" t="s">
        <v>17</v>
      </c>
      <c r="F117" s="157">
        <f>[9]Sheet1!F117</f>
        <v>1311207000</v>
      </c>
    </row>
    <row r="118" spans="1:6" ht="18" customHeight="1">
      <c r="A118" s="151" t="s">
        <v>173</v>
      </c>
      <c r="B118" s="147" t="s">
        <v>18</v>
      </c>
      <c r="F118" s="157">
        <f>[9]Sheet1!F118</f>
        <v>104803000</v>
      </c>
    </row>
    <row r="119" spans="1:6" ht="18" customHeight="1">
      <c r="A119" s="151" t="s">
        <v>174</v>
      </c>
      <c r="B119" s="150" t="s">
        <v>19</v>
      </c>
      <c r="F119" s="187">
        <f>SUM(F117:F118)</f>
        <v>1416010000</v>
      </c>
    </row>
    <row r="120" spans="1:6" ht="18" customHeight="1">
      <c r="A120" s="151"/>
      <c r="B120" s="150"/>
    </row>
    <row r="121" spans="1:6" ht="18" customHeight="1">
      <c r="A121" s="151" t="s">
        <v>167</v>
      </c>
      <c r="B121" s="150" t="s">
        <v>36</v>
      </c>
      <c r="F121" s="157">
        <f>[9]Sheet1!F121</f>
        <v>1362492000</v>
      </c>
    </row>
    <row r="122" spans="1:6" ht="18" customHeight="1">
      <c r="A122" s="151"/>
    </row>
    <row r="123" spans="1:6" ht="18" customHeight="1">
      <c r="A123" s="151" t="s">
        <v>175</v>
      </c>
      <c r="B123" s="150" t="s">
        <v>20</v>
      </c>
      <c r="F123" s="417">
        <f>+F119-F121</f>
        <v>53518000</v>
      </c>
    </row>
    <row r="124" spans="1:6" ht="18" customHeight="1">
      <c r="A124" s="151"/>
    </row>
    <row r="125" spans="1:6" ht="18" customHeight="1">
      <c r="A125" s="151" t="s">
        <v>176</v>
      </c>
      <c r="B125" s="150" t="s">
        <v>21</v>
      </c>
      <c r="F125" s="157">
        <f>[9]Sheet1!F125</f>
        <v>-40447000</v>
      </c>
    </row>
    <row r="126" spans="1:6" ht="18" customHeight="1">
      <c r="A126" s="151"/>
    </row>
    <row r="127" spans="1:6" ht="18" customHeight="1">
      <c r="A127" s="151" t="s">
        <v>177</v>
      </c>
      <c r="B127" s="150" t="s">
        <v>22</v>
      </c>
      <c r="F127" s="417">
        <f>+F123+F125</f>
        <v>13071000</v>
      </c>
    </row>
    <row r="128" spans="1:6" ht="18" customHeight="1">
      <c r="A128" s="151"/>
    </row>
    <row r="129" spans="1:11" ht="42.75" customHeight="1">
      <c r="F129" s="153" t="s">
        <v>9</v>
      </c>
      <c r="G129" s="153" t="s">
        <v>37</v>
      </c>
      <c r="H129" s="153" t="s">
        <v>29</v>
      </c>
      <c r="I129" s="153" t="s">
        <v>30</v>
      </c>
      <c r="J129" s="153" t="s">
        <v>33</v>
      </c>
      <c r="K129" s="153" t="s">
        <v>34</v>
      </c>
    </row>
    <row r="130" spans="1:11" ht="18" customHeight="1">
      <c r="A130" s="154" t="s">
        <v>157</v>
      </c>
      <c r="B130" s="150" t="s">
        <v>23</v>
      </c>
    </row>
    <row r="131" spans="1:11" ht="18" customHeight="1">
      <c r="A131" s="151" t="s">
        <v>158</v>
      </c>
      <c r="B131" s="147" t="s">
        <v>24</v>
      </c>
      <c r="F131" s="156">
        <f>[9]Sheet1!F131</f>
        <v>416</v>
      </c>
      <c r="G131" s="156">
        <f>[9]Sheet1!G131</f>
        <v>0</v>
      </c>
      <c r="H131" s="156">
        <f>[9]Sheet1!H131</f>
        <v>17271.758399999999</v>
      </c>
      <c r="I131" s="158">
        <v>0</v>
      </c>
      <c r="J131" s="156">
        <f>[9]Sheet1!J131</f>
        <v>0</v>
      </c>
      <c r="K131" s="159">
        <f>(H131+I131)-J131</f>
        <v>17271.758399999999</v>
      </c>
    </row>
    <row r="132" spans="1:11" ht="18" customHeight="1">
      <c r="A132" s="151" t="s">
        <v>159</v>
      </c>
      <c r="B132" s="147" t="s">
        <v>25</v>
      </c>
      <c r="F132" s="156">
        <f>[9]Sheet1!F132</f>
        <v>0</v>
      </c>
      <c r="G132" s="156">
        <f>[9]Sheet1!G132</f>
        <v>0</v>
      </c>
      <c r="H132" s="156">
        <f>[9]Sheet1!H132</f>
        <v>0</v>
      </c>
      <c r="I132" s="158">
        <v>0</v>
      </c>
      <c r="J132" s="156">
        <f>[9]Sheet1!J132</f>
        <v>0</v>
      </c>
      <c r="K132" s="159">
        <f>(H132+I132)-J132</f>
        <v>0</v>
      </c>
    </row>
    <row r="133" spans="1:11" ht="18" customHeight="1">
      <c r="A133" s="151" t="s">
        <v>160</v>
      </c>
      <c r="B133" s="898"/>
      <c r="C133" s="899"/>
      <c r="D133" s="900"/>
      <c r="F133" s="156">
        <f>[9]Sheet1!F133</f>
        <v>0</v>
      </c>
      <c r="G133" s="156">
        <f>[9]Sheet1!G133</f>
        <v>0</v>
      </c>
      <c r="H133" s="156">
        <f>[9]Sheet1!H133</f>
        <v>0</v>
      </c>
      <c r="I133" s="158">
        <v>0</v>
      </c>
      <c r="J133" s="156">
        <f>[9]Sheet1!J133</f>
        <v>0</v>
      </c>
      <c r="K133" s="159">
        <f>(H133+I133)-J133</f>
        <v>0</v>
      </c>
    </row>
    <row r="134" spans="1:11" ht="18" customHeight="1">
      <c r="A134" s="151" t="s">
        <v>161</v>
      </c>
      <c r="B134" s="898"/>
      <c r="C134" s="899"/>
      <c r="D134" s="900"/>
      <c r="F134" s="156">
        <f>[9]Sheet1!F134</f>
        <v>0</v>
      </c>
      <c r="G134" s="156">
        <f>[9]Sheet1!G134</f>
        <v>0</v>
      </c>
      <c r="H134" s="156">
        <f>[9]Sheet1!H134</f>
        <v>0</v>
      </c>
      <c r="I134" s="158">
        <v>0</v>
      </c>
      <c r="J134" s="156">
        <f>[9]Sheet1!J134</f>
        <v>0</v>
      </c>
      <c r="K134" s="159">
        <f>(H134+I134)-J134</f>
        <v>0</v>
      </c>
    </row>
    <row r="135" spans="1:11" ht="18" customHeight="1">
      <c r="A135" s="151" t="s">
        <v>162</v>
      </c>
      <c r="B135" s="898"/>
      <c r="C135" s="899"/>
      <c r="D135" s="900"/>
      <c r="F135" s="156">
        <f>[9]Sheet1!F135</f>
        <v>0</v>
      </c>
      <c r="G135" s="156">
        <f>[9]Sheet1!G135</f>
        <v>0</v>
      </c>
      <c r="H135" s="156">
        <f>[9]Sheet1!H135</f>
        <v>0</v>
      </c>
      <c r="I135" s="158">
        <v>0</v>
      </c>
      <c r="J135" s="156">
        <f>[9]Sheet1!J135</f>
        <v>0</v>
      </c>
      <c r="K135" s="159">
        <f>(H135+I135)-J135</f>
        <v>0</v>
      </c>
    </row>
    <row r="136" spans="1:11" ht="18" customHeight="1">
      <c r="A136" s="154"/>
    </row>
    <row r="137" spans="1:11" ht="18" customHeight="1">
      <c r="A137" s="154" t="s">
        <v>163</v>
      </c>
      <c r="B137" s="150" t="s">
        <v>27</v>
      </c>
      <c r="F137" s="162">
        <f t="shared" ref="F137:K137" si="15">SUM(F131:F135)</f>
        <v>416</v>
      </c>
      <c r="G137" s="162">
        <f t="shared" si="15"/>
        <v>0</v>
      </c>
      <c r="H137" s="159">
        <f t="shared" si="15"/>
        <v>17271.758399999999</v>
      </c>
      <c r="I137" s="159">
        <f t="shared" si="15"/>
        <v>0</v>
      </c>
      <c r="J137" s="159">
        <f t="shared" si="15"/>
        <v>0</v>
      </c>
      <c r="K137" s="159">
        <f t="shared" si="15"/>
        <v>17271.758399999999</v>
      </c>
    </row>
    <row r="138" spans="1:11" ht="18" customHeight="1">
      <c r="A138" s="147"/>
    </row>
    <row r="139" spans="1:11" ht="42.75" customHeight="1">
      <c r="F139" s="153" t="s">
        <v>9</v>
      </c>
      <c r="G139" s="153" t="s">
        <v>37</v>
      </c>
      <c r="H139" s="153" t="s">
        <v>29</v>
      </c>
      <c r="I139" s="153" t="s">
        <v>30</v>
      </c>
      <c r="J139" s="153" t="s">
        <v>33</v>
      </c>
      <c r="K139" s="153" t="s">
        <v>34</v>
      </c>
    </row>
    <row r="140" spans="1:11" ht="18" customHeight="1">
      <c r="A140" s="154" t="s">
        <v>166</v>
      </c>
      <c r="B140" s="150" t="s">
        <v>26</v>
      </c>
    </row>
    <row r="141" spans="1:11" ht="18" customHeight="1">
      <c r="A141" s="151" t="s">
        <v>137</v>
      </c>
      <c r="B141" s="150" t="s">
        <v>64</v>
      </c>
      <c r="F141" s="197">
        <f t="shared" ref="F141:K141" si="16">F36</f>
        <v>34115.4</v>
      </c>
      <c r="G141" s="197">
        <f t="shared" si="16"/>
        <v>41553</v>
      </c>
      <c r="H141" s="197">
        <f t="shared" si="16"/>
        <v>2594935.7644799999</v>
      </c>
      <c r="I141" s="197">
        <f t="shared" si="16"/>
        <v>966762.82252994599</v>
      </c>
      <c r="J141" s="197">
        <f t="shared" si="16"/>
        <v>217971</v>
      </c>
      <c r="K141" s="197">
        <f t="shared" si="16"/>
        <v>3343727.5870099459</v>
      </c>
    </row>
    <row r="142" spans="1:11" ht="18" customHeight="1">
      <c r="A142" s="151" t="s">
        <v>142</v>
      </c>
      <c r="B142" s="150" t="s">
        <v>65</v>
      </c>
      <c r="F142" s="197">
        <f t="shared" ref="F142:K142" si="17">F49</f>
        <v>2392691.1011093548</v>
      </c>
      <c r="G142" s="197">
        <f t="shared" si="17"/>
        <v>999</v>
      </c>
      <c r="H142" s="197">
        <f t="shared" si="17"/>
        <v>95226343.560044304</v>
      </c>
      <c r="I142" s="197">
        <f t="shared" si="17"/>
        <v>35477290.01213368</v>
      </c>
      <c r="J142" s="197">
        <f t="shared" si="17"/>
        <v>0</v>
      </c>
      <c r="K142" s="197">
        <f t="shared" si="17"/>
        <v>130703633.57217798</v>
      </c>
    </row>
    <row r="143" spans="1:11" ht="18" customHeight="1">
      <c r="A143" s="151" t="s">
        <v>144</v>
      </c>
      <c r="B143" s="150" t="s">
        <v>66</v>
      </c>
      <c r="F143" s="197">
        <f t="shared" ref="F143:K143" si="18">F64</f>
        <v>280349.99999554083</v>
      </c>
      <c r="G143" s="197">
        <f t="shared" si="18"/>
        <v>39459</v>
      </c>
      <c r="H143" s="197">
        <f t="shared" si="18"/>
        <v>18030029.300000001</v>
      </c>
      <c r="I143" s="197">
        <f t="shared" si="18"/>
        <v>6717222.9289685637</v>
      </c>
      <c r="J143" s="197">
        <f t="shared" si="18"/>
        <v>11121467</v>
      </c>
      <c r="K143" s="197">
        <f t="shared" si="18"/>
        <v>13625785.228968564</v>
      </c>
    </row>
    <row r="144" spans="1:11" ht="18" customHeight="1">
      <c r="A144" s="151" t="s">
        <v>146</v>
      </c>
      <c r="B144" s="150" t="s">
        <v>67</v>
      </c>
      <c r="F144" s="197">
        <f t="shared" ref="F144:K144" si="19">F74</f>
        <v>0</v>
      </c>
      <c r="G144" s="197">
        <f t="shared" si="19"/>
        <v>0</v>
      </c>
      <c r="H144" s="197">
        <f t="shared" si="19"/>
        <v>0</v>
      </c>
      <c r="I144" s="197">
        <f t="shared" si="19"/>
        <v>0</v>
      </c>
      <c r="J144" s="197">
        <f t="shared" si="19"/>
        <v>0</v>
      </c>
      <c r="K144" s="197">
        <f t="shared" si="19"/>
        <v>0</v>
      </c>
    </row>
    <row r="145" spans="1:11" ht="18" customHeight="1">
      <c r="A145" s="151" t="s">
        <v>148</v>
      </c>
      <c r="B145" s="150" t="s">
        <v>68</v>
      </c>
      <c r="F145" s="197">
        <f t="shared" ref="F145:K145" si="20">F82</f>
        <v>520</v>
      </c>
      <c r="G145" s="197">
        <f t="shared" si="20"/>
        <v>1076</v>
      </c>
      <c r="H145" s="197">
        <f t="shared" si="20"/>
        <v>452733.76799999998</v>
      </c>
      <c r="I145" s="197">
        <f t="shared" si="20"/>
        <v>0</v>
      </c>
      <c r="J145" s="197">
        <f t="shared" si="20"/>
        <v>0</v>
      </c>
      <c r="K145" s="197">
        <f t="shared" si="20"/>
        <v>452733.76799999998</v>
      </c>
    </row>
    <row r="146" spans="1:11" ht="18" customHeight="1">
      <c r="A146" s="151" t="s">
        <v>150</v>
      </c>
      <c r="B146" s="150" t="s">
        <v>69</v>
      </c>
      <c r="F146" s="197">
        <f t="shared" ref="F146:K146" si="21">F98</f>
        <v>5740</v>
      </c>
      <c r="G146" s="197">
        <f t="shared" si="21"/>
        <v>3179</v>
      </c>
      <c r="H146" s="197">
        <f t="shared" si="21"/>
        <v>791342.78184999619</v>
      </c>
      <c r="I146" s="197">
        <f t="shared" si="21"/>
        <v>294820.70109096065</v>
      </c>
      <c r="J146" s="197">
        <f t="shared" si="21"/>
        <v>80000</v>
      </c>
      <c r="K146" s="197">
        <f t="shared" si="21"/>
        <v>1006163.482940957</v>
      </c>
    </row>
    <row r="147" spans="1:11" ht="18" customHeight="1">
      <c r="A147" s="151" t="s">
        <v>153</v>
      </c>
      <c r="B147" s="150" t="s">
        <v>61</v>
      </c>
      <c r="F147" s="162">
        <f t="shared" ref="F147:K147" si="22">F108</f>
        <v>1001.6</v>
      </c>
      <c r="G147" s="162">
        <f t="shared" si="22"/>
        <v>0</v>
      </c>
      <c r="H147" s="162">
        <f t="shared" si="22"/>
        <v>119380.79192</v>
      </c>
      <c r="I147" s="162">
        <f t="shared" si="22"/>
        <v>44476.21129287067</v>
      </c>
      <c r="J147" s="162">
        <f t="shared" si="22"/>
        <v>0</v>
      </c>
      <c r="K147" s="162">
        <f t="shared" si="22"/>
        <v>163857.00321287068</v>
      </c>
    </row>
    <row r="148" spans="1:11" ht="18" customHeight="1">
      <c r="A148" s="151" t="s">
        <v>155</v>
      </c>
      <c r="B148" s="150" t="s">
        <v>70</v>
      </c>
      <c r="F148" s="198" t="s">
        <v>73</v>
      </c>
      <c r="G148" s="198" t="s">
        <v>73</v>
      </c>
      <c r="H148" s="199" t="s">
        <v>73</v>
      </c>
      <c r="I148" s="199" t="s">
        <v>73</v>
      </c>
      <c r="J148" s="199" t="s">
        <v>73</v>
      </c>
      <c r="K148" s="200">
        <f>F111</f>
        <v>52771968.829999998</v>
      </c>
    </row>
    <row r="149" spans="1:11" ht="18" customHeight="1">
      <c r="A149" s="151" t="s">
        <v>163</v>
      </c>
      <c r="B149" s="150" t="s">
        <v>71</v>
      </c>
      <c r="F149" s="162">
        <f t="shared" ref="F149:K149" si="23">F137</f>
        <v>416</v>
      </c>
      <c r="G149" s="162">
        <f t="shared" si="23"/>
        <v>0</v>
      </c>
      <c r="H149" s="162">
        <f t="shared" si="23"/>
        <v>17271.758399999999</v>
      </c>
      <c r="I149" s="162">
        <f t="shared" si="23"/>
        <v>0</v>
      </c>
      <c r="J149" s="162">
        <f t="shared" si="23"/>
        <v>0</v>
      </c>
      <c r="K149" s="162">
        <f t="shared" si="23"/>
        <v>17271.758399999999</v>
      </c>
    </row>
    <row r="150" spans="1:11" ht="18" customHeight="1">
      <c r="A150" s="151" t="s">
        <v>185</v>
      </c>
      <c r="B150" s="150" t="s">
        <v>186</v>
      </c>
      <c r="F150" s="198" t="s">
        <v>73</v>
      </c>
      <c r="G150" s="198" t="s">
        <v>73</v>
      </c>
      <c r="H150" s="162">
        <f>H18</f>
        <v>38920808.960145496</v>
      </c>
      <c r="I150" s="162">
        <f>I18</f>
        <v>0</v>
      </c>
      <c r="J150" s="162">
        <f>J18</f>
        <v>33282158.047506906</v>
      </c>
      <c r="K150" s="162">
        <f>K18</f>
        <v>5638650.9126385897</v>
      </c>
    </row>
    <row r="151" spans="1:11" ht="18" customHeight="1">
      <c r="B151" s="150"/>
      <c r="F151" s="174"/>
      <c r="G151" s="174"/>
      <c r="H151" s="174"/>
      <c r="I151" s="174"/>
      <c r="J151" s="174"/>
      <c r="K151" s="174"/>
    </row>
    <row r="152" spans="1:11" ht="18" customHeight="1">
      <c r="A152" s="154" t="s">
        <v>165</v>
      </c>
      <c r="B152" s="150" t="s">
        <v>26</v>
      </c>
      <c r="F152" s="201">
        <f t="shared" ref="F152:K152" si="24">SUM(F141:F150)</f>
        <v>2714834.1011048956</v>
      </c>
      <c r="G152" s="201">
        <f t="shared" si="24"/>
        <v>86266</v>
      </c>
      <c r="H152" s="201">
        <f t="shared" si="24"/>
        <v>156152846.68483979</v>
      </c>
      <c r="I152" s="201">
        <f t="shared" si="24"/>
        <v>43500572.676016025</v>
      </c>
      <c r="J152" s="201">
        <f t="shared" si="24"/>
        <v>44701596.047506906</v>
      </c>
      <c r="K152" s="201">
        <f t="shared" si="24"/>
        <v>207723792.14334887</v>
      </c>
    </row>
    <row r="154" spans="1:11" ht="18" customHeight="1">
      <c r="A154" s="154" t="s">
        <v>168</v>
      </c>
      <c r="B154" s="150" t="s">
        <v>28</v>
      </c>
      <c r="F154" s="53">
        <f>K152/F121</f>
        <v>0.15245872426652698</v>
      </c>
    </row>
    <row r="155" spans="1:11" ht="18" customHeight="1">
      <c r="A155" s="154" t="s">
        <v>169</v>
      </c>
      <c r="B155" s="150" t="s">
        <v>72</v>
      </c>
      <c r="F155" s="53">
        <f>K152/F127</f>
        <v>15.891958698137012</v>
      </c>
      <c r="G155" s="150"/>
    </row>
    <row r="156" spans="1:11" ht="18" customHeight="1">
      <c r="G156" s="150"/>
    </row>
  </sheetData>
  <sheetProtection algorithmName="SHA-512" hashValue="iVvdvBFvLJrCQayOzWBOnlmmkvSOlg0vsuWfxw4ykvUWsRMIU69Eos4F9LU4n3blGdfrud4L5z60Zw6vfmvLvQ==" saltValue="dNfDTr1s26G+Dg2uXX89nw==" spinCount="100000" sheet="1" objects="1" scenarios="1"/>
  <mergeCells count="34">
    <mergeCell ref="B134:D134"/>
    <mergeCell ref="B135:D135"/>
    <mergeCell ref="B133:D133"/>
    <mergeCell ref="B104:D104"/>
    <mergeCell ref="B105:D105"/>
    <mergeCell ref="B106:D106"/>
    <mergeCell ref="B62:D62"/>
    <mergeCell ref="B31:D31"/>
    <mergeCell ref="B103:C103"/>
    <mergeCell ref="B96:D96"/>
    <mergeCell ref="B95:D95"/>
    <mergeCell ref="B57:D57"/>
    <mergeCell ref="B94:D94"/>
    <mergeCell ref="B52:C52"/>
    <mergeCell ref="B90:C90"/>
    <mergeCell ref="B53:D53"/>
    <mergeCell ref="B55:D55"/>
    <mergeCell ref="B56:D56"/>
    <mergeCell ref="B59:D59"/>
    <mergeCell ref="D2:H2"/>
    <mergeCell ref="B45:D45"/>
    <mergeCell ref="B46:D46"/>
    <mergeCell ref="B47:D47"/>
    <mergeCell ref="B34:D34"/>
    <mergeCell ref="C11:G11"/>
    <mergeCell ref="B41:C41"/>
    <mergeCell ref="B44:D44"/>
    <mergeCell ref="B13:H13"/>
    <mergeCell ref="C5:G5"/>
    <mergeCell ref="C6:G6"/>
    <mergeCell ref="C7:G7"/>
    <mergeCell ref="C9:G9"/>
    <mergeCell ref="C10:G10"/>
    <mergeCell ref="B30:D30"/>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156"/>
  <sheetViews>
    <sheetView showGridLines="0" zoomScale="90" zoomScaleNormal="90" zoomScaleSheetLayoutView="80" workbookViewId="0">
      <selection activeCell="K18" sqref="K18"/>
    </sheetView>
  </sheetViews>
  <sheetFormatPr defaultRowHeight="18" customHeight="1"/>
  <cols>
    <col min="1" max="1" width="8.28515625" style="7" customWidth="1"/>
    <col min="2" max="2" width="55.42578125" bestFit="1" customWidth="1"/>
    <col min="3" max="3" width="9.5703125" customWidth="1"/>
    <col min="5" max="5" width="12.42578125" customWidth="1"/>
    <col min="6" max="6" width="18.5703125" customWidth="1"/>
    <col min="7" max="7" width="23.5703125" customWidth="1"/>
    <col min="8" max="8" width="17.140625" customWidth="1"/>
    <col min="9" max="9" width="21.140625" customWidth="1"/>
    <col min="10" max="10" width="19.85546875" customWidth="1"/>
    <col min="11" max="11" width="17.5703125" customWidth="1"/>
  </cols>
  <sheetData>
    <row r="1" spans="1:11" ht="18" customHeight="1">
      <c r="C1" s="3"/>
      <c r="D1" s="2"/>
      <c r="E1" s="3"/>
      <c r="F1" s="3"/>
      <c r="G1" s="3"/>
      <c r="H1" s="3"/>
      <c r="I1" s="3"/>
      <c r="J1" s="3"/>
      <c r="K1" s="3"/>
    </row>
    <row r="2" spans="1:11" ht="18" customHeight="1">
      <c r="D2" s="940" t="s">
        <v>713</v>
      </c>
      <c r="E2" s="941"/>
      <c r="F2" s="941"/>
      <c r="G2" s="941"/>
      <c r="H2" s="941"/>
    </row>
    <row r="3" spans="1:11" ht="18" customHeight="1">
      <c r="B3" s="1" t="s">
        <v>0</v>
      </c>
    </row>
    <row r="5" spans="1:11" ht="18" customHeight="1">
      <c r="B5" s="4" t="s">
        <v>40</v>
      </c>
      <c r="C5" s="942" t="s">
        <v>875</v>
      </c>
      <c r="D5" s="943"/>
      <c r="E5" s="943"/>
      <c r="F5" s="943"/>
      <c r="G5" s="944"/>
    </row>
    <row r="6" spans="1:11" ht="18" customHeight="1">
      <c r="B6" s="4" t="s">
        <v>3</v>
      </c>
      <c r="C6" s="945" t="s">
        <v>544</v>
      </c>
      <c r="D6" s="946"/>
      <c r="E6" s="946"/>
      <c r="F6" s="946"/>
      <c r="G6" s="947"/>
    </row>
    <row r="7" spans="1:11" ht="18" customHeight="1">
      <c r="B7" s="4" t="s">
        <v>4</v>
      </c>
      <c r="C7" s="948">
        <v>1733</v>
      </c>
      <c r="D7" s="949"/>
      <c r="E7" s="949"/>
      <c r="F7" s="949"/>
      <c r="G7" s="950"/>
    </row>
    <row r="9" spans="1:11" ht="18" customHeight="1">
      <c r="B9" s="4" t="s">
        <v>1</v>
      </c>
      <c r="C9" s="942" t="s">
        <v>876</v>
      </c>
      <c r="D9" s="943"/>
      <c r="E9" s="943"/>
      <c r="F9" s="943"/>
      <c r="G9" s="944"/>
    </row>
    <row r="10" spans="1:11" ht="18" customHeight="1">
      <c r="B10" s="4" t="s">
        <v>2</v>
      </c>
      <c r="C10" s="951" t="s">
        <v>480</v>
      </c>
      <c r="D10" s="952"/>
      <c r="E10" s="952"/>
      <c r="F10" s="952"/>
      <c r="G10" s="953"/>
    </row>
    <row r="11" spans="1:11" ht="18" customHeight="1">
      <c r="B11" s="4" t="s">
        <v>32</v>
      </c>
      <c r="C11" s="942" t="s">
        <v>481</v>
      </c>
      <c r="D11" s="954"/>
      <c r="E11" s="954"/>
      <c r="F11" s="954"/>
      <c r="G11" s="954"/>
    </row>
    <row r="12" spans="1:11" ht="18" customHeight="1">
      <c r="B12" s="4"/>
      <c r="C12" s="4"/>
      <c r="D12" s="4"/>
      <c r="E12" s="4"/>
      <c r="F12" s="4"/>
      <c r="G12" s="4"/>
    </row>
    <row r="13" spans="1:11" ht="24.6" customHeight="1">
      <c r="B13" s="955"/>
      <c r="C13" s="956"/>
      <c r="D13" s="956"/>
      <c r="E13" s="956"/>
      <c r="F13" s="956"/>
      <c r="G13" s="956"/>
      <c r="H13" s="957"/>
      <c r="I13" s="3"/>
    </row>
    <row r="14" spans="1:11" ht="18" customHeight="1">
      <c r="B14" s="6"/>
    </row>
    <row r="15" spans="1:11" ht="18" customHeight="1">
      <c r="B15" s="6"/>
    </row>
    <row r="16" spans="1:11" ht="45" customHeight="1">
      <c r="A16" s="2" t="s">
        <v>181</v>
      </c>
      <c r="B16" s="3"/>
      <c r="C16" s="3"/>
      <c r="D16" s="3"/>
      <c r="E16" s="3"/>
      <c r="F16" s="8" t="s">
        <v>9</v>
      </c>
      <c r="G16" s="8" t="s">
        <v>37</v>
      </c>
      <c r="H16" s="8" t="s">
        <v>29</v>
      </c>
      <c r="I16" s="8" t="s">
        <v>30</v>
      </c>
      <c r="J16" s="8" t="s">
        <v>33</v>
      </c>
      <c r="K16" s="8" t="s">
        <v>34</v>
      </c>
    </row>
    <row r="17" spans="1:11" ht="18" customHeight="1">
      <c r="A17" s="5" t="s">
        <v>184</v>
      </c>
      <c r="B17" s="1" t="s">
        <v>182</v>
      </c>
    </row>
    <row r="18" spans="1:11" ht="18" customHeight="1">
      <c r="A18" s="4" t="s">
        <v>185</v>
      </c>
      <c r="B18" s="257" t="s">
        <v>183</v>
      </c>
      <c r="F18" s="13" t="s">
        <v>73</v>
      </c>
      <c r="G18" s="13" t="s">
        <v>73</v>
      </c>
      <c r="H18" s="14">
        <v>6574788</v>
      </c>
      <c r="I18" s="40">
        <v>0</v>
      </c>
      <c r="J18" s="14">
        <v>5622266</v>
      </c>
      <c r="K18" s="15">
        <f>(H18+I18)-J18</f>
        <v>952522</v>
      </c>
    </row>
    <row r="19" spans="1:11" ht="45" customHeight="1">
      <c r="A19" s="2" t="s">
        <v>8</v>
      </c>
      <c r="B19" s="3"/>
      <c r="C19" s="3"/>
      <c r="D19" s="3"/>
      <c r="E19" s="3"/>
      <c r="F19" s="8" t="s">
        <v>9</v>
      </c>
      <c r="G19" s="8" t="s">
        <v>37</v>
      </c>
      <c r="H19" s="8" t="s">
        <v>29</v>
      </c>
      <c r="I19" s="8" t="s">
        <v>30</v>
      </c>
      <c r="J19" s="8" t="s">
        <v>33</v>
      </c>
      <c r="K19" s="8" t="s">
        <v>34</v>
      </c>
    </row>
    <row r="20" spans="1:11" ht="18" customHeight="1">
      <c r="A20" s="5" t="s">
        <v>74</v>
      </c>
      <c r="B20" s="1" t="s">
        <v>41</v>
      </c>
    </row>
    <row r="21" spans="1:11" ht="18" customHeight="1">
      <c r="A21" s="4" t="s">
        <v>75</v>
      </c>
      <c r="B21" s="257" t="s">
        <v>42</v>
      </c>
      <c r="F21" s="13">
        <v>284</v>
      </c>
      <c r="G21" s="13">
        <v>1500</v>
      </c>
      <c r="H21" s="14"/>
      <c r="I21" s="40">
        <f t="shared" ref="I21:I34" si="0">H21*F$114</f>
        <v>0</v>
      </c>
      <c r="J21" s="14"/>
      <c r="K21" s="15">
        <f t="shared" ref="K21:K34" si="1">(H21+I21)-J21</f>
        <v>0</v>
      </c>
    </row>
    <row r="22" spans="1:11" ht="18" customHeight="1">
      <c r="A22" s="4" t="s">
        <v>76</v>
      </c>
      <c r="B22" t="s">
        <v>6</v>
      </c>
      <c r="F22" s="13"/>
      <c r="G22" s="13"/>
      <c r="H22" s="14"/>
      <c r="I22" s="40">
        <f t="shared" si="0"/>
        <v>0</v>
      </c>
      <c r="J22" s="14"/>
      <c r="K22" s="15">
        <f t="shared" si="1"/>
        <v>0</v>
      </c>
    </row>
    <row r="23" spans="1:11" ht="18" customHeight="1">
      <c r="A23" s="4" t="s">
        <v>77</v>
      </c>
      <c r="B23" t="s">
        <v>43</v>
      </c>
      <c r="F23" s="13"/>
      <c r="G23" s="13"/>
      <c r="H23" s="14"/>
      <c r="I23" s="40">
        <f t="shared" si="0"/>
        <v>0</v>
      </c>
      <c r="J23" s="14"/>
      <c r="K23" s="15">
        <f t="shared" si="1"/>
        <v>0</v>
      </c>
    </row>
    <row r="24" spans="1:11" ht="18" customHeight="1">
      <c r="A24" s="4" t="s">
        <v>78</v>
      </c>
      <c r="B24" t="s">
        <v>44</v>
      </c>
      <c r="F24" s="13"/>
      <c r="G24" s="13"/>
      <c r="H24" s="14"/>
      <c r="I24" s="40">
        <v>0</v>
      </c>
      <c r="J24" s="14"/>
      <c r="K24" s="15">
        <f t="shared" si="1"/>
        <v>0</v>
      </c>
    </row>
    <row r="25" spans="1:11" ht="18" customHeight="1">
      <c r="A25" s="4" t="s">
        <v>79</v>
      </c>
      <c r="B25" t="s">
        <v>5</v>
      </c>
      <c r="F25" s="13">
        <v>20</v>
      </c>
      <c r="G25" s="13">
        <v>330</v>
      </c>
      <c r="H25" s="14"/>
      <c r="I25" s="40">
        <f t="shared" si="0"/>
        <v>0</v>
      </c>
      <c r="J25" s="14"/>
      <c r="K25" s="15">
        <f t="shared" si="1"/>
        <v>0</v>
      </c>
    </row>
    <row r="26" spans="1:11" ht="18" customHeight="1">
      <c r="A26" s="4" t="s">
        <v>80</v>
      </c>
      <c r="B26" t="s">
        <v>45</v>
      </c>
      <c r="F26" s="13"/>
      <c r="G26" s="13"/>
      <c r="H26" s="14"/>
      <c r="I26" s="40">
        <f t="shared" si="0"/>
        <v>0</v>
      </c>
      <c r="J26" s="14"/>
      <c r="K26" s="15">
        <f t="shared" si="1"/>
        <v>0</v>
      </c>
    </row>
    <row r="27" spans="1:11" ht="18" customHeight="1">
      <c r="A27" s="4" t="s">
        <v>81</v>
      </c>
      <c r="B27" t="s">
        <v>46</v>
      </c>
      <c r="F27" s="13"/>
      <c r="G27" s="13"/>
      <c r="H27" s="14"/>
      <c r="I27" s="40">
        <f t="shared" si="0"/>
        <v>0</v>
      </c>
      <c r="J27" s="14"/>
      <c r="K27" s="15">
        <f t="shared" si="1"/>
        <v>0</v>
      </c>
    </row>
    <row r="28" spans="1:11" ht="18" customHeight="1">
      <c r="A28" s="4" t="s">
        <v>82</v>
      </c>
      <c r="B28" t="s">
        <v>47</v>
      </c>
      <c r="F28" s="13"/>
      <c r="G28" s="13"/>
      <c r="H28" s="14"/>
      <c r="I28" s="40">
        <f t="shared" si="0"/>
        <v>0</v>
      </c>
      <c r="J28" s="14"/>
      <c r="K28" s="15">
        <f t="shared" si="1"/>
        <v>0</v>
      </c>
    </row>
    <row r="29" spans="1:11" ht="18" customHeight="1">
      <c r="A29" s="4" t="s">
        <v>83</v>
      </c>
      <c r="B29" t="s">
        <v>48</v>
      </c>
      <c r="F29" s="13"/>
      <c r="G29" s="13"/>
      <c r="H29" s="14">
        <v>837257</v>
      </c>
      <c r="I29" s="40">
        <f t="shared" si="0"/>
        <v>541956.45609999995</v>
      </c>
      <c r="J29" s="14"/>
      <c r="K29" s="15">
        <f t="shared" si="1"/>
        <v>1379213.4561000001</v>
      </c>
    </row>
    <row r="30" spans="1:11" ht="18" customHeight="1">
      <c r="A30" s="4" t="s">
        <v>84</v>
      </c>
      <c r="B30" s="893"/>
      <c r="C30" s="894"/>
      <c r="D30" s="895"/>
      <c r="F30" s="13"/>
      <c r="G30" s="13"/>
      <c r="H30" s="14"/>
      <c r="I30" s="40">
        <f t="shared" si="0"/>
        <v>0</v>
      </c>
      <c r="J30" s="14"/>
      <c r="K30" s="15">
        <f t="shared" si="1"/>
        <v>0</v>
      </c>
    </row>
    <row r="31" spans="1:11" ht="18" customHeight="1">
      <c r="A31" s="4" t="s">
        <v>133</v>
      </c>
      <c r="B31" s="893"/>
      <c r="C31" s="894"/>
      <c r="D31" s="895"/>
      <c r="F31" s="13"/>
      <c r="G31" s="13"/>
      <c r="H31" s="14"/>
      <c r="I31" s="40">
        <f t="shared" si="0"/>
        <v>0</v>
      </c>
      <c r="J31" s="14"/>
      <c r="K31" s="15">
        <f t="shared" si="1"/>
        <v>0</v>
      </c>
    </row>
    <row r="32" spans="1:11" ht="18" customHeight="1">
      <c r="A32" s="4" t="s">
        <v>134</v>
      </c>
      <c r="B32" s="601"/>
      <c r="C32" s="602"/>
      <c r="D32" s="603"/>
      <c r="F32" s="13"/>
      <c r="G32" s="258" t="s">
        <v>85</v>
      </c>
      <c r="H32" s="14"/>
      <c r="I32" s="40">
        <f t="shared" si="0"/>
        <v>0</v>
      </c>
      <c r="J32" s="14"/>
      <c r="K32" s="15">
        <f t="shared" si="1"/>
        <v>0</v>
      </c>
    </row>
    <row r="33" spans="1:11" ht="18" customHeight="1">
      <c r="A33" s="4" t="s">
        <v>135</v>
      </c>
      <c r="B33" s="601"/>
      <c r="C33" s="602"/>
      <c r="D33" s="603"/>
      <c r="F33" s="13"/>
      <c r="G33" s="258" t="s">
        <v>85</v>
      </c>
      <c r="H33" s="14"/>
      <c r="I33" s="40">
        <f t="shared" si="0"/>
        <v>0</v>
      </c>
      <c r="J33" s="14"/>
      <c r="K33" s="15">
        <f t="shared" si="1"/>
        <v>0</v>
      </c>
    </row>
    <row r="34" spans="1:11" ht="18" customHeight="1">
      <c r="A34" s="4" t="s">
        <v>136</v>
      </c>
      <c r="B34" s="893"/>
      <c r="C34" s="894"/>
      <c r="D34" s="895"/>
      <c r="F34" s="13"/>
      <c r="G34" s="258" t="s">
        <v>85</v>
      </c>
      <c r="H34" s="14"/>
      <c r="I34" s="40">
        <f t="shared" si="0"/>
        <v>0</v>
      </c>
      <c r="J34" s="14"/>
      <c r="K34" s="15">
        <f t="shared" si="1"/>
        <v>0</v>
      </c>
    </row>
    <row r="35" spans="1:11" ht="18" customHeight="1">
      <c r="K35" s="35"/>
    </row>
    <row r="36" spans="1:11" ht="18" customHeight="1">
      <c r="A36" s="5" t="s">
        <v>137</v>
      </c>
      <c r="B36" s="1" t="s">
        <v>138</v>
      </c>
      <c r="E36" s="1" t="s">
        <v>7</v>
      </c>
      <c r="F36" s="17">
        <f t="shared" ref="F36:K36" si="2">SUM(F21:F34)</f>
        <v>304</v>
      </c>
      <c r="G36" s="17">
        <f t="shared" si="2"/>
        <v>1830</v>
      </c>
      <c r="H36" s="17">
        <f t="shared" si="2"/>
        <v>837257</v>
      </c>
      <c r="I36" s="15">
        <f t="shared" si="2"/>
        <v>541956.45609999995</v>
      </c>
      <c r="J36" s="15">
        <f t="shared" si="2"/>
        <v>0</v>
      </c>
      <c r="K36" s="15">
        <f t="shared" si="2"/>
        <v>1379213.4561000001</v>
      </c>
    </row>
    <row r="37" spans="1:11" ht="18" customHeight="1" thickBot="1">
      <c r="B37" s="1"/>
      <c r="F37" s="18"/>
      <c r="G37" s="18"/>
      <c r="H37" s="19"/>
      <c r="I37" s="19"/>
      <c r="J37" s="19"/>
      <c r="K37" s="36"/>
    </row>
    <row r="38" spans="1:11" ht="42.75" customHeight="1">
      <c r="F38" s="8" t="s">
        <v>9</v>
      </c>
      <c r="G38" s="8" t="s">
        <v>37</v>
      </c>
      <c r="H38" s="8" t="s">
        <v>29</v>
      </c>
      <c r="I38" s="8" t="s">
        <v>30</v>
      </c>
      <c r="J38" s="8" t="s">
        <v>33</v>
      </c>
      <c r="K38" s="8" t="s">
        <v>34</v>
      </c>
    </row>
    <row r="39" spans="1:11" ht="18.75" customHeight="1">
      <c r="A39" s="5" t="s">
        <v>86</v>
      </c>
      <c r="B39" s="1" t="s">
        <v>49</v>
      </c>
    </row>
    <row r="40" spans="1:11" ht="18" customHeight="1">
      <c r="A40" s="4" t="s">
        <v>87</v>
      </c>
      <c r="B40" t="s">
        <v>31</v>
      </c>
      <c r="F40" s="13">
        <v>100984</v>
      </c>
      <c r="G40" s="13"/>
      <c r="H40" s="14">
        <v>2771562</v>
      </c>
      <c r="I40" s="40">
        <v>0</v>
      </c>
      <c r="J40" s="14"/>
      <c r="K40" s="15">
        <f t="shared" ref="K40:K47" si="3">(H40+I40)-J40</f>
        <v>2771562</v>
      </c>
    </row>
    <row r="41" spans="1:11" ht="18" customHeight="1">
      <c r="A41" s="4" t="s">
        <v>88</v>
      </c>
      <c r="B41" s="931" t="s">
        <v>50</v>
      </c>
      <c r="C41" s="939"/>
      <c r="F41" s="13">
        <v>330</v>
      </c>
      <c r="G41" s="13">
        <v>300</v>
      </c>
      <c r="H41" s="14"/>
      <c r="I41" s="40">
        <v>13612</v>
      </c>
      <c r="J41" s="14"/>
      <c r="K41" s="15">
        <f t="shared" si="3"/>
        <v>13612</v>
      </c>
    </row>
    <row r="42" spans="1:11" ht="18" customHeight="1">
      <c r="A42" s="4" t="s">
        <v>89</v>
      </c>
      <c r="B42" s="257" t="s">
        <v>11</v>
      </c>
      <c r="F42" s="13"/>
      <c r="G42" s="13"/>
      <c r="H42" s="14"/>
      <c r="I42" s="40">
        <v>0</v>
      </c>
      <c r="J42" s="14"/>
      <c r="K42" s="15">
        <f t="shared" si="3"/>
        <v>0</v>
      </c>
    </row>
    <row r="43" spans="1:11" ht="18" customHeight="1">
      <c r="A43" s="4" t="s">
        <v>90</v>
      </c>
      <c r="B43" s="259" t="s">
        <v>10</v>
      </c>
      <c r="C43" s="9"/>
      <c r="D43" s="9"/>
      <c r="F43" s="13"/>
      <c r="G43" s="13"/>
      <c r="H43" s="14"/>
      <c r="I43" s="40">
        <v>0</v>
      </c>
      <c r="J43" s="14"/>
      <c r="K43" s="15">
        <f t="shared" si="3"/>
        <v>0</v>
      </c>
    </row>
    <row r="44" spans="1:11" ht="18" customHeight="1">
      <c r="A44" s="4" t="s">
        <v>91</v>
      </c>
      <c r="B44" s="893"/>
      <c r="C44" s="894"/>
      <c r="D44" s="895"/>
      <c r="F44" s="43"/>
      <c r="G44" s="43"/>
      <c r="H44" s="43"/>
      <c r="I44" s="44">
        <v>0</v>
      </c>
      <c r="J44" s="43"/>
      <c r="K44" s="45">
        <f t="shared" si="3"/>
        <v>0</v>
      </c>
    </row>
    <row r="45" spans="1:11" ht="18" customHeight="1">
      <c r="A45" s="4" t="s">
        <v>139</v>
      </c>
      <c r="B45" s="893"/>
      <c r="C45" s="894"/>
      <c r="D45" s="895"/>
      <c r="F45" s="13"/>
      <c r="G45" s="13"/>
      <c r="H45" s="14"/>
      <c r="I45" s="40">
        <v>0</v>
      </c>
      <c r="J45" s="14"/>
      <c r="K45" s="15">
        <f t="shared" si="3"/>
        <v>0</v>
      </c>
    </row>
    <row r="46" spans="1:11" ht="18" customHeight="1">
      <c r="A46" s="4" t="s">
        <v>140</v>
      </c>
      <c r="B46" s="893"/>
      <c r="C46" s="894"/>
      <c r="D46" s="895"/>
      <c r="F46" s="13"/>
      <c r="G46" s="13"/>
      <c r="H46" s="14"/>
      <c r="I46" s="40">
        <v>0</v>
      </c>
      <c r="J46" s="14"/>
      <c r="K46" s="15">
        <f t="shared" si="3"/>
        <v>0</v>
      </c>
    </row>
    <row r="47" spans="1:11" ht="18" customHeight="1">
      <c r="A47" s="4" t="s">
        <v>141</v>
      </c>
      <c r="B47" s="893"/>
      <c r="C47" s="894"/>
      <c r="D47" s="895"/>
      <c r="F47" s="13"/>
      <c r="G47" s="13"/>
      <c r="H47" s="14"/>
      <c r="I47" s="40">
        <v>0</v>
      </c>
      <c r="J47" s="14"/>
      <c r="K47" s="15">
        <f t="shared" si="3"/>
        <v>0</v>
      </c>
    </row>
    <row r="49" spans="1:11" ht="18" customHeight="1">
      <c r="A49" s="5" t="s">
        <v>142</v>
      </c>
      <c r="B49" s="1" t="s">
        <v>143</v>
      </c>
      <c r="E49" s="1" t="s">
        <v>7</v>
      </c>
      <c r="F49" s="22">
        <f t="shared" ref="F49:K49" si="4">SUM(F40:F47)</f>
        <v>101314</v>
      </c>
      <c r="G49" s="22">
        <f t="shared" si="4"/>
        <v>300</v>
      </c>
      <c r="H49" s="15">
        <f t="shared" si="4"/>
        <v>2771562</v>
      </c>
      <c r="I49" s="15">
        <f t="shared" si="4"/>
        <v>13612</v>
      </c>
      <c r="J49" s="15">
        <f t="shared" si="4"/>
        <v>0</v>
      </c>
      <c r="K49" s="15">
        <f t="shared" si="4"/>
        <v>2785174</v>
      </c>
    </row>
    <row r="50" spans="1:11" ht="18" customHeight="1" thickBot="1">
      <c r="G50" s="23"/>
      <c r="H50" s="23"/>
      <c r="I50" s="23"/>
      <c r="J50" s="23"/>
      <c r="K50" s="23"/>
    </row>
    <row r="51" spans="1:11" ht="42.75" customHeight="1">
      <c r="F51" s="8" t="s">
        <v>9</v>
      </c>
      <c r="G51" s="8" t="s">
        <v>37</v>
      </c>
      <c r="H51" s="8" t="s">
        <v>29</v>
      </c>
      <c r="I51" s="8" t="s">
        <v>30</v>
      </c>
      <c r="J51" s="8" t="s">
        <v>33</v>
      </c>
      <c r="K51" s="8" t="s">
        <v>34</v>
      </c>
    </row>
    <row r="52" spans="1:11" ht="18" customHeight="1">
      <c r="A52" s="5" t="s">
        <v>92</v>
      </c>
      <c r="B52" s="935" t="s">
        <v>38</v>
      </c>
      <c r="C52" s="936"/>
    </row>
    <row r="53" spans="1:11" ht="18" customHeight="1">
      <c r="A53" s="4" t="s">
        <v>51</v>
      </c>
      <c r="B53" s="937" t="s">
        <v>877</v>
      </c>
      <c r="C53" s="938"/>
      <c r="D53" s="934"/>
      <c r="F53" s="13"/>
      <c r="G53" s="13"/>
      <c r="H53" s="14">
        <v>5902457</v>
      </c>
      <c r="I53" s="40">
        <f t="shared" ref="I53:I62" si="5">H53*F$114</f>
        <v>3820660.4161</v>
      </c>
      <c r="J53" s="14"/>
      <c r="K53" s="15">
        <f t="shared" ref="K53:K62" si="6">(H53+I53)-J53</f>
        <v>9723117.4160999991</v>
      </c>
    </row>
    <row r="54" spans="1:11" ht="18" customHeight="1">
      <c r="A54" s="4" t="s">
        <v>93</v>
      </c>
      <c r="B54" s="604" t="s">
        <v>545</v>
      </c>
      <c r="C54" s="605"/>
      <c r="D54" s="606"/>
      <c r="F54" s="13">
        <v>14726</v>
      </c>
      <c r="G54" s="13"/>
      <c r="H54" s="14">
        <v>3300291</v>
      </c>
      <c r="I54" s="40">
        <f t="shared" si="5"/>
        <v>2136278.3643</v>
      </c>
      <c r="J54" s="14">
        <v>2046984</v>
      </c>
      <c r="K54" s="15">
        <f t="shared" si="6"/>
        <v>3389585.3642999995</v>
      </c>
    </row>
    <row r="55" spans="1:11" ht="18" customHeight="1">
      <c r="A55" s="4" t="s">
        <v>94</v>
      </c>
      <c r="B55" s="604" t="s">
        <v>483</v>
      </c>
      <c r="C55" s="604"/>
      <c r="D55" s="604"/>
      <c r="F55" s="13">
        <v>25462</v>
      </c>
      <c r="G55" s="13"/>
      <c r="H55" s="14">
        <v>4931846</v>
      </c>
      <c r="I55" s="40">
        <f t="shared" si="5"/>
        <v>3192383.9158000001</v>
      </c>
      <c r="J55" s="14">
        <v>1949526</v>
      </c>
      <c r="K55" s="15">
        <f t="shared" si="6"/>
        <v>6174703.9157999996</v>
      </c>
    </row>
    <row r="56" spans="1:11" ht="18" customHeight="1">
      <c r="A56" s="4" t="s">
        <v>95</v>
      </c>
      <c r="B56" s="604" t="s">
        <v>482</v>
      </c>
      <c r="C56" s="604"/>
      <c r="D56" s="604"/>
      <c r="F56" s="13"/>
      <c r="G56" s="13"/>
      <c r="H56" s="14">
        <v>4827065</v>
      </c>
      <c r="I56" s="40">
        <f t="shared" si="5"/>
        <v>3124559.1744999997</v>
      </c>
      <c r="J56" s="14">
        <v>1503503</v>
      </c>
      <c r="K56" s="15">
        <f t="shared" si="6"/>
        <v>6448121.1744999997</v>
      </c>
    </row>
    <row r="57" spans="1:11" ht="18" customHeight="1">
      <c r="A57" s="4" t="s">
        <v>96</v>
      </c>
      <c r="B57" s="604" t="s">
        <v>546</v>
      </c>
      <c r="C57" s="604"/>
      <c r="D57" s="604"/>
      <c r="F57" s="13"/>
      <c r="G57" s="13"/>
      <c r="H57" s="14">
        <v>4413386</v>
      </c>
      <c r="I57" s="40">
        <f t="shared" si="5"/>
        <v>2856784.7577999998</v>
      </c>
      <c r="J57" s="14">
        <v>204464</v>
      </c>
      <c r="K57" s="15">
        <f t="shared" si="6"/>
        <v>7065706.7577999998</v>
      </c>
    </row>
    <row r="58" spans="1:11" ht="18" customHeight="1">
      <c r="A58" s="4" t="s">
        <v>97</v>
      </c>
      <c r="B58" s="604" t="s">
        <v>878</v>
      </c>
      <c r="C58" s="604"/>
      <c r="D58" s="604"/>
      <c r="F58" s="13">
        <v>50522</v>
      </c>
      <c r="G58" s="13">
        <v>18529</v>
      </c>
      <c r="H58" s="14">
        <v>4183023</v>
      </c>
      <c r="I58" s="40">
        <f t="shared" si="5"/>
        <v>2707670.7878999999</v>
      </c>
      <c r="J58" s="14">
        <v>1445917</v>
      </c>
      <c r="K58" s="15">
        <f t="shared" si="6"/>
        <v>5444776.7878999999</v>
      </c>
    </row>
    <row r="59" spans="1:11" ht="18" customHeight="1">
      <c r="A59" s="4" t="s">
        <v>98</v>
      </c>
      <c r="B59" s="932" t="s">
        <v>485</v>
      </c>
      <c r="C59" s="933"/>
      <c r="D59" s="934"/>
      <c r="F59" s="13"/>
      <c r="G59" s="13"/>
      <c r="H59" s="14">
        <v>1089884</v>
      </c>
      <c r="I59" s="40">
        <f t="shared" si="5"/>
        <v>705481.91319999995</v>
      </c>
      <c r="J59" s="14"/>
      <c r="K59" s="15">
        <f t="shared" si="6"/>
        <v>1795365.9131999998</v>
      </c>
    </row>
    <row r="60" spans="1:11" ht="18" customHeight="1">
      <c r="A60" s="4" t="s">
        <v>99</v>
      </c>
      <c r="B60" s="604" t="s">
        <v>879</v>
      </c>
      <c r="C60" s="605"/>
      <c r="D60" s="606"/>
      <c r="F60" s="13"/>
      <c r="G60" s="13"/>
      <c r="H60" s="14">
        <v>1382267</v>
      </c>
      <c r="I60" s="40">
        <f t="shared" si="5"/>
        <v>894741.42909999995</v>
      </c>
      <c r="J60" s="14">
        <v>979589</v>
      </c>
      <c r="K60" s="15">
        <f t="shared" si="6"/>
        <v>1297419.4290999998</v>
      </c>
    </row>
    <row r="61" spans="1:11" ht="18" customHeight="1">
      <c r="A61" s="4" t="s">
        <v>100</v>
      </c>
      <c r="B61" s="604" t="s">
        <v>880</v>
      </c>
      <c r="C61" s="605"/>
      <c r="D61" s="606"/>
      <c r="F61" s="13"/>
      <c r="G61" s="13"/>
      <c r="H61" s="14">
        <v>221327</v>
      </c>
      <c r="I61" s="40">
        <f t="shared" si="5"/>
        <v>143264.96710000001</v>
      </c>
      <c r="J61" s="14"/>
      <c r="K61" s="15">
        <f t="shared" si="6"/>
        <v>364591.96710000001</v>
      </c>
    </row>
    <row r="62" spans="1:11" ht="18" customHeight="1">
      <c r="A62" s="4" t="s">
        <v>101</v>
      </c>
      <c r="B62" s="932" t="s">
        <v>535</v>
      </c>
      <c r="C62" s="933"/>
      <c r="D62" s="934"/>
      <c r="F62" s="13">
        <v>16640</v>
      </c>
      <c r="G62" s="13"/>
      <c r="H62" s="14">
        <v>930697</v>
      </c>
      <c r="I62" s="40">
        <f t="shared" si="5"/>
        <v>602440.16810000001</v>
      </c>
      <c r="J62" s="14"/>
      <c r="K62" s="15">
        <f t="shared" si="6"/>
        <v>1533137.1680999999</v>
      </c>
    </row>
    <row r="63" spans="1:11" ht="18" customHeight="1">
      <c r="A63" s="4"/>
      <c r="I63" s="37"/>
    </row>
    <row r="64" spans="1:11" ht="18" customHeight="1">
      <c r="A64" s="4" t="s">
        <v>144</v>
      </c>
      <c r="B64" s="1" t="s">
        <v>145</v>
      </c>
      <c r="E64" s="1" t="s">
        <v>7</v>
      </c>
      <c r="F64" s="17">
        <f t="shared" ref="F64:K64" si="7">SUM(F53:F62)</f>
        <v>107350</v>
      </c>
      <c r="G64" s="17">
        <f t="shared" si="7"/>
        <v>18529</v>
      </c>
      <c r="H64" s="15">
        <f t="shared" si="7"/>
        <v>31182243</v>
      </c>
      <c r="I64" s="15">
        <f t="shared" si="7"/>
        <v>20184265.8939</v>
      </c>
      <c r="J64" s="15">
        <f t="shared" si="7"/>
        <v>8129983</v>
      </c>
      <c r="K64" s="15">
        <f t="shared" si="7"/>
        <v>43236525.8939</v>
      </c>
    </row>
    <row r="65" spans="1:11" ht="18" customHeight="1">
      <c r="F65" s="38"/>
      <c r="G65" s="38"/>
      <c r="H65" s="38"/>
      <c r="I65" s="38"/>
      <c r="J65" s="38"/>
      <c r="K65" s="38"/>
    </row>
    <row r="66" spans="1:11" ht="42.75" customHeight="1">
      <c r="F66" s="46" t="s">
        <v>9</v>
      </c>
      <c r="G66" s="46" t="s">
        <v>37</v>
      </c>
      <c r="H66" s="46" t="s">
        <v>29</v>
      </c>
      <c r="I66" s="46" t="s">
        <v>30</v>
      </c>
      <c r="J66" s="46" t="s">
        <v>33</v>
      </c>
      <c r="K66" s="46" t="s">
        <v>34</v>
      </c>
    </row>
    <row r="67" spans="1:11" ht="18" customHeight="1">
      <c r="A67" s="5" t="s">
        <v>102</v>
      </c>
      <c r="B67" s="1" t="s">
        <v>12</v>
      </c>
      <c r="F67" s="47"/>
      <c r="G67" s="47"/>
      <c r="H67" s="47"/>
      <c r="I67" s="48"/>
      <c r="J67" s="47"/>
      <c r="K67" s="49"/>
    </row>
    <row r="68" spans="1:11" ht="18" customHeight="1">
      <c r="A68" s="4" t="s">
        <v>103</v>
      </c>
      <c r="B68" t="s">
        <v>52</v>
      </c>
      <c r="F68" s="41"/>
      <c r="G68" s="41"/>
      <c r="H68" s="41"/>
      <c r="I68" s="40">
        <v>0</v>
      </c>
      <c r="J68" s="41"/>
      <c r="K68" s="15">
        <f>(H68+I68)-J68</f>
        <v>0</v>
      </c>
    </row>
    <row r="69" spans="1:11" ht="18" customHeight="1">
      <c r="A69" s="4" t="s">
        <v>104</v>
      </c>
      <c r="B69" s="257" t="s">
        <v>53</v>
      </c>
      <c r="F69" s="41"/>
      <c r="G69" s="41"/>
      <c r="H69" s="41"/>
      <c r="I69" s="40">
        <v>0</v>
      </c>
      <c r="J69" s="41"/>
      <c r="K69" s="15">
        <f>(H69+I69)-J69</f>
        <v>0</v>
      </c>
    </row>
    <row r="70" spans="1:11" ht="18" customHeight="1">
      <c r="A70" s="4" t="s">
        <v>178</v>
      </c>
      <c r="B70" s="604"/>
      <c r="C70" s="605"/>
      <c r="D70" s="606"/>
      <c r="E70" s="1"/>
      <c r="F70" s="26"/>
      <c r="G70" s="26"/>
      <c r="H70" s="27"/>
      <c r="I70" s="40">
        <v>0</v>
      </c>
      <c r="J70" s="27"/>
      <c r="K70" s="15">
        <f>(H70+I70)-J70</f>
        <v>0</v>
      </c>
    </row>
    <row r="71" spans="1:11" ht="18" customHeight="1">
      <c r="A71" s="4" t="s">
        <v>179</v>
      </c>
      <c r="B71" s="604"/>
      <c r="C71" s="605"/>
      <c r="D71" s="606"/>
      <c r="E71" s="1"/>
      <c r="F71" s="26"/>
      <c r="G71" s="26"/>
      <c r="H71" s="27"/>
      <c r="I71" s="40">
        <v>0</v>
      </c>
      <c r="J71" s="27"/>
      <c r="K71" s="15">
        <f>(H71+I71)-J71</f>
        <v>0</v>
      </c>
    </row>
    <row r="72" spans="1:11" ht="18" customHeight="1">
      <c r="A72" s="4" t="s">
        <v>180</v>
      </c>
      <c r="B72" s="609"/>
      <c r="C72" s="607"/>
      <c r="D72" s="25"/>
      <c r="E72" s="1"/>
      <c r="F72" s="13"/>
      <c r="G72" s="13"/>
      <c r="H72" s="14"/>
      <c r="I72" s="40">
        <v>0</v>
      </c>
      <c r="J72" s="14"/>
      <c r="K72" s="15">
        <f>(H72+I72)-J72</f>
        <v>0</v>
      </c>
    </row>
    <row r="73" spans="1:11" ht="18" customHeight="1">
      <c r="A73" s="4"/>
      <c r="B73" s="257"/>
      <c r="E73" s="1"/>
      <c r="F73" s="50"/>
      <c r="G73" s="50"/>
      <c r="H73" s="51"/>
      <c r="I73" s="48"/>
      <c r="J73" s="51"/>
      <c r="K73" s="49"/>
    </row>
    <row r="74" spans="1:11" ht="18" customHeight="1">
      <c r="A74" s="5" t="s">
        <v>146</v>
      </c>
      <c r="B74" s="1" t="s">
        <v>147</v>
      </c>
      <c r="E74" s="1" t="s">
        <v>7</v>
      </c>
      <c r="F74" s="20">
        <f t="shared" ref="F74:K74" si="8">SUM(F68:F72)</f>
        <v>0</v>
      </c>
      <c r="G74" s="20">
        <f t="shared" si="8"/>
        <v>0</v>
      </c>
      <c r="H74" s="20">
        <f t="shared" si="8"/>
        <v>0</v>
      </c>
      <c r="I74" s="42">
        <f t="shared" si="8"/>
        <v>0</v>
      </c>
      <c r="J74" s="20">
        <f t="shared" si="8"/>
        <v>0</v>
      </c>
      <c r="K74" s="16">
        <f t="shared" si="8"/>
        <v>0</v>
      </c>
    </row>
    <row r="75" spans="1:11" ht="42.75" customHeight="1">
      <c r="F75" s="8" t="s">
        <v>9</v>
      </c>
      <c r="G75" s="8" t="s">
        <v>37</v>
      </c>
      <c r="H75" s="8" t="s">
        <v>29</v>
      </c>
      <c r="I75" s="8" t="s">
        <v>30</v>
      </c>
      <c r="J75" s="8" t="s">
        <v>33</v>
      </c>
      <c r="K75" s="8" t="s">
        <v>34</v>
      </c>
    </row>
    <row r="76" spans="1:11" ht="18" customHeight="1">
      <c r="A76" s="5" t="s">
        <v>105</v>
      </c>
      <c r="B76" s="1" t="s">
        <v>106</v>
      </c>
    </row>
    <row r="77" spans="1:11" ht="18" customHeight="1">
      <c r="A77" s="4" t="s">
        <v>107</v>
      </c>
      <c r="B77" s="257" t="s">
        <v>54</v>
      </c>
      <c r="F77" s="13"/>
      <c r="G77" s="13"/>
      <c r="H77" s="14"/>
      <c r="I77" s="40">
        <v>0</v>
      </c>
      <c r="J77" s="14"/>
      <c r="K77" s="15">
        <f>(H77+I77)-J77</f>
        <v>0</v>
      </c>
    </row>
    <row r="78" spans="1:11" ht="18" customHeight="1">
      <c r="A78" s="4" t="s">
        <v>108</v>
      </c>
      <c r="B78" s="257" t="s">
        <v>55</v>
      </c>
      <c r="F78" s="13"/>
      <c r="G78" s="13"/>
      <c r="H78" s="14"/>
      <c r="I78" s="40">
        <v>0</v>
      </c>
      <c r="J78" s="14"/>
      <c r="K78" s="15">
        <f>(H78+I78)-J78</f>
        <v>0</v>
      </c>
    </row>
    <row r="79" spans="1:11" ht="18" customHeight="1">
      <c r="A79" s="4" t="s">
        <v>109</v>
      </c>
      <c r="B79" s="257" t="s">
        <v>13</v>
      </c>
      <c r="F79" s="13"/>
      <c r="G79" s="13"/>
      <c r="H79" s="14"/>
      <c r="I79" s="40">
        <v>0</v>
      </c>
      <c r="J79" s="14"/>
      <c r="K79" s="15">
        <f>(H79+I79)-J79</f>
        <v>0</v>
      </c>
    </row>
    <row r="80" spans="1:11" ht="18" customHeight="1">
      <c r="A80" s="4" t="s">
        <v>110</v>
      </c>
      <c r="B80" s="257" t="s">
        <v>56</v>
      </c>
      <c r="F80" s="13"/>
      <c r="G80" s="13"/>
      <c r="H80" s="14"/>
      <c r="I80" s="40">
        <v>0</v>
      </c>
      <c r="J80" s="14"/>
      <c r="K80" s="15">
        <f>(H80+I80)-J80</f>
        <v>0</v>
      </c>
    </row>
    <row r="81" spans="1:11" ht="18" customHeight="1">
      <c r="A81" s="4"/>
      <c r="K81" s="31"/>
    </row>
    <row r="82" spans="1:11" ht="18" customHeight="1">
      <c r="A82" s="4" t="s">
        <v>148</v>
      </c>
      <c r="B82" s="1" t="s">
        <v>149</v>
      </c>
      <c r="E82" s="1" t="s">
        <v>7</v>
      </c>
      <c r="F82" s="20">
        <f t="shared" ref="F82:K82" si="9">SUM(F77:F80)</f>
        <v>0</v>
      </c>
      <c r="G82" s="20">
        <f t="shared" si="9"/>
        <v>0</v>
      </c>
      <c r="H82" s="16">
        <f t="shared" si="9"/>
        <v>0</v>
      </c>
      <c r="I82" s="16">
        <f t="shared" si="9"/>
        <v>0</v>
      </c>
      <c r="J82" s="16">
        <f t="shared" si="9"/>
        <v>0</v>
      </c>
      <c r="K82" s="16">
        <f t="shared" si="9"/>
        <v>0</v>
      </c>
    </row>
    <row r="83" spans="1:11" ht="18" customHeight="1" thickBot="1">
      <c r="A83" s="4"/>
      <c r="F83" s="23"/>
      <c r="G83" s="23"/>
      <c r="H83" s="23"/>
      <c r="I83" s="23"/>
      <c r="J83" s="23"/>
      <c r="K83" s="23"/>
    </row>
    <row r="84" spans="1:11" ht="42.75" customHeight="1">
      <c r="F84" s="8" t="s">
        <v>9</v>
      </c>
      <c r="G84" s="8" t="s">
        <v>37</v>
      </c>
      <c r="H84" s="8" t="s">
        <v>29</v>
      </c>
      <c r="I84" s="8" t="s">
        <v>30</v>
      </c>
      <c r="J84" s="8" t="s">
        <v>33</v>
      </c>
      <c r="K84" s="8" t="s">
        <v>34</v>
      </c>
    </row>
    <row r="85" spans="1:11" ht="18" customHeight="1">
      <c r="A85" s="5" t="s">
        <v>111</v>
      </c>
      <c r="B85" s="1" t="s">
        <v>57</v>
      </c>
    </row>
    <row r="86" spans="1:11" ht="18" customHeight="1">
      <c r="A86" s="4" t="s">
        <v>112</v>
      </c>
      <c r="B86" s="257" t="s">
        <v>113</v>
      </c>
      <c r="F86" s="13"/>
      <c r="G86" s="13"/>
      <c r="H86" s="14"/>
      <c r="I86" s="40">
        <f t="shared" ref="I86:I96" si="10">H86*F$114</f>
        <v>0</v>
      </c>
      <c r="J86" s="14"/>
      <c r="K86" s="15">
        <f t="shared" ref="K86:K96" si="11">(H86+I86)-J86</f>
        <v>0</v>
      </c>
    </row>
    <row r="87" spans="1:11" ht="18" customHeight="1">
      <c r="A87" s="4" t="s">
        <v>114</v>
      </c>
      <c r="B87" s="257" t="s">
        <v>14</v>
      </c>
      <c r="F87" s="13"/>
      <c r="G87" s="13"/>
      <c r="H87" s="14"/>
      <c r="I87" s="40">
        <f t="shared" si="10"/>
        <v>0</v>
      </c>
      <c r="J87" s="14"/>
      <c r="K87" s="15">
        <f t="shared" si="11"/>
        <v>0</v>
      </c>
    </row>
    <row r="88" spans="1:11" ht="18" customHeight="1">
      <c r="A88" s="4" t="s">
        <v>115</v>
      </c>
      <c r="B88" s="257" t="s">
        <v>116</v>
      </c>
      <c r="F88" s="13"/>
      <c r="G88" s="13"/>
      <c r="H88" s="14">
        <v>10355</v>
      </c>
      <c r="I88" s="40">
        <f t="shared" si="10"/>
        <v>6702.7915000000003</v>
      </c>
      <c r="J88" s="14"/>
      <c r="K88" s="15">
        <f t="shared" si="11"/>
        <v>17057.791499999999</v>
      </c>
    </row>
    <row r="89" spans="1:11" ht="18" customHeight="1">
      <c r="A89" s="4" t="s">
        <v>117</v>
      </c>
      <c r="B89" s="257" t="s">
        <v>58</v>
      </c>
      <c r="F89" s="13"/>
      <c r="G89" s="13"/>
      <c r="H89" s="14"/>
      <c r="I89" s="40">
        <f t="shared" si="10"/>
        <v>0</v>
      </c>
      <c r="J89" s="14"/>
      <c r="K89" s="15">
        <f t="shared" si="11"/>
        <v>0</v>
      </c>
    </row>
    <row r="90" spans="1:11" ht="18" customHeight="1">
      <c r="A90" s="4" t="s">
        <v>118</v>
      </c>
      <c r="B90" s="931" t="s">
        <v>59</v>
      </c>
      <c r="C90" s="939"/>
      <c r="F90" s="13"/>
      <c r="G90" s="13"/>
      <c r="H90" s="14"/>
      <c r="I90" s="40">
        <f t="shared" si="10"/>
        <v>0</v>
      </c>
      <c r="J90" s="14"/>
      <c r="K90" s="15">
        <f t="shared" si="11"/>
        <v>0</v>
      </c>
    </row>
    <row r="91" spans="1:11" ht="18" customHeight="1">
      <c r="A91" s="4" t="s">
        <v>119</v>
      </c>
      <c r="B91" s="257" t="s">
        <v>60</v>
      </c>
      <c r="F91" s="13">
        <v>426</v>
      </c>
      <c r="G91" s="13">
        <v>86</v>
      </c>
      <c r="H91" s="14">
        <v>43118</v>
      </c>
      <c r="I91" s="40">
        <f t="shared" si="10"/>
        <v>27910.2814</v>
      </c>
      <c r="J91" s="14"/>
      <c r="K91" s="15">
        <f t="shared" si="11"/>
        <v>71028.281400000007</v>
      </c>
    </row>
    <row r="92" spans="1:11" ht="18" customHeight="1">
      <c r="A92" s="4" t="s">
        <v>120</v>
      </c>
      <c r="B92" s="257" t="s">
        <v>121</v>
      </c>
      <c r="F92" s="29"/>
      <c r="G92" s="29"/>
      <c r="H92" s="30"/>
      <c r="I92" s="40">
        <f t="shared" si="10"/>
        <v>0</v>
      </c>
      <c r="J92" s="30"/>
      <c r="K92" s="15">
        <f t="shared" si="11"/>
        <v>0</v>
      </c>
    </row>
    <row r="93" spans="1:11" ht="18" customHeight="1">
      <c r="A93" s="4" t="s">
        <v>122</v>
      </c>
      <c r="B93" s="257" t="s">
        <v>123</v>
      </c>
      <c r="F93" s="13"/>
      <c r="G93" s="13"/>
      <c r="H93" s="14"/>
      <c r="I93" s="40">
        <f t="shared" si="10"/>
        <v>0</v>
      </c>
      <c r="J93" s="14"/>
      <c r="K93" s="15">
        <f t="shared" si="11"/>
        <v>0</v>
      </c>
    </row>
    <row r="94" spans="1:11" ht="18" customHeight="1">
      <c r="A94" s="4" t="s">
        <v>124</v>
      </c>
      <c r="B94" s="932"/>
      <c r="C94" s="933"/>
      <c r="D94" s="934"/>
      <c r="F94" s="13"/>
      <c r="G94" s="13"/>
      <c r="H94" s="14"/>
      <c r="I94" s="40">
        <f t="shared" si="10"/>
        <v>0</v>
      </c>
      <c r="J94" s="14"/>
      <c r="K94" s="15">
        <f t="shared" si="11"/>
        <v>0</v>
      </c>
    </row>
    <row r="95" spans="1:11" ht="18" customHeight="1">
      <c r="A95" s="4" t="s">
        <v>125</v>
      </c>
      <c r="B95" s="932"/>
      <c r="C95" s="933"/>
      <c r="D95" s="934"/>
      <c r="F95" s="13"/>
      <c r="G95" s="13"/>
      <c r="H95" s="14"/>
      <c r="I95" s="40">
        <f t="shared" si="10"/>
        <v>0</v>
      </c>
      <c r="J95" s="14"/>
      <c r="K95" s="15">
        <f t="shared" si="11"/>
        <v>0</v>
      </c>
    </row>
    <row r="96" spans="1:11" ht="18" customHeight="1">
      <c r="A96" s="4" t="s">
        <v>126</v>
      </c>
      <c r="B96" s="932"/>
      <c r="C96" s="933"/>
      <c r="D96" s="934"/>
      <c r="F96" s="13"/>
      <c r="G96" s="13"/>
      <c r="H96" s="14"/>
      <c r="I96" s="40">
        <f t="shared" si="10"/>
        <v>0</v>
      </c>
      <c r="J96" s="14"/>
      <c r="K96" s="15">
        <f t="shared" si="11"/>
        <v>0</v>
      </c>
    </row>
    <row r="97" spans="1:11" ht="18" customHeight="1">
      <c r="A97" s="4"/>
      <c r="B97" s="257"/>
    </row>
    <row r="98" spans="1:11" ht="18" customHeight="1">
      <c r="A98" s="5" t="s">
        <v>150</v>
      </c>
      <c r="B98" s="1" t="s">
        <v>151</v>
      </c>
      <c r="E98" s="1" t="s">
        <v>7</v>
      </c>
      <c r="F98" s="17">
        <f t="shared" ref="F98:K98" si="12">SUM(F86:F96)</f>
        <v>426</v>
      </c>
      <c r="G98" s="17">
        <f t="shared" si="12"/>
        <v>86</v>
      </c>
      <c r="H98" s="17">
        <f t="shared" si="12"/>
        <v>53473</v>
      </c>
      <c r="I98" s="17">
        <f t="shared" si="12"/>
        <v>34613.072899999999</v>
      </c>
      <c r="J98" s="17">
        <f t="shared" si="12"/>
        <v>0</v>
      </c>
      <c r="K98" s="17">
        <f t="shared" si="12"/>
        <v>88086.072899999999</v>
      </c>
    </row>
    <row r="99" spans="1:11" ht="18" customHeight="1" thickBot="1">
      <c r="B99" s="1"/>
      <c r="F99" s="23"/>
      <c r="G99" s="23"/>
      <c r="H99" s="23"/>
      <c r="I99" s="23"/>
      <c r="J99" s="23"/>
      <c r="K99" s="23"/>
    </row>
    <row r="100" spans="1:11" ht="42.75" customHeight="1">
      <c r="F100" s="8" t="s">
        <v>9</v>
      </c>
      <c r="G100" s="8" t="s">
        <v>37</v>
      </c>
      <c r="H100" s="8" t="s">
        <v>29</v>
      </c>
      <c r="I100" s="8" t="s">
        <v>30</v>
      </c>
      <c r="J100" s="8" t="s">
        <v>33</v>
      </c>
      <c r="K100" s="8" t="s">
        <v>34</v>
      </c>
    </row>
    <row r="101" spans="1:11" ht="18" customHeight="1">
      <c r="A101" s="5" t="s">
        <v>130</v>
      </c>
      <c r="B101" s="1" t="s">
        <v>63</v>
      </c>
    </row>
    <row r="102" spans="1:11" ht="18" customHeight="1">
      <c r="A102" s="4" t="s">
        <v>131</v>
      </c>
      <c r="B102" s="257" t="s">
        <v>152</v>
      </c>
      <c r="F102" s="13">
        <v>1800</v>
      </c>
      <c r="G102" s="13"/>
      <c r="H102" s="14">
        <v>166167</v>
      </c>
      <c r="I102" s="40">
        <f>H102*F$114</f>
        <v>107559.8991</v>
      </c>
      <c r="J102" s="14"/>
      <c r="K102" s="15">
        <f>(H102+I102)-J102</f>
        <v>273726.89909999998</v>
      </c>
    </row>
    <row r="103" spans="1:11" ht="18" customHeight="1">
      <c r="A103" s="4" t="s">
        <v>132</v>
      </c>
      <c r="B103" s="931" t="s">
        <v>62</v>
      </c>
      <c r="C103" s="931"/>
      <c r="F103" s="13"/>
      <c r="G103" s="13"/>
      <c r="H103" s="14"/>
      <c r="I103" s="40">
        <f>H103*F$114</f>
        <v>0</v>
      </c>
      <c r="J103" s="14"/>
      <c r="K103" s="15">
        <f>(H103+I103)-J103</f>
        <v>0</v>
      </c>
    </row>
    <row r="104" spans="1:11" ht="18" customHeight="1">
      <c r="A104" s="4" t="s">
        <v>128</v>
      </c>
      <c r="B104" s="932"/>
      <c r="C104" s="933"/>
      <c r="D104" s="934"/>
      <c r="F104" s="13"/>
      <c r="G104" s="13"/>
      <c r="H104" s="14"/>
      <c r="I104" s="40">
        <f>H104*F$114</f>
        <v>0</v>
      </c>
      <c r="J104" s="14"/>
      <c r="K104" s="15">
        <f>(H104+I104)-J104</f>
        <v>0</v>
      </c>
    </row>
    <row r="105" spans="1:11" ht="18" customHeight="1">
      <c r="A105" s="4" t="s">
        <v>127</v>
      </c>
      <c r="B105" s="932"/>
      <c r="C105" s="933"/>
      <c r="D105" s="934"/>
      <c r="F105" s="13"/>
      <c r="G105" s="13"/>
      <c r="H105" s="14"/>
      <c r="I105" s="40">
        <f>H105*F$114</f>
        <v>0</v>
      </c>
      <c r="J105" s="14"/>
      <c r="K105" s="15">
        <f>(H105+I105)-J105</f>
        <v>0</v>
      </c>
    </row>
    <row r="106" spans="1:11" ht="18" customHeight="1">
      <c r="A106" s="4" t="s">
        <v>129</v>
      </c>
      <c r="B106" s="932"/>
      <c r="C106" s="933"/>
      <c r="D106" s="934"/>
      <c r="F106" s="13"/>
      <c r="G106" s="13"/>
      <c r="H106" s="14"/>
      <c r="I106" s="40">
        <f>H106*F$114</f>
        <v>0</v>
      </c>
      <c r="J106" s="14"/>
      <c r="K106" s="15">
        <f>(H106+I106)-J106</f>
        <v>0</v>
      </c>
    </row>
    <row r="107" spans="1:11" ht="18" customHeight="1">
      <c r="B107" s="1"/>
    </row>
    <row r="108" spans="1:11" s="9" customFormat="1" ht="18" customHeight="1">
      <c r="A108" s="5" t="s">
        <v>153</v>
      </c>
      <c r="B108" s="52" t="s">
        <v>154</v>
      </c>
      <c r="C108"/>
      <c r="D108"/>
      <c r="E108" s="1" t="s">
        <v>7</v>
      </c>
      <c r="F108" s="17">
        <f t="shared" ref="F108:K108" si="13">SUM(F102:F106)</f>
        <v>1800</v>
      </c>
      <c r="G108" s="17">
        <f t="shared" si="13"/>
        <v>0</v>
      </c>
      <c r="H108" s="15">
        <f t="shared" si="13"/>
        <v>166167</v>
      </c>
      <c r="I108" s="15">
        <f t="shared" si="13"/>
        <v>107559.8991</v>
      </c>
      <c r="J108" s="15">
        <f t="shared" si="13"/>
        <v>0</v>
      </c>
      <c r="K108" s="15">
        <f t="shared" si="13"/>
        <v>273726.89909999998</v>
      </c>
    </row>
    <row r="109" spans="1:11" s="9" customFormat="1" ht="18" customHeight="1" thickBot="1">
      <c r="A109" s="10"/>
      <c r="B109" s="11"/>
      <c r="C109" s="12"/>
      <c r="D109" s="12"/>
      <c r="E109" s="12"/>
      <c r="F109" s="23"/>
      <c r="G109" s="23"/>
      <c r="H109" s="23"/>
      <c r="I109" s="23"/>
      <c r="J109" s="23"/>
      <c r="K109" s="23"/>
    </row>
    <row r="110" spans="1:11" s="9" customFormat="1" ht="18" customHeight="1">
      <c r="A110" s="5" t="s">
        <v>156</v>
      </c>
      <c r="B110" s="1" t="s">
        <v>39</v>
      </c>
      <c r="C110"/>
      <c r="D110"/>
      <c r="E110"/>
      <c r="F110"/>
      <c r="G110"/>
      <c r="H110"/>
      <c r="I110"/>
      <c r="J110"/>
      <c r="K110"/>
    </row>
    <row r="111" spans="1:11" ht="18" customHeight="1">
      <c r="A111" s="5" t="s">
        <v>155</v>
      </c>
      <c r="B111" s="1" t="s">
        <v>164</v>
      </c>
      <c r="E111" s="1" t="s">
        <v>7</v>
      </c>
      <c r="F111" s="14">
        <v>15079327</v>
      </c>
    </row>
    <row r="112" spans="1:11" ht="18" customHeight="1">
      <c r="B112" s="1"/>
      <c r="E112" s="1"/>
      <c r="F112" s="21"/>
    </row>
    <row r="113" spans="1:6" ht="18" customHeight="1">
      <c r="A113" s="5"/>
      <c r="B113" s="1" t="s">
        <v>15</v>
      </c>
    </row>
    <row r="114" spans="1:6" ht="18" customHeight="1">
      <c r="A114" s="4" t="s">
        <v>171</v>
      </c>
      <c r="B114" s="257" t="s">
        <v>35</v>
      </c>
      <c r="F114" s="24">
        <v>0.64729999999999999</v>
      </c>
    </row>
    <row r="115" spans="1:6" ht="18" customHeight="1">
      <c r="A115" s="4"/>
      <c r="B115" s="1"/>
    </row>
    <row r="116" spans="1:6" ht="18" customHeight="1">
      <c r="A116" s="4" t="s">
        <v>170</v>
      </c>
      <c r="B116" s="1" t="s">
        <v>16</v>
      </c>
    </row>
    <row r="117" spans="1:6" ht="18" customHeight="1">
      <c r="A117" s="4" t="s">
        <v>172</v>
      </c>
      <c r="B117" s="257" t="s">
        <v>17</v>
      </c>
      <c r="F117" s="14">
        <v>237779700</v>
      </c>
    </row>
    <row r="118" spans="1:6" ht="18" customHeight="1">
      <c r="A118" s="4" t="s">
        <v>173</v>
      </c>
      <c r="B118" t="s">
        <v>18</v>
      </c>
      <c r="F118" s="14">
        <v>6260000</v>
      </c>
    </row>
    <row r="119" spans="1:6" ht="18" customHeight="1">
      <c r="A119" s="4" t="s">
        <v>174</v>
      </c>
      <c r="B119" s="1" t="s">
        <v>19</v>
      </c>
      <c r="F119" s="16">
        <f>SUM(F117:F118)</f>
        <v>244039700</v>
      </c>
    </row>
    <row r="120" spans="1:6" ht="18" customHeight="1">
      <c r="A120" s="4"/>
      <c r="B120" s="1"/>
    </row>
    <row r="121" spans="1:6" ht="18" customHeight="1">
      <c r="A121" s="4" t="s">
        <v>167</v>
      </c>
      <c r="B121" s="1" t="s">
        <v>36</v>
      </c>
      <c r="F121" s="14">
        <v>220302100</v>
      </c>
    </row>
    <row r="122" spans="1:6" ht="18" customHeight="1">
      <c r="A122" s="4"/>
    </row>
    <row r="123" spans="1:6" ht="18" customHeight="1">
      <c r="A123" s="4" t="s">
        <v>175</v>
      </c>
      <c r="B123" s="1" t="s">
        <v>20</v>
      </c>
      <c r="F123" s="14">
        <v>23737600</v>
      </c>
    </row>
    <row r="124" spans="1:6" ht="18" customHeight="1">
      <c r="A124" s="4"/>
    </row>
    <row r="125" spans="1:6" ht="18" customHeight="1">
      <c r="A125" s="4" t="s">
        <v>176</v>
      </c>
      <c r="B125" s="1" t="s">
        <v>21</v>
      </c>
      <c r="F125" s="14"/>
    </row>
    <row r="126" spans="1:6" ht="18" customHeight="1">
      <c r="A126" s="4"/>
    </row>
    <row r="127" spans="1:6" ht="18" customHeight="1">
      <c r="A127" s="4" t="s">
        <v>177</v>
      </c>
      <c r="B127" s="1" t="s">
        <v>22</v>
      </c>
      <c r="F127" s="14">
        <v>23737600</v>
      </c>
    </row>
    <row r="128" spans="1:6" ht="18" customHeight="1">
      <c r="A128" s="4"/>
    </row>
    <row r="129" spans="1:11" ht="42.75" customHeight="1">
      <c r="F129" s="8" t="s">
        <v>9</v>
      </c>
      <c r="G129" s="8" t="s">
        <v>37</v>
      </c>
      <c r="H129" s="8" t="s">
        <v>29</v>
      </c>
      <c r="I129" s="8" t="s">
        <v>30</v>
      </c>
      <c r="J129" s="8" t="s">
        <v>33</v>
      </c>
      <c r="K129" s="8" t="s">
        <v>34</v>
      </c>
    </row>
    <row r="130" spans="1:11" ht="18" customHeight="1">
      <c r="A130" s="5" t="s">
        <v>157</v>
      </c>
      <c r="B130" s="1" t="s">
        <v>23</v>
      </c>
    </row>
    <row r="131" spans="1:11" ht="18" customHeight="1">
      <c r="A131" s="4" t="s">
        <v>158</v>
      </c>
      <c r="B131" t="s">
        <v>24</v>
      </c>
      <c r="F131" s="13"/>
      <c r="G131" s="13"/>
      <c r="H131" s="14"/>
      <c r="I131" s="40">
        <v>0</v>
      </c>
      <c r="J131" s="14"/>
      <c r="K131" s="15">
        <f>(H131+I131)-J131</f>
        <v>0</v>
      </c>
    </row>
    <row r="132" spans="1:11" ht="18" customHeight="1">
      <c r="A132" s="4" t="s">
        <v>159</v>
      </c>
      <c r="B132" t="s">
        <v>25</v>
      </c>
      <c r="F132" s="13"/>
      <c r="G132" s="13"/>
      <c r="H132" s="14"/>
      <c r="I132" s="40">
        <v>0</v>
      </c>
      <c r="J132" s="14"/>
      <c r="K132" s="15">
        <f>(H132+I132)-J132</f>
        <v>0</v>
      </c>
    </row>
    <row r="133" spans="1:11" ht="18" customHeight="1">
      <c r="A133" s="4" t="s">
        <v>160</v>
      </c>
      <c r="B133" s="893"/>
      <c r="C133" s="894"/>
      <c r="D133" s="895"/>
      <c r="F133" s="13"/>
      <c r="G133" s="13"/>
      <c r="H133" s="14"/>
      <c r="I133" s="40">
        <v>0</v>
      </c>
      <c r="J133" s="14"/>
      <c r="K133" s="15">
        <f>(H133+I133)-J133</f>
        <v>0</v>
      </c>
    </row>
    <row r="134" spans="1:11" ht="18" customHeight="1">
      <c r="A134" s="4" t="s">
        <v>161</v>
      </c>
      <c r="B134" s="893"/>
      <c r="C134" s="894"/>
      <c r="D134" s="895"/>
      <c r="F134" s="13"/>
      <c r="G134" s="13"/>
      <c r="H134" s="14"/>
      <c r="I134" s="40">
        <v>0</v>
      </c>
      <c r="J134" s="14"/>
      <c r="K134" s="15">
        <f>(H134+I134)-J134</f>
        <v>0</v>
      </c>
    </row>
    <row r="135" spans="1:11" ht="18" customHeight="1">
      <c r="A135" s="4" t="s">
        <v>162</v>
      </c>
      <c r="B135" s="893"/>
      <c r="C135" s="894"/>
      <c r="D135" s="895"/>
      <c r="F135" s="13"/>
      <c r="G135" s="13"/>
      <c r="H135" s="14"/>
      <c r="I135" s="40">
        <v>0</v>
      </c>
      <c r="J135" s="14"/>
      <c r="K135" s="15">
        <f>(H135+I135)-J135</f>
        <v>0</v>
      </c>
    </row>
    <row r="136" spans="1:11" ht="18" customHeight="1">
      <c r="A136" s="5"/>
    </row>
    <row r="137" spans="1:11" ht="18" customHeight="1">
      <c r="A137" s="5" t="s">
        <v>163</v>
      </c>
      <c r="B137" s="1" t="s">
        <v>27</v>
      </c>
      <c r="F137" s="17">
        <f t="shared" ref="F137:K137" si="14">SUM(F131:F135)</f>
        <v>0</v>
      </c>
      <c r="G137" s="17">
        <f t="shared" si="14"/>
        <v>0</v>
      </c>
      <c r="H137" s="15">
        <f t="shared" si="14"/>
        <v>0</v>
      </c>
      <c r="I137" s="15">
        <f t="shared" si="14"/>
        <v>0</v>
      </c>
      <c r="J137" s="15">
        <f t="shared" si="14"/>
        <v>0</v>
      </c>
      <c r="K137" s="15">
        <f t="shared" si="14"/>
        <v>0</v>
      </c>
    </row>
    <row r="138" spans="1:11" ht="18" customHeight="1">
      <c r="A138"/>
    </row>
    <row r="139" spans="1:11" ht="42.75" customHeight="1">
      <c r="F139" s="8" t="s">
        <v>9</v>
      </c>
      <c r="G139" s="8" t="s">
        <v>37</v>
      </c>
      <c r="H139" s="8" t="s">
        <v>29</v>
      </c>
      <c r="I139" s="8" t="s">
        <v>30</v>
      </c>
      <c r="J139" s="8" t="s">
        <v>33</v>
      </c>
      <c r="K139" s="8" t="s">
        <v>34</v>
      </c>
    </row>
    <row r="140" spans="1:11" ht="18" customHeight="1">
      <c r="A140" s="5" t="s">
        <v>166</v>
      </c>
      <c r="B140" s="1" t="s">
        <v>26</v>
      </c>
    </row>
    <row r="141" spans="1:11" ht="18" customHeight="1">
      <c r="A141" s="4" t="s">
        <v>137</v>
      </c>
      <c r="B141" s="1" t="s">
        <v>64</v>
      </c>
      <c r="F141" s="32">
        <f t="shared" ref="F141:K141" si="15">F36</f>
        <v>304</v>
      </c>
      <c r="G141" s="32">
        <f t="shared" si="15"/>
        <v>1830</v>
      </c>
      <c r="H141" s="32">
        <f t="shared" si="15"/>
        <v>837257</v>
      </c>
      <c r="I141" s="32">
        <f t="shared" si="15"/>
        <v>541956.45609999995</v>
      </c>
      <c r="J141" s="32">
        <f t="shared" si="15"/>
        <v>0</v>
      </c>
      <c r="K141" s="32">
        <f t="shared" si="15"/>
        <v>1379213.4561000001</v>
      </c>
    </row>
    <row r="142" spans="1:11" ht="18" customHeight="1">
      <c r="A142" s="4" t="s">
        <v>142</v>
      </c>
      <c r="B142" s="1" t="s">
        <v>65</v>
      </c>
      <c r="F142" s="32">
        <f t="shared" ref="F142:K142" si="16">F49</f>
        <v>101314</v>
      </c>
      <c r="G142" s="32">
        <f t="shared" si="16"/>
        <v>300</v>
      </c>
      <c r="H142" s="32">
        <f t="shared" si="16"/>
        <v>2771562</v>
      </c>
      <c r="I142" s="32">
        <f t="shared" si="16"/>
        <v>13612</v>
      </c>
      <c r="J142" s="32">
        <f t="shared" si="16"/>
        <v>0</v>
      </c>
      <c r="K142" s="32">
        <f t="shared" si="16"/>
        <v>2785174</v>
      </c>
    </row>
    <row r="143" spans="1:11" ht="18" customHeight="1">
      <c r="A143" s="4" t="s">
        <v>144</v>
      </c>
      <c r="B143" s="1" t="s">
        <v>66</v>
      </c>
      <c r="F143" s="32">
        <f t="shared" ref="F143:K143" si="17">F64</f>
        <v>107350</v>
      </c>
      <c r="G143" s="32">
        <f t="shared" si="17"/>
        <v>18529</v>
      </c>
      <c r="H143" s="32">
        <f t="shared" si="17"/>
        <v>31182243</v>
      </c>
      <c r="I143" s="32">
        <f t="shared" si="17"/>
        <v>20184265.8939</v>
      </c>
      <c r="J143" s="32">
        <f t="shared" si="17"/>
        <v>8129983</v>
      </c>
      <c r="K143" s="32">
        <f t="shared" si="17"/>
        <v>43236525.8939</v>
      </c>
    </row>
    <row r="144" spans="1:11" ht="18" customHeight="1">
      <c r="A144" s="4" t="s">
        <v>146</v>
      </c>
      <c r="B144" s="1" t="s">
        <v>67</v>
      </c>
      <c r="F144" s="32">
        <f t="shared" ref="F144:K144" si="18">F74</f>
        <v>0</v>
      </c>
      <c r="G144" s="32">
        <f t="shared" si="18"/>
        <v>0</v>
      </c>
      <c r="H144" s="32">
        <f t="shared" si="18"/>
        <v>0</v>
      </c>
      <c r="I144" s="32">
        <f t="shared" si="18"/>
        <v>0</v>
      </c>
      <c r="J144" s="32">
        <f t="shared" si="18"/>
        <v>0</v>
      </c>
      <c r="K144" s="32">
        <f t="shared" si="18"/>
        <v>0</v>
      </c>
    </row>
    <row r="145" spans="1:11" ht="18" customHeight="1">
      <c r="A145" s="4" t="s">
        <v>148</v>
      </c>
      <c r="B145" s="1" t="s">
        <v>68</v>
      </c>
      <c r="F145" s="32">
        <f t="shared" ref="F145:K145" si="19">F82</f>
        <v>0</v>
      </c>
      <c r="G145" s="32">
        <f t="shared" si="19"/>
        <v>0</v>
      </c>
      <c r="H145" s="32">
        <f t="shared" si="19"/>
        <v>0</v>
      </c>
      <c r="I145" s="32">
        <f t="shared" si="19"/>
        <v>0</v>
      </c>
      <c r="J145" s="32">
        <f t="shared" si="19"/>
        <v>0</v>
      </c>
      <c r="K145" s="32">
        <f t="shared" si="19"/>
        <v>0</v>
      </c>
    </row>
    <row r="146" spans="1:11" ht="18" customHeight="1">
      <c r="A146" s="4" t="s">
        <v>150</v>
      </c>
      <c r="B146" s="1" t="s">
        <v>69</v>
      </c>
      <c r="F146" s="32">
        <f t="shared" ref="F146:K146" si="20">F98</f>
        <v>426</v>
      </c>
      <c r="G146" s="32">
        <f t="shared" si="20"/>
        <v>86</v>
      </c>
      <c r="H146" s="32">
        <f t="shared" si="20"/>
        <v>53473</v>
      </c>
      <c r="I146" s="32">
        <f t="shared" si="20"/>
        <v>34613.072899999999</v>
      </c>
      <c r="J146" s="32">
        <f t="shared" si="20"/>
        <v>0</v>
      </c>
      <c r="K146" s="32">
        <f t="shared" si="20"/>
        <v>88086.072899999999</v>
      </c>
    </row>
    <row r="147" spans="1:11" ht="18" customHeight="1">
      <c r="A147" s="4" t="s">
        <v>153</v>
      </c>
      <c r="B147" s="1" t="s">
        <v>61</v>
      </c>
      <c r="F147" s="17">
        <f t="shared" ref="F147:K147" si="21">F108</f>
        <v>1800</v>
      </c>
      <c r="G147" s="17">
        <f t="shared" si="21"/>
        <v>0</v>
      </c>
      <c r="H147" s="17">
        <f t="shared" si="21"/>
        <v>166167</v>
      </c>
      <c r="I147" s="17">
        <f t="shared" si="21"/>
        <v>107559.8991</v>
      </c>
      <c r="J147" s="17">
        <f t="shared" si="21"/>
        <v>0</v>
      </c>
      <c r="K147" s="17">
        <f t="shared" si="21"/>
        <v>273726.89909999998</v>
      </c>
    </row>
    <row r="148" spans="1:11" ht="18" customHeight="1">
      <c r="A148" s="4" t="s">
        <v>155</v>
      </c>
      <c r="B148" s="1" t="s">
        <v>70</v>
      </c>
      <c r="F148" s="33" t="s">
        <v>73</v>
      </c>
      <c r="G148" s="33" t="s">
        <v>73</v>
      </c>
      <c r="H148" s="34" t="s">
        <v>73</v>
      </c>
      <c r="I148" s="34" t="s">
        <v>73</v>
      </c>
      <c r="J148" s="34" t="s">
        <v>73</v>
      </c>
      <c r="K148" s="28">
        <f>F111</f>
        <v>15079327</v>
      </c>
    </row>
    <row r="149" spans="1:11" ht="18" customHeight="1">
      <c r="A149" s="4" t="s">
        <v>163</v>
      </c>
      <c r="B149" s="1" t="s">
        <v>71</v>
      </c>
      <c r="F149" s="17">
        <f t="shared" ref="F149:K149" si="22">F137</f>
        <v>0</v>
      </c>
      <c r="G149" s="17">
        <f t="shared" si="22"/>
        <v>0</v>
      </c>
      <c r="H149" s="17">
        <f t="shared" si="22"/>
        <v>0</v>
      </c>
      <c r="I149" s="17">
        <f t="shared" si="22"/>
        <v>0</v>
      </c>
      <c r="J149" s="17">
        <f t="shared" si="22"/>
        <v>0</v>
      </c>
      <c r="K149" s="17">
        <f t="shared" si="22"/>
        <v>0</v>
      </c>
    </row>
    <row r="150" spans="1:11" ht="18" customHeight="1">
      <c r="A150" s="4" t="s">
        <v>185</v>
      </c>
      <c r="B150" s="1" t="s">
        <v>186</v>
      </c>
      <c r="F150" s="33" t="s">
        <v>73</v>
      </c>
      <c r="G150" s="33" t="s">
        <v>73</v>
      </c>
      <c r="H150" s="17">
        <f>H18</f>
        <v>6574788</v>
      </c>
      <c r="I150" s="17">
        <f>I18</f>
        <v>0</v>
      </c>
      <c r="J150" s="17">
        <f>J18</f>
        <v>5622266</v>
      </c>
      <c r="K150" s="17">
        <f>K18</f>
        <v>952522</v>
      </c>
    </row>
    <row r="151" spans="1:11" ht="18" customHeight="1">
      <c r="B151" s="1"/>
      <c r="F151" s="38"/>
      <c r="G151" s="38"/>
      <c r="H151" s="38"/>
      <c r="I151" s="38"/>
      <c r="J151" s="38"/>
      <c r="K151" s="38"/>
    </row>
    <row r="152" spans="1:11" ht="18" customHeight="1">
      <c r="A152" s="5" t="s">
        <v>165</v>
      </c>
      <c r="B152" s="1" t="s">
        <v>26</v>
      </c>
      <c r="F152" s="39">
        <f t="shared" ref="F152:K152" si="23">SUM(F141:F150)</f>
        <v>211194</v>
      </c>
      <c r="G152" s="39">
        <f t="shared" si="23"/>
        <v>20745</v>
      </c>
      <c r="H152" s="39">
        <f t="shared" si="23"/>
        <v>41585490</v>
      </c>
      <c r="I152" s="39">
        <f t="shared" si="23"/>
        <v>20882007.321999997</v>
      </c>
      <c r="J152" s="39">
        <f t="shared" si="23"/>
        <v>13752249</v>
      </c>
      <c r="K152" s="39">
        <f t="shared" si="23"/>
        <v>63794575.321999997</v>
      </c>
    </row>
    <row r="154" spans="1:11" ht="18" customHeight="1">
      <c r="A154" s="5" t="s">
        <v>168</v>
      </c>
      <c r="B154" s="1" t="s">
        <v>28</v>
      </c>
      <c r="F154" s="53">
        <f>K152/F121</f>
        <v>0.28957769954076695</v>
      </c>
    </row>
    <row r="155" spans="1:11" ht="18" customHeight="1">
      <c r="A155" s="5" t="s">
        <v>169</v>
      </c>
      <c r="B155" s="1" t="s">
        <v>72</v>
      </c>
      <c r="F155" s="53">
        <f>K152/F127</f>
        <v>2.6874905349319222</v>
      </c>
      <c r="G155" s="1"/>
    </row>
    <row r="156" spans="1:11" ht="18" customHeight="1">
      <c r="G156" s="1"/>
    </row>
  </sheetData>
  <sheetProtection algorithmName="SHA-512" hashValue="iVvdvBFvLJrCQayOzWBOnlmmkvSOlg0vsuWfxw4ykvUWsRMIU69Eos4F9LU4n3blGdfrud4L5z60Zw6vfmvLvQ==" saltValue="dNfDTr1s26G+Dg2uXX89nw==" spinCount="100000" sheet="1" objects="1" scenarios="1"/>
  <mergeCells count="31">
    <mergeCell ref="B41:C41"/>
    <mergeCell ref="D2:H2"/>
    <mergeCell ref="C5:G5"/>
    <mergeCell ref="C6:G6"/>
    <mergeCell ref="C7:G7"/>
    <mergeCell ref="C9:G9"/>
    <mergeCell ref="C10:G10"/>
    <mergeCell ref="C11:G11"/>
    <mergeCell ref="B13:H13"/>
    <mergeCell ref="B30:D30"/>
    <mergeCell ref="B31:D31"/>
    <mergeCell ref="B34:D34"/>
    <mergeCell ref="B96:D96"/>
    <mergeCell ref="B44:D44"/>
    <mergeCell ref="B45:D45"/>
    <mergeCell ref="B46:D46"/>
    <mergeCell ref="B47:D47"/>
    <mergeCell ref="B52:C52"/>
    <mergeCell ref="B53:D53"/>
    <mergeCell ref="B59:D59"/>
    <mergeCell ref="B62:D62"/>
    <mergeCell ref="B90:C90"/>
    <mergeCell ref="B94:D94"/>
    <mergeCell ref="B95:D95"/>
    <mergeCell ref="B135:D135"/>
    <mergeCell ref="B103:C103"/>
    <mergeCell ref="B104:D104"/>
    <mergeCell ref="B105:D105"/>
    <mergeCell ref="B106:D106"/>
    <mergeCell ref="B133:D133"/>
    <mergeCell ref="B134:D134"/>
  </mergeCells>
  <printOptions headings="1" gridLines="1"/>
  <pageMargins left="0.17" right="0.16" top="0.35" bottom="0.32" header="0.17" footer="0.17"/>
  <pageSetup scale="59" fitToHeight="3" orientation="landscape"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K156"/>
  <sheetViews>
    <sheetView showGridLines="0" zoomScaleNormal="100" zoomScaleSheetLayoutView="80" workbookViewId="0">
      <selection activeCell="H18" sqref="H18"/>
    </sheetView>
  </sheetViews>
  <sheetFormatPr defaultRowHeight="18" customHeight="1"/>
  <cols>
    <col min="1" max="1" width="8.28515625" style="146" customWidth="1"/>
    <col min="2" max="2" width="55.42578125" style="147" bestFit="1" customWidth="1"/>
    <col min="3" max="3" width="9.5703125" style="147" customWidth="1"/>
    <col min="4" max="4" width="9.140625" style="147"/>
    <col min="5" max="5" width="12.42578125" style="147" customWidth="1"/>
    <col min="6" max="6" width="18.5703125" style="147" customWidth="1"/>
    <col min="7" max="7" width="23.5703125" style="147" customWidth="1"/>
    <col min="8" max="8" width="17.140625" style="147" customWidth="1"/>
    <col min="9" max="9" width="21.140625" style="147" customWidth="1"/>
    <col min="10" max="10" width="19.85546875" style="147" customWidth="1"/>
    <col min="11" max="11" width="17.5703125" style="147" customWidth="1"/>
    <col min="12" max="16384" width="9.140625" style="147"/>
  </cols>
  <sheetData>
    <row r="1" spans="1:11" ht="18" customHeight="1">
      <c r="C1" s="148"/>
      <c r="D1" s="149"/>
      <c r="E1" s="148"/>
      <c r="F1" s="148"/>
      <c r="G1" s="148"/>
      <c r="H1" s="148"/>
      <c r="I1" s="148"/>
      <c r="J1" s="148"/>
      <c r="K1" s="148"/>
    </row>
    <row r="2" spans="1:11" ht="18" customHeight="1">
      <c r="D2" s="910" t="s">
        <v>713</v>
      </c>
      <c r="E2" s="911"/>
      <c r="F2" s="911"/>
      <c r="G2" s="911"/>
      <c r="H2" s="911"/>
    </row>
    <row r="3" spans="1:11" ht="18" customHeight="1">
      <c r="B3" s="150" t="s">
        <v>0</v>
      </c>
    </row>
    <row r="5" spans="1:11" ht="18" customHeight="1">
      <c r="B5" s="151" t="s">
        <v>40</v>
      </c>
      <c r="C5" s="912" t="s">
        <v>287</v>
      </c>
      <c r="D5" s="918"/>
      <c r="E5" s="918"/>
      <c r="F5" s="918"/>
      <c r="G5" s="919"/>
    </row>
    <row r="6" spans="1:11" ht="18" customHeight="1">
      <c r="B6" s="151" t="s">
        <v>3</v>
      </c>
      <c r="C6" s="929">
        <v>4</v>
      </c>
      <c r="D6" s="921"/>
      <c r="E6" s="921"/>
      <c r="F6" s="921"/>
      <c r="G6" s="922"/>
    </row>
    <row r="7" spans="1:11" ht="18" customHeight="1">
      <c r="B7" s="151" t="s">
        <v>4</v>
      </c>
      <c r="C7" s="930">
        <v>3499</v>
      </c>
      <c r="D7" s="924"/>
      <c r="E7" s="924"/>
      <c r="F7" s="924"/>
      <c r="G7" s="925"/>
    </row>
    <row r="9" spans="1:11" ht="18" customHeight="1">
      <c r="B9" s="151" t="s">
        <v>1</v>
      </c>
      <c r="C9" s="912" t="s">
        <v>430</v>
      </c>
      <c r="D9" s="918"/>
      <c r="E9" s="918"/>
      <c r="F9" s="918"/>
      <c r="G9" s="919"/>
    </row>
    <row r="10" spans="1:11" ht="18" customHeight="1">
      <c r="B10" s="151" t="s">
        <v>2</v>
      </c>
      <c r="C10" s="926" t="s">
        <v>431</v>
      </c>
      <c r="D10" s="927"/>
      <c r="E10" s="927"/>
      <c r="F10" s="927"/>
      <c r="G10" s="928"/>
    </row>
    <row r="11" spans="1:11" ht="18" customHeight="1">
      <c r="B11" s="151" t="s">
        <v>32</v>
      </c>
      <c r="C11" s="912" t="s">
        <v>432</v>
      </c>
      <c r="D11" s="913"/>
      <c r="E11" s="913"/>
      <c r="F11" s="913"/>
      <c r="G11" s="913"/>
    </row>
    <row r="12" spans="1:11" ht="18" customHeight="1">
      <c r="B12" s="151"/>
      <c r="C12" s="151"/>
      <c r="D12" s="151"/>
      <c r="E12" s="151"/>
      <c r="F12" s="151"/>
      <c r="G12" s="151"/>
    </row>
    <row r="13" spans="1:11" ht="24.6" customHeight="1">
      <c r="B13" s="914"/>
      <c r="C13" s="915"/>
      <c r="D13" s="915"/>
      <c r="E13" s="915"/>
      <c r="F13" s="915"/>
      <c r="G13" s="915"/>
      <c r="H13" s="916"/>
      <c r="I13" s="148"/>
    </row>
    <row r="14" spans="1:11" ht="18" customHeight="1">
      <c r="B14" s="152"/>
    </row>
    <row r="15" spans="1:11" ht="18" customHeight="1">
      <c r="B15" s="152"/>
    </row>
    <row r="16" spans="1:11" ht="45" customHeight="1">
      <c r="A16" s="149" t="s">
        <v>181</v>
      </c>
      <c r="B16" s="148"/>
      <c r="C16" s="148"/>
      <c r="D16" s="148"/>
      <c r="E16" s="148"/>
      <c r="F16" s="153" t="s">
        <v>9</v>
      </c>
      <c r="G16" s="153" t="s">
        <v>37</v>
      </c>
      <c r="H16" s="153" t="s">
        <v>29</v>
      </c>
      <c r="I16" s="153" t="s">
        <v>30</v>
      </c>
      <c r="J16" s="153" t="s">
        <v>33</v>
      </c>
      <c r="K16" s="153" t="s">
        <v>34</v>
      </c>
    </row>
    <row r="17" spans="1:11" ht="18" customHeight="1">
      <c r="A17" s="154" t="s">
        <v>184</v>
      </c>
      <c r="B17" s="150" t="s">
        <v>182</v>
      </c>
    </row>
    <row r="18" spans="1:11" ht="18" customHeight="1">
      <c r="A18" s="151" t="s">
        <v>185</v>
      </c>
      <c r="B18" s="155" t="s">
        <v>183</v>
      </c>
      <c r="F18" s="156" t="s">
        <v>73</v>
      </c>
      <c r="G18" s="156" t="s">
        <v>73</v>
      </c>
      <c r="H18" s="157">
        <v>11679932</v>
      </c>
      <c r="I18" s="158">
        <v>0</v>
      </c>
      <c r="J18" s="157">
        <v>9987802</v>
      </c>
      <c r="K18" s="159">
        <f>(H18+I18)-J18</f>
        <v>1692130</v>
      </c>
    </row>
    <row r="19" spans="1:11" ht="45" customHeight="1">
      <c r="A19" s="149" t="s">
        <v>8</v>
      </c>
      <c r="B19" s="148"/>
      <c r="C19" s="148"/>
      <c r="D19" s="148"/>
      <c r="E19" s="148"/>
      <c r="F19" s="153" t="s">
        <v>9</v>
      </c>
      <c r="G19" s="153" t="s">
        <v>37</v>
      </c>
      <c r="H19" s="153" t="s">
        <v>29</v>
      </c>
      <c r="I19" s="153" t="s">
        <v>30</v>
      </c>
      <c r="J19" s="153" t="s">
        <v>33</v>
      </c>
      <c r="K19" s="153" t="s">
        <v>34</v>
      </c>
    </row>
    <row r="20" spans="1:11" ht="18" customHeight="1">
      <c r="A20" s="154" t="s">
        <v>74</v>
      </c>
      <c r="B20" s="150" t="s">
        <v>41</v>
      </c>
    </row>
    <row r="21" spans="1:11" ht="18" customHeight="1">
      <c r="A21" s="151" t="s">
        <v>75</v>
      </c>
      <c r="B21" s="155" t="s">
        <v>42</v>
      </c>
      <c r="F21" s="156">
        <v>30595.98</v>
      </c>
      <c r="G21" s="156">
        <v>154820</v>
      </c>
      <c r="H21" s="157">
        <v>1660203</v>
      </c>
      <c r="I21" s="158">
        <v>958225</v>
      </c>
      <c r="J21" s="157">
        <v>405031</v>
      </c>
      <c r="K21" s="159">
        <f t="shared" ref="K21:K34" si="0">(H21+I21)-J21</f>
        <v>2213397</v>
      </c>
    </row>
    <row r="22" spans="1:11" ht="18" customHeight="1">
      <c r="A22" s="151" t="s">
        <v>76</v>
      </c>
      <c r="B22" s="147" t="s">
        <v>6</v>
      </c>
      <c r="F22" s="156"/>
      <c r="G22" s="156"/>
      <c r="H22" s="157"/>
      <c r="I22" s="158">
        <f t="shared" ref="I22:I34" si="1">H22*F$114</f>
        <v>0</v>
      </c>
      <c r="J22" s="157"/>
      <c r="K22" s="159">
        <f t="shared" si="0"/>
        <v>0</v>
      </c>
    </row>
    <row r="23" spans="1:11" ht="18" customHeight="1">
      <c r="A23" s="151" t="s">
        <v>77</v>
      </c>
      <c r="B23" s="147" t="s">
        <v>43</v>
      </c>
      <c r="F23" s="156"/>
      <c r="G23" s="156"/>
      <c r="H23" s="157"/>
      <c r="I23" s="158">
        <f t="shared" si="1"/>
        <v>0</v>
      </c>
      <c r="J23" s="157"/>
      <c r="K23" s="159">
        <f t="shared" si="0"/>
        <v>0</v>
      </c>
    </row>
    <row r="24" spans="1:11" ht="18" customHeight="1">
      <c r="A24" s="151" t="s">
        <v>78</v>
      </c>
      <c r="B24" s="147" t="s">
        <v>44</v>
      </c>
      <c r="F24" s="156">
        <v>291.5</v>
      </c>
      <c r="G24" s="156">
        <v>1327</v>
      </c>
      <c r="H24" s="157">
        <v>10216</v>
      </c>
      <c r="I24" s="158">
        <v>6933</v>
      </c>
      <c r="J24" s="157">
        <v>90</v>
      </c>
      <c r="K24" s="159">
        <f t="shared" si="0"/>
        <v>17059</v>
      </c>
    </row>
    <row r="25" spans="1:11" ht="18" customHeight="1">
      <c r="A25" s="151" t="s">
        <v>79</v>
      </c>
      <c r="B25" s="147" t="s">
        <v>5</v>
      </c>
      <c r="F25" s="156"/>
      <c r="G25" s="156"/>
      <c r="H25" s="157"/>
      <c r="I25" s="158">
        <f t="shared" si="1"/>
        <v>0</v>
      </c>
      <c r="J25" s="157"/>
      <c r="K25" s="159">
        <f t="shared" si="0"/>
        <v>0</v>
      </c>
    </row>
    <row r="26" spans="1:11" ht="18" customHeight="1">
      <c r="A26" s="151" t="s">
        <v>80</v>
      </c>
      <c r="B26" s="147" t="s">
        <v>45</v>
      </c>
      <c r="F26" s="156"/>
      <c r="G26" s="156"/>
      <c r="H26" s="157"/>
      <c r="I26" s="158">
        <f t="shared" si="1"/>
        <v>0</v>
      </c>
      <c r="J26" s="157"/>
      <c r="K26" s="159">
        <f t="shared" si="0"/>
        <v>0</v>
      </c>
    </row>
    <row r="27" spans="1:11" ht="18" customHeight="1">
      <c r="A27" s="151" t="s">
        <v>81</v>
      </c>
      <c r="B27" s="147" t="s">
        <v>46</v>
      </c>
      <c r="F27" s="156"/>
      <c r="G27" s="156"/>
      <c r="H27" s="157"/>
      <c r="I27" s="158">
        <f t="shared" si="1"/>
        <v>0</v>
      </c>
      <c r="J27" s="157"/>
      <c r="K27" s="159">
        <f t="shared" si="0"/>
        <v>0</v>
      </c>
    </row>
    <row r="28" spans="1:11" ht="18" customHeight="1">
      <c r="A28" s="151" t="s">
        <v>82</v>
      </c>
      <c r="B28" s="147" t="s">
        <v>47</v>
      </c>
      <c r="F28" s="156"/>
      <c r="G28" s="156"/>
      <c r="H28" s="157"/>
      <c r="I28" s="158">
        <f t="shared" si="1"/>
        <v>0</v>
      </c>
      <c r="J28" s="157"/>
      <c r="K28" s="159">
        <f t="shared" si="0"/>
        <v>0</v>
      </c>
    </row>
    <row r="29" spans="1:11" ht="18" customHeight="1">
      <c r="A29" s="151" t="s">
        <v>83</v>
      </c>
      <c r="B29" s="147" t="s">
        <v>48</v>
      </c>
      <c r="F29" s="156">
        <v>26666.7</v>
      </c>
      <c r="G29" s="156">
        <v>36070</v>
      </c>
      <c r="H29" s="157">
        <v>2050513</v>
      </c>
      <c r="I29" s="158">
        <v>706169</v>
      </c>
      <c r="J29" s="157">
        <v>85995</v>
      </c>
      <c r="K29" s="159">
        <f t="shared" si="0"/>
        <v>2670687</v>
      </c>
    </row>
    <row r="30" spans="1:11" ht="18" customHeight="1">
      <c r="A30" s="151" t="s">
        <v>84</v>
      </c>
      <c r="B30" s="898" t="s">
        <v>758</v>
      </c>
      <c r="C30" s="899"/>
      <c r="D30" s="900"/>
      <c r="F30" s="156">
        <v>2079.6</v>
      </c>
      <c r="G30" s="156">
        <v>11701</v>
      </c>
      <c r="H30" s="157">
        <v>115596</v>
      </c>
      <c r="I30" s="158">
        <v>66361</v>
      </c>
      <c r="J30" s="157">
        <v>20111</v>
      </c>
      <c r="K30" s="159">
        <f t="shared" si="0"/>
        <v>161846</v>
      </c>
    </row>
    <row r="31" spans="1:11" ht="18" customHeight="1">
      <c r="A31" s="151" t="s">
        <v>133</v>
      </c>
      <c r="B31" s="898" t="s">
        <v>759</v>
      </c>
      <c r="C31" s="899"/>
      <c r="D31" s="900"/>
      <c r="F31" s="156">
        <v>220</v>
      </c>
      <c r="G31" s="156">
        <v>2479</v>
      </c>
      <c r="H31" s="157">
        <v>206004</v>
      </c>
      <c r="I31" s="158">
        <v>143171</v>
      </c>
      <c r="J31" s="157">
        <v>0</v>
      </c>
      <c r="K31" s="159">
        <f t="shared" si="0"/>
        <v>349175</v>
      </c>
    </row>
    <row r="32" spans="1:11" ht="18" customHeight="1">
      <c r="A32" s="151" t="s">
        <v>134</v>
      </c>
      <c r="B32" s="393"/>
      <c r="C32" s="394"/>
      <c r="D32" s="395"/>
      <c r="F32" s="156"/>
      <c r="G32" s="160" t="s">
        <v>85</v>
      </c>
      <c r="H32" s="157"/>
      <c r="I32" s="158">
        <f t="shared" si="1"/>
        <v>0</v>
      </c>
      <c r="J32" s="157"/>
      <c r="K32" s="159">
        <f t="shared" si="0"/>
        <v>0</v>
      </c>
    </row>
    <row r="33" spans="1:11" ht="18" customHeight="1">
      <c r="A33" s="151" t="s">
        <v>135</v>
      </c>
      <c r="B33" s="393"/>
      <c r="C33" s="394"/>
      <c r="D33" s="395"/>
      <c r="F33" s="156"/>
      <c r="G33" s="160" t="s">
        <v>85</v>
      </c>
      <c r="H33" s="157"/>
      <c r="I33" s="158">
        <f t="shared" si="1"/>
        <v>0</v>
      </c>
      <c r="J33" s="157"/>
      <c r="K33" s="159">
        <f t="shared" si="0"/>
        <v>0</v>
      </c>
    </row>
    <row r="34" spans="1:11" ht="18" customHeight="1">
      <c r="A34" s="151" t="s">
        <v>136</v>
      </c>
      <c r="B34" s="898"/>
      <c r="C34" s="899"/>
      <c r="D34" s="900"/>
      <c r="F34" s="156"/>
      <c r="G34" s="160" t="s">
        <v>85</v>
      </c>
      <c r="H34" s="157"/>
      <c r="I34" s="158">
        <f t="shared" si="1"/>
        <v>0</v>
      </c>
      <c r="J34" s="157"/>
      <c r="K34" s="159">
        <f t="shared" si="0"/>
        <v>0</v>
      </c>
    </row>
    <row r="35" spans="1:11" ht="18" customHeight="1">
      <c r="K35" s="161"/>
    </row>
    <row r="36" spans="1:11" ht="18" customHeight="1">
      <c r="A36" s="154" t="s">
        <v>137</v>
      </c>
      <c r="B36" s="150" t="s">
        <v>138</v>
      </c>
      <c r="E36" s="150" t="s">
        <v>7</v>
      </c>
      <c r="F36" s="162">
        <f t="shared" ref="F36:K36" si="2">SUM(F21:F34)</f>
        <v>59853.78</v>
      </c>
      <c r="G36" s="162">
        <f t="shared" si="2"/>
        <v>206397</v>
      </c>
      <c r="H36" s="162">
        <f t="shared" si="2"/>
        <v>4042532</v>
      </c>
      <c r="I36" s="159">
        <f t="shared" si="2"/>
        <v>1880859</v>
      </c>
      <c r="J36" s="159">
        <f t="shared" si="2"/>
        <v>511227</v>
      </c>
      <c r="K36" s="159">
        <f t="shared" si="2"/>
        <v>5412164</v>
      </c>
    </row>
    <row r="37" spans="1:11" ht="18" customHeight="1" thickBot="1">
      <c r="B37" s="150"/>
      <c r="F37" s="163"/>
      <c r="G37" s="163"/>
      <c r="H37" s="164"/>
      <c r="I37" s="164"/>
      <c r="J37" s="164"/>
      <c r="K37" s="165"/>
    </row>
    <row r="38" spans="1:11" ht="42.75" customHeight="1">
      <c r="F38" s="153" t="s">
        <v>9</v>
      </c>
      <c r="G38" s="153" t="s">
        <v>37</v>
      </c>
      <c r="H38" s="153" t="s">
        <v>29</v>
      </c>
      <c r="I38" s="153" t="s">
        <v>30</v>
      </c>
      <c r="J38" s="153" t="s">
        <v>33</v>
      </c>
      <c r="K38" s="153" t="s">
        <v>34</v>
      </c>
    </row>
    <row r="39" spans="1:11" ht="18.75" customHeight="1">
      <c r="A39" s="154" t="s">
        <v>86</v>
      </c>
      <c r="B39" s="150" t="s">
        <v>49</v>
      </c>
    </row>
    <row r="40" spans="1:11" ht="18" customHeight="1">
      <c r="A40" s="151" t="s">
        <v>87</v>
      </c>
      <c r="B40" s="147" t="s">
        <v>31</v>
      </c>
      <c r="F40" s="156">
        <v>6248.7</v>
      </c>
      <c r="G40" s="156">
        <v>7326</v>
      </c>
      <c r="H40" s="157">
        <v>2560888</v>
      </c>
      <c r="I40" s="158">
        <v>1779819</v>
      </c>
      <c r="J40" s="157">
        <v>0</v>
      </c>
      <c r="K40" s="159">
        <f t="shared" ref="K40:K47" si="3">(H40+I40)-J40</f>
        <v>4340707</v>
      </c>
    </row>
    <row r="41" spans="1:11" ht="18" customHeight="1">
      <c r="A41" s="151" t="s">
        <v>88</v>
      </c>
      <c r="B41" s="904" t="s">
        <v>50</v>
      </c>
      <c r="C41" s="907"/>
      <c r="F41" s="156">
        <v>1906.3</v>
      </c>
      <c r="G41" s="156">
        <v>3710</v>
      </c>
      <c r="H41" s="157">
        <v>91839</v>
      </c>
      <c r="I41" s="158">
        <v>63833</v>
      </c>
      <c r="J41" s="157">
        <v>0</v>
      </c>
      <c r="K41" s="159">
        <f t="shared" si="3"/>
        <v>155672</v>
      </c>
    </row>
    <row r="42" spans="1:11" ht="18" customHeight="1">
      <c r="A42" s="151" t="s">
        <v>89</v>
      </c>
      <c r="B42" s="155" t="s">
        <v>11</v>
      </c>
      <c r="F42" s="156">
        <v>460</v>
      </c>
      <c r="G42" s="156">
        <v>23</v>
      </c>
      <c r="H42" s="157">
        <v>16874</v>
      </c>
      <c r="I42" s="158">
        <v>10606</v>
      </c>
      <c r="J42" s="157">
        <v>0</v>
      </c>
      <c r="K42" s="159">
        <f t="shared" si="3"/>
        <v>27480</v>
      </c>
    </row>
    <row r="43" spans="1:11" ht="18" customHeight="1">
      <c r="A43" s="151" t="s">
        <v>90</v>
      </c>
      <c r="B43" s="166" t="s">
        <v>10</v>
      </c>
      <c r="C43" s="167"/>
      <c r="D43" s="167"/>
      <c r="F43" s="156"/>
      <c r="G43" s="156"/>
      <c r="H43" s="157"/>
      <c r="I43" s="158">
        <v>0</v>
      </c>
      <c r="J43" s="157"/>
      <c r="K43" s="159">
        <f t="shared" si="3"/>
        <v>0</v>
      </c>
    </row>
    <row r="44" spans="1:11" ht="18" customHeight="1">
      <c r="A44" s="151" t="s">
        <v>91</v>
      </c>
      <c r="B44" s="898"/>
      <c r="C44" s="899"/>
      <c r="D44" s="900"/>
      <c r="F44" s="168"/>
      <c r="G44" s="168"/>
      <c r="H44" s="168"/>
      <c r="I44" s="169">
        <v>0</v>
      </c>
      <c r="J44" s="168"/>
      <c r="K44" s="170">
        <f t="shared" si="3"/>
        <v>0</v>
      </c>
    </row>
    <row r="45" spans="1:11" ht="18" customHeight="1">
      <c r="A45" s="151" t="s">
        <v>139</v>
      </c>
      <c r="B45" s="898"/>
      <c r="C45" s="899"/>
      <c r="D45" s="900"/>
      <c r="F45" s="156"/>
      <c r="G45" s="156"/>
      <c r="H45" s="157"/>
      <c r="I45" s="158">
        <v>0</v>
      </c>
      <c r="J45" s="157"/>
      <c r="K45" s="159">
        <f t="shared" si="3"/>
        <v>0</v>
      </c>
    </row>
    <row r="46" spans="1:11" ht="18" customHeight="1">
      <c r="A46" s="151" t="s">
        <v>140</v>
      </c>
      <c r="B46" s="898"/>
      <c r="C46" s="899"/>
      <c r="D46" s="900"/>
      <c r="F46" s="156"/>
      <c r="G46" s="156"/>
      <c r="H46" s="157"/>
      <c r="I46" s="158">
        <v>0</v>
      </c>
      <c r="J46" s="157"/>
      <c r="K46" s="159">
        <f t="shared" si="3"/>
        <v>0</v>
      </c>
    </row>
    <row r="47" spans="1:11" ht="18" customHeight="1">
      <c r="A47" s="151" t="s">
        <v>141</v>
      </c>
      <c r="B47" s="898"/>
      <c r="C47" s="899"/>
      <c r="D47" s="900"/>
      <c r="F47" s="156"/>
      <c r="G47" s="156"/>
      <c r="H47" s="157"/>
      <c r="I47" s="158">
        <v>0</v>
      </c>
      <c r="J47" s="157"/>
      <c r="K47" s="159">
        <f t="shared" si="3"/>
        <v>0</v>
      </c>
    </row>
    <row r="49" spans="1:11" ht="18" customHeight="1">
      <c r="A49" s="154" t="s">
        <v>142</v>
      </c>
      <c r="B49" s="150" t="s">
        <v>143</v>
      </c>
      <c r="E49" s="150" t="s">
        <v>7</v>
      </c>
      <c r="F49" s="171">
        <f t="shared" ref="F49:K49" si="4">SUM(F40:F47)</f>
        <v>8615</v>
      </c>
      <c r="G49" s="171">
        <f t="shared" si="4"/>
        <v>11059</v>
      </c>
      <c r="H49" s="159">
        <f t="shared" si="4"/>
        <v>2669601</v>
      </c>
      <c r="I49" s="159">
        <f t="shared" si="4"/>
        <v>1854258</v>
      </c>
      <c r="J49" s="159">
        <f t="shared" si="4"/>
        <v>0</v>
      </c>
      <c r="K49" s="159">
        <f t="shared" si="4"/>
        <v>4523859</v>
      </c>
    </row>
    <row r="50" spans="1:11" ht="18" customHeight="1" thickBot="1">
      <c r="G50" s="172"/>
      <c r="H50" s="172"/>
      <c r="I50" s="172"/>
      <c r="J50" s="172"/>
      <c r="K50" s="172"/>
    </row>
    <row r="51" spans="1:11" ht="42.75" customHeight="1">
      <c r="F51" s="153" t="s">
        <v>9</v>
      </c>
      <c r="G51" s="153" t="s">
        <v>37</v>
      </c>
      <c r="H51" s="153" t="s">
        <v>29</v>
      </c>
      <c r="I51" s="153" t="s">
        <v>30</v>
      </c>
      <c r="J51" s="153" t="s">
        <v>33</v>
      </c>
      <c r="K51" s="153" t="s">
        <v>34</v>
      </c>
    </row>
    <row r="52" spans="1:11" ht="18" customHeight="1">
      <c r="A52" s="154" t="s">
        <v>92</v>
      </c>
      <c r="B52" s="905" t="s">
        <v>38</v>
      </c>
      <c r="C52" s="906"/>
    </row>
    <row r="53" spans="1:11" ht="18" customHeight="1">
      <c r="A53" s="151" t="s">
        <v>51</v>
      </c>
      <c r="B53" s="908" t="s">
        <v>433</v>
      </c>
      <c r="C53" s="909"/>
      <c r="D53" s="903"/>
      <c r="F53" s="156"/>
      <c r="G53" s="156"/>
      <c r="H53" s="157">
        <v>1538967</v>
      </c>
      <c r="I53" s="158">
        <v>1069582</v>
      </c>
      <c r="J53" s="157"/>
      <c r="K53" s="159">
        <f t="shared" ref="K53:K62" si="5">(H53+I53)-J53</f>
        <v>2608549</v>
      </c>
    </row>
    <row r="54" spans="1:11" ht="18" customHeight="1">
      <c r="A54" s="151" t="s">
        <v>93</v>
      </c>
      <c r="B54" s="396" t="s">
        <v>434</v>
      </c>
      <c r="C54" s="397"/>
      <c r="D54" s="392"/>
      <c r="F54" s="156"/>
      <c r="G54" s="156"/>
      <c r="H54" s="157">
        <v>2793640</v>
      </c>
      <c r="I54" s="158">
        <v>1941579</v>
      </c>
      <c r="J54" s="157"/>
      <c r="K54" s="159">
        <f t="shared" si="5"/>
        <v>4735219</v>
      </c>
    </row>
    <row r="55" spans="1:11" ht="18" customHeight="1">
      <c r="A55" s="151" t="s">
        <v>94</v>
      </c>
      <c r="B55" s="396" t="s">
        <v>435</v>
      </c>
      <c r="C55" s="397"/>
      <c r="D55" s="392"/>
      <c r="F55" s="156"/>
      <c r="G55" s="156"/>
      <c r="H55" s="157">
        <v>172068</v>
      </c>
      <c r="I55" s="158">
        <v>119588</v>
      </c>
      <c r="J55" s="157"/>
      <c r="K55" s="159">
        <f t="shared" si="5"/>
        <v>291656</v>
      </c>
    </row>
    <row r="56" spans="1:11" ht="18" customHeight="1">
      <c r="A56" s="151" t="s">
        <v>95</v>
      </c>
      <c r="B56" s="396" t="s">
        <v>436</v>
      </c>
      <c r="C56" s="397"/>
      <c r="D56" s="392"/>
      <c r="F56" s="156">
        <v>100048</v>
      </c>
      <c r="G56" s="156">
        <v>43327</v>
      </c>
      <c r="H56" s="157"/>
      <c r="I56" s="158">
        <f>443980+865437+107022+372633+824302+762909</f>
        <v>3376283</v>
      </c>
      <c r="J56" s="157"/>
      <c r="K56" s="159">
        <f t="shared" si="5"/>
        <v>3376283</v>
      </c>
    </row>
    <row r="57" spans="1:11" ht="18" customHeight="1">
      <c r="A57" s="151" t="s">
        <v>96</v>
      </c>
      <c r="B57" s="396" t="s">
        <v>437</v>
      </c>
      <c r="C57" s="397"/>
      <c r="D57" s="392"/>
      <c r="F57" s="156"/>
      <c r="G57" s="156"/>
      <c r="H57" s="157">
        <v>1472260</v>
      </c>
      <c r="I57" s="158">
        <v>1023221</v>
      </c>
      <c r="J57" s="157">
        <v>491974</v>
      </c>
      <c r="K57" s="159">
        <f t="shared" si="5"/>
        <v>2003507</v>
      </c>
    </row>
    <row r="58" spans="1:11" ht="18" customHeight="1">
      <c r="A58" s="151" t="s">
        <v>97</v>
      </c>
      <c r="B58" s="396" t="s">
        <v>438</v>
      </c>
      <c r="C58" s="397"/>
      <c r="D58" s="392"/>
      <c r="F58" s="156">
        <v>1447.5</v>
      </c>
      <c r="G58" s="156">
        <v>578</v>
      </c>
      <c r="H58" s="157">
        <v>103517</v>
      </c>
      <c r="I58" s="158">
        <v>71946</v>
      </c>
      <c r="J58" s="157"/>
      <c r="K58" s="159">
        <f t="shared" si="5"/>
        <v>175463</v>
      </c>
    </row>
    <row r="59" spans="1:11" ht="18" customHeight="1">
      <c r="A59" s="151" t="s">
        <v>98</v>
      </c>
      <c r="B59" s="396" t="s">
        <v>439</v>
      </c>
      <c r="C59" s="397"/>
      <c r="D59" s="392"/>
      <c r="F59" s="156">
        <v>12896</v>
      </c>
      <c r="G59" s="156">
        <v>5282</v>
      </c>
      <c r="H59" s="157">
        <f>228469-93679+610791-250444</f>
        <v>495137</v>
      </c>
      <c r="I59" s="158">
        <f>250444+93679</f>
        <v>344123</v>
      </c>
      <c r="J59" s="157">
        <v>344752</v>
      </c>
      <c r="K59" s="159">
        <f t="shared" si="5"/>
        <v>494508</v>
      </c>
    </row>
    <row r="60" spans="1:11" ht="18" customHeight="1">
      <c r="A60" s="151" t="s">
        <v>99</v>
      </c>
      <c r="B60" s="396" t="s">
        <v>760</v>
      </c>
      <c r="C60" s="397"/>
      <c r="D60" s="392"/>
      <c r="F60" s="156"/>
      <c r="G60" s="156">
        <v>3317</v>
      </c>
      <c r="H60" s="157">
        <v>10762</v>
      </c>
      <c r="I60" s="158">
        <v>0</v>
      </c>
      <c r="J60" s="157">
        <v>10010</v>
      </c>
      <c r="K60" s="159">
        <f t="shared" si="5"/>
        <v>752</v>
      </c>
    </row>
    <row r="61" spans="1:11" ht="18" customHeight="1">
      <c r="A61" s="151" t="s">
        <v>100</v>
      </c>
      <c r="B61" s="396"/>
      <c r="C61" s="397"/>
      <c r="D61" s="392"/>
      <c r="F61" s="156"/>
      <c r="G61" s="156"/>
      <c r="H61" s="157"/>
      <c r="I61" s="158">
        <v>0</v>
      </c>
      <c r="J61" s="157"/>
      <c r="K61" s="159">
        <f t="shared" si="5"/>
        <v>0</v>
      </c>
    </row>
    <row r="62" spans="1:11" ht="18" customHeight="1">
      <c r="A62" s="151" t="s">
        <v>101</v>
      </c>
      <c r="B62" s="901"/>
      <c r="C62" s="902"/>
      <c r="D62" s="903"/>
      <c r="F62" s="156"/>
      <c r="G62" s="156"/>
      <c r="H62" s="157"/>
      <c r="I62" s="158">
        <v>0</v>
      </c>
      <c r="J62" s="157"/>
      <c r="K62" s="159">
        <f t="shared" si="5"/>
        <v>0</v>
      </c>
    </row>
    <row r="63" spans="1:11" ht="18" customHeight="1">
      <c r="A63" s="151"/>
      <c r="I63" s="173"/>
    </row>
    <row r="64" spans="1:11" ht="18" customHeight="1">
      <c r="A64" s="151" t="s">
        <v>144</v>
      </c>
      <c r="B64" s="150" t="s">
        <v>145</v>
      </c>
      <c r="E64" s="150" t="s">
        <v>7</v>
      </c>
      <c r="F64" s="162">
        <f t="shared" ref="F64:K64" si="6">SUM(F53:F62)</f>
        <v>114391.5</v>
      </c>
      <c r="G64" s="162">
        <f t="shared" si="6"/>
        <v>52504</v>
      </c>
      <c r="H64" s="159">
        <f t="shared" si="6"/>
        <v>6586351</v>
      </c>
      <c r="I64" s="159">
        <f t="shared" si="6"/>
        <v>7946322</v>
      </c>
      <c r="J64" s="159">
        <f t="shared" si="6"/>
        <v>846736</v>
      </c>
      <c r="K64" s="159">
        <f t="shared" si="6"/>
        <v>13685937</v>
      </c>
    </row>
    <row r="65" spans="1:11" ht="18" customHeight="1">
      <c r="F65" s="174"/>
      <c r="G65" s="174"/>
      <c r="H65" s="174"/>
      <c r="I65" s="174"/>
      <c r="J65" s="174"/>
      <c r="K65" s="174"/>
    </row>
    <row r="66" spans="1:11" ht="42.75" customHeight="1">
      <c r="F66" s="175" t="s">
        <v>9</v>
      </c>
      <c r="G66" s="175" t="s">
        <v>37</v>
      </c>
      <c r="H66" s="175" t="s">
        <v>29</v>
      </c>
      <c r="I66" s="175" t="s">
        <v>30</v>
      </c>
      <c r="J66" s="175" t="s">
        <v>33</v>
      </c>
      <c r="K66" s="175" t="s">
        <v>34</v>
      </c>
    </row>
    <row r="67" spans="1:11" ht="18" customHeight="1">
      <c r="A67" s="154" t="s">
        <v>102</v>
      </c>
      <c r="B67" s="150" t="s">
        <v>12</v>
      </c>
      <c r="F67" s="176"/>
      <c r="G67" s="176"/>
      <c r="H67" s="176"/>
      <c r="I67" s="177"/>
      <c r="J67" s="176"/>
      <c r="K67" s="178"/>
    </row>
    <row r="68" spans="1:11" ht="18" customHeight="1">
      <c r="A68" s="151" t="s">
        <v>103</v>
      </c>
      <c r="B68" s="147" t="s">
        <v>52</v>
      </c>
      <c r="F68" s="179">
        <v>4120</v>
      </c>
      <c r="G68" s="179">
        <v>1202</v>
      </c>
      <c r="H68" s="179">
        <v>189360</v>
      </c>
      <c r="I68" s="158">
        <v>127270</v>
      </c>
      <c r="J68" s="179">
        <v>15425</v>
      </c>
      <c r="K68" s="159">
        <f>(H68+I68)-J68</f>
        <v>301205</v>
      </c>
    </row>
    <row r="69" spans="1:11" ht="18" customHeight="1">
      <c r="A69" s="151" t="s">
        <v>104</v>
      </c>
      <c r="B69" s="155" t="s">
        <v>53</v>
      </c>
      <c r="F69" s="179"/>
      <c r="G69" s="179"/>
      <c r="H69" s="179"/>
      <c r="I69" s="158">
        <v>0</v>
      </c>
      <c r="J69" s="179"/>
      <c r="K69" s="159">
        <f>(H69+I69)-J69</f>
        <v>0</v>
      </c>
    </row>
    <row r="70" spans="1:11" ht="18" customHeight="1">
      <c r="A70" s="151" t="s">
        <v>178</v>
      </c>
      <c r="B70" s="396"/>
      <c r="C70" s="397"/>
      <c r="D70" s="392"/>
      <c r="E70" s="150"/>
      <c r="F70" s="180"/>
      <c r="G70" s="180"/>
      <c r="H70" s="181"/>
      <c r="I70" s="158">
        <v>0</v>
      </c>
      <c r="J70" s="181"/>
      <c r="K70" s="159">
        <f>(H70+I70)-J70</f>
        <v>0</v>
      </c>
    </row>
    <row r="71" spans="1:11" ht="18" customHeight="1">
      <c r="A71" s="151" t="s">
        <v>179</v>
      </c>
      <c r="B71" s="396"/>
      <c r="C71" s="397"/>
      <c r="D71" s="392"/>
      <c r="E71" s="150"/>
      <c r="F71" s="180"/>
      <c r="G71" s="180"/>
      <c r="H71" s="181"/>
      <c r="I71" s="158">
        <v>0</v>
      </c>
      <c r="J71" s="181"/>
      <c r="K71" s="159">
        <f>(H71+I71)-J71</f>
        <v>0</v>
      </c>
    </row>
    <row r="72" spans="1:11" ht="18" customHeight="1">
      <c r="A72" s="151" t="s">
        <v>180</v>
      </c>
      <c r="B72" s="390"/>
      <c r="C72" s="391"/>
      <c r="D72" s="182"/>
      <c r="E72" s="150"/>
      <c r="F72" s="156"/>
      <c r="G72" s="156"/>
      <c r="H72" s="157"/>
      <c r="I72" s="158">
        <v>0</v>
      </c>
      <c r="J72" s="157"/>
      <c r="K72" s="159">
        <f>(H72+I72)-J72</f>
        <v>0</v>
      </c>
    </row>
    <row r="73" spans="1:11" ht="18" customHeight="1">
      <c r="A73" s="151"/>
      <c r="B73" s="155"/>
      <c r="E73" s="150"/>
      <c r="F73" s="183"/>
      <c r="G73" s="183"/>
      <c r="H73" s="184"/>
      <c r="I73" s="177"/>
      <c r="J73" s="184"/>
      <c r="K73" s="178"/>
    </row>
    <row r="74" spans="1:11" ht="18" customHeight="1">
      <c r="A74" s="154" t="s">
        <v>146</v>
      </c>
      <c r="B74" s="150" t="s">
        <v>147</v>
      </c>
      <c r="E74" s="150" t="s">
        <v>7</v>
      </c>
      <c r="F74" s="185">
        <f t="shared" ref="F74:K74" si="7">SUM(F68:F72)</f>
        <v>4120</v>
      </c>
      <c r="G74" s="185">
        <f t="shared" si="7"/>
        <v>1202</v>
      </c>
      <c r="H74" s="185">
        <f t="shared" si="7"/>
        <v>189360</v>
      </c>
      <c r="I74" s="186">
        <f t="shared" si="7"/>
        <v>127270</v>
      </c>
      <c r="J74" s="185">
        <f t="shared" si="7"/>
        <v>15425</v>
      </c>
      <c r="K74" s="187">
        <f t="shared" si="7"/>
        <v>301205</v>
      </c>
    </row>
    <row r="75" spans="1:11" ht="42.75" customHeight="1">
      <c r="F75" s="153" t="s">
        <v>9</v>
      </c>
      <c r="G75" s="153" t="s">
        <v>37</v>
      </c>
      <c r="H75" s="153" t="s">
        <v>29</v>
      </c>
      <c r="I75" s="153" t="s">
        <v>30</v>
      </c>
      <c r="J75" s="153" t="s">
        <v>33</v>
      </c>
      <c r="K75" s="153" t="s">
        <v>34</v>
      </c>
    </row>
    <row r="76" spans="1:11" ht="18" customHeight="1">
      <c r="A76" s="154" t="s">
        <v>105</v>
      </c>
      <c r="B76" s="150" t="s">
        <v>106</v>
      </c>
    </row>
    <row r="77" spans="1:11" ht="18" customHeight="1">
      <c r="A77" s="151" t="s">
        <v>107</v>
      </c>
      <c r="B77" s="155" t="s">
        <v>54</v>
      </c>
      <c r="F77" s="156"/>
      <c r="G77" s="156"/>
      <c r="H77" s="157"/>
      <c r="I77" s="158">
        <v>0</v>
      </c>
      <c r="J77" s="157"/>
      <c r="K77" s="159">
        <f>(H77+I77)-J77</f>
        <v>0</v>
      </c>
    </row>
    <row r="78" spans="1:11" ht="18" customHeight="1">
      <c r="A78" s="151" t="s">
        <v>108</v>
      </c>
      <c r="B78" s="155" t="s">
        <v>55</v>
      </c>
      <c r="F78" s="156"/>
      <c r="G78" s="156"/>
      <c r="H78" s="157"/>
      <c r="I78" s="158">
        <v>0</v>
      </c>
      <c r="J78" s="157"/>
      <c r="K78" s="159">
        <f>(H78+I78)-J78</f>
        <v>0</v>
      </c>
    </row>
    <row r="79" spans="1:11" ht="18" customHeight="1">
      <c r="A79" s="151" t="s">
        <v>109</v>
      </c>
      <c r="B79" s="155" t="s">
        <v>13</v>
      </c>
      <c r="F79" s="156"/>
      <c r="G79" s="156">
        <v>16800</v>
      </c>
      <c r="H79" s="157">
        <v>125712</v>
      </c>
      <c r="I79" s="158">
        <v>0</v>
      </c>
      <c r="J79" s="157">
        <v>0</v>
      </c>
      <c r="K79" s="159">
        <f>(H79+I79)-J79</f>
        <v>125712</v>
      </c>
    </row>
    <row r="80" spans="1:11" ht="18" customHeight="1">
      <c r="A80" s="151" t="s">
        <v>110</v>
      </c>
      <c r="B80" s="155" t="s">
        <v>56</v>
      </c>
      <c r="F80" s="156"/>
      <c r="G80" s="156"/>
      <c r="H80" s="157"/>
      <c r="I80" s="158">
        <v>0</v>
      </c>
      <c r="J80" s="157"/>
      <c r="K80" s="159">
        <f>(H80+I80)-J80</f>
        <v>0</v>
      </c>
    </row>
    <row r="81" spans="1:11" ht="18" customHeight="1">
      <c r="A81" s="151"/>
      <c r="K81" s="188"/>
    </row>
    <row r="82" spans="1:11" ht="18" customHeight="1">
      <c r="A82" s="151" t="s">
        <v>148</v>
      </c>
      <c r="B82" s="150" t="s">
        <v>149</v>
      </c>
      <c r="E82" s="150" t="s">
        <v>7</v>
      </c>
      <c r="F82" s="185">
        <f t="shared" ref="F82:K82" si="8">SUM(F77:F80)</f>
        <v>0</v>
      </c>
      <c r="G82" s="185">
        <f t="shared" si="8"/>
        <v>16800</v>
      </c>
      <c r="H82" s="187">
        <f t="shared" si="8"/>
        <v>125712</v>
      </c>
      <c r="I82" s="187">
        <f t="shared" si="8"/>
        <v>0</v>
      </c>
      <c r="J82" s="187">
        <f t="shared" si="8"/>
        <v>0</v>
      </c>
      <c r="K82" s="187">
        <f t="shared" si="8"/>
        <v>125712</v>
      </c>
    </row>
    <row r="83" spans="1:11" ht="18" customHeight="1" thickBot="1">
      <c r="A83" s="151"/>
      <c r="F83" s="172"/>
      <c r="G83" s="172"/>
      <c r="H83" s="172"/>
      <c r="I83" s="172"/>
      <c r="J83" s="172"/>
      <c r="K83" s="172"/>
    </row>
    <row r="84" spans="1:11" ht="42.75" customHeight="1">
      <c r="F84" s="153" t="s">
        <v>9</v>
      </c>
      <c r="G84" s="153" t="s">
        <v>37</v>
      </c>
      <c r="H84" s="153" t="s">
        <v>29</v>
      </c>
      <c r="I84" s="153" t="s">
        <v>30</v>
      </c>
      <c r="J84" s="153" t="s">
        <v>33</v>
      </c>
      <c r="K84" s="153" t="s">
        <v>34</v>
      </c>
    </row>
    <row r="85" spans="1:11" ht="18" customHeight="1">
      <c r="A85" s="154" t="s">
        <v>111</v>
      </c>
      <c r="B85" s="150" t="s">
        <v>57</v>
      </c>
    </row>
    <row r="86" spans="1:11" ht="18" customHeight="1">
      <c r="A86" s="151" t="s">
        <v>112</v>
      </c>
      <c r="B86" s="155" t="s">
        <v>113</v>
      </c>
      <c r="F86" s="156"/>
      <c r="G86" s="156"/>
      <c r="H86" s="157"/>
      <c r="I86" s="158">
        <f t="shared" ref="I86:I96" si="9">H86*F$114</f>
        <v>0</v>
      </c>
      <c r="J86" s="157"/>
      <c r="K86" s="159">
        <f t="shared" ref="K86:K96" si="10">(H86+I86)-J86</f>
        <v>0</v>
      </c>
    </row>
    <row r="87" spans="1:11" ht="18" customHeight="1">
      <c r="A87" s="151" t="s">
        <v>114</v>
      </c>
      <c r="B87" s="155" t="s">
        <v>14</v>
      </c>
      <c r="F87" s="156"/>
      <c r="G87" s="156">
        <v>32</v>
      </c>
      <c r="H87" s="157">
        <v>33330</v>
      </c>
      <c r="I87" s="158">
        <v>23160</v>
      </c>
      <c r="J87" s="157"/>
      <c r="K87" s="159">
        <f t="shared" si="10"/>
        <v>56490</v>
      </c>
    </row>
    <row r="88" spans="1:11" ht="18" customHeight="1">
      <c r="A88" s="151" t="s">
        <v>115</v>
      </c>
      <c r="B88" s="155" t="s">
        <v>116</v>
      </c>
      <c r="F88" s="156"/>
      <c r="G88" s="156"/>
      <c r="H88" s="157"/>
      <c r="I88" s="158">
        <f t="shared" si="9"/>
        <v>0</v>
      </c>
      <c r="J88" s="157"/>
      <c r="K88" s="159">
        <f t="shared" si="10"/>
        <v>0</v>
      </c>
    </row>
    <row r="89" spans="1:11" ht="18" customHeight="1">
      <c r="A89" s="151" t="s">
        <v>117</v>
      </c>
      <c r="B89" s="155" t="s">
        <v>58</v>
      </c>
      <c r="F89" s="156"/>
      <c r="G89" s="156"/>
      <c r="H89" s="157"/>
      <c r="I89" s="158">
        <f t="shared" si="9"/>
        <v>0</v>
      </c>
      <c r="J89" s="157"/>
      <c r="K89" s="159">
        <f t="shared" si="10"/>
        <v>0</v>
      </c>
    </row>
    <row r="90" spans="1:11" ht="18" customHeight="1">
      <c r="A90" s="151" t="s">
        <v>118</v>
      </c>
      <c r="B90" s="904" t="s">
        <v>59</v>
      </c>
      <c r="C90" s="907"/>
      <c r="F90" s="156"/>
      <c r="G90" s="156"/>
      <c r="H90" s="157"/>
      <c r="I90" s="158">
        <f t="shared" si="9"/>
        <v>0</v>
      </c>
      <c r="J90" s="157"/>
      <c r="K90" s="159">
        <f t="shared" si="10"/>
        <v>0</v>
      </c>
    </row>
    <row r="91" spans="1:11" ht="18" customHeight="1">
      <c r="A91" s="151" t="s">
        <v>119</v>
      </c>
      <c r="B91" s="155" t="s">
        <v>60</v>
      </c>
      <c r="F91" s="156"/>
      <c r="G91" s="156"/>
      <c r="H91" s="157"/>
      <c r="I91" s="158">
        <f t="shared" si="9"/>
        <v>0</v>
      </c>
      <c r="J91" s="157"/>
      <c r="K91" s="159">
        <f t="shared" si="10"/>
        <v>0</v>
      </c>
    </row>
    <row r="92" spans="1:11" ht="18" customHeight="1">
      <c r="A92" s="151" t="s">
        <v>120</v>
      </c>
      <c r="B92" s="155" t="s">
        <v>121</v>
      </c>
      <c r="F92" s="189"/>
      <c r="G92" s="189"/>
      <c r="H92" s="190"/>
      <c r="I92" s="158">
        <f t="shared" si="9"/>
        <v>0</v>
      </c>
      <c r="J92" s="190"/>
      <c r="K92" s="159">
        <f t="shared" si="10"/>
        <v>0</v>
      </c>
    </row>
    <row r="93" spans="1:11" ht="18" customHeight="1">
      <c r="A93" s="151" t="s">
        <v>122</v>
      </c>
      <c r="B93" s="155" t="s">
        <v>123</v>
      </c>
      <c r="F93" s="156"/>
      <c r="G93" s="156"/>
      <c r="H93" s="157"/>
      <c r="I93" s="158">
        <f t="shared" si="9"/>
        <v>0</v>
      </c>
      <c r="J93" s="157"/>
      <c r="K93" s="159">
        <f t="shared" si="10"/>
        <v>0</v>
      </c>
    </row>
    <row r="94" spans="1:11" ht="18" customHeight="1">
      <c r="A94" s="151" t="s">
        <v>124</v>
      </c>
      <c r="B94" s="901"/>
      <c r="C94" s="902"/>
      <c r="D94" s="903"/>
      <c r="F94" s="156"/>
      <c r="G94" s="156"/>
      <c r="H94" s="157"/>
      <c r="I94" s="158">
        <f t="shared" si="9"/>
        <v>0</v>
      </c>
      <c r="J94" s="157"/>
      <c r="K94" s="159">
        <f t="shared" si="10"/>
        <v>0</v>
      </c>
    </row>
    <row r="95" spans="1:11" ht="18" customHeight="1">
      <c r="A95" s="151" t="s">
        <v>125</v>
      </c>
      <c r="B95" s="901"/>
      <c r="C95" s="902"/>
      <c r="D95" s="903"/>
      <c r="F95" s="156"/>
      <c r="G95" s="156"/>
      <c r="H95" s="157"/>
      <c r="I95" s="158">
        <f t="shared" si="9"/>
        <v>0</v>
      </c>
      <c r="J95" s="157"/>
      <c r="K95" s="159">
        <f t="shared" si="10"/>
        <v>0</v>
      </c>
    </row>
    <row r="96" spans="1:11" ht="18" customHeight="1">
      <c r="A96" s="151" t="s">
        <v>126</v>
      </c>
      <c r="B96" s="901"/>
      <c r="C96" s="902"/>
      <c r="D96" s="903"/>
      <c r="F96" s="156"/>
      <c r="G96" s="156"/>
      <c r="H96" s="157"/>
      <c r="I96" s="158">
        <f t="shared" si="9"/>
        <v>0</v>
      </c>
      <c r="J96" s="157"/>
      <c r="K96" s="159">
        <f t="shared" si="10"/>
        <v>0</v>
      </c>
    </row>
    <row r="97" spans="1:11" ht="18" customHeight="1">
      <c r="A97" s="151"/>
      <c r="B97" s="155"/>
    </row>
    <row r="98" spans="1:11" ht="18" customHeight="1">
      <c r="A98" s="154" t="s">
        <v>150</v>
      </c>
      <c r="B98" s="150" t="s">
        <v>151</v>
      </c>
      <c r="E98" s="150" t="s">
        <v>7</v>
      </c>
      <c r="F98" s="162">
        <f t="shared" ref="F98:K98" si="11">SUM(F86:F96)</f>
        <v>0</v>
      </c>
      <c r="G98" s="162">
        <f t="shared" si="11"/>
        <v>32</v>
      </c>
      <c r="H98" s="162">
        <f t="shared" si="11"/>
        <v>33330</v>
      </c>
      <c r="I98" s="162">
        <f t="shared" si="11"/>
        <v>23160</v>
      </c>
      <c r="J98" s="162">
        <f t="shared" si="11"/>
        <v>0</v>
      </c>
      <c r="K98" s="162">
        <f t="shared" si="11"/>
        <v>56490</v>
      </c>
    </row>
    <row r="99" spans="1:11" ht="18" customHeight="1" thickBot="1">
      <c r="B99" s="150"/>
      <c r="F99" s="172"/>
      <c r="G99" s="172"/>
      <c r="H99" s="172"/>
      <c r="I99" s="172"/>
      <c r="J99" s="172"/>
      <c r="K99" s="172"/>
    </row>
    <row r="100" spans="1:11" ht="42.75" customHeight="1">
      <c r="F100" s="153" t="s">
        <v>9</v>
      </c>
      <c r="G100" s="153" t="s">
        <v>37</v>
      </c>
      <c r="H100" s="153" t="s">
        <v>29</v>
      </c>
      <c r="I100" s="153" t="s">
        <v>30</v>
      </c>
      <c r="J100" s="153" t="s">
        <v>33</v>
      </c>
      <c r="K100" s="153" t="s">
        <v>34</v>
      </c>
    </row>
    <row r="101" spans="1:11" ht="18" customHeight="1">
      <c r="A101" s="154" t="s">
        <v>130</v>
      </c>
      <c r="B101" s="150" t="s">
        <v>63</v>
      </c>
    </row>
    <row r="102" spans="1:11" ht="18" customHeight="1">
      <c r="A102" s="151" t="s">
        <v>131</v>
      </c>
      <c r="B102" s="155" t="s">
        <v>152</v>
      </c>
      <c r="F102" s="156">
        <v>5823.6</v>
      </c>
      <c r="G102" s="156">
        <v>12</v>
      </c>
      <c r="H102" s="157">
        <v>346419</v>
      </c>
      <c r="I102" s="158">
        <v>110169</v>
      </c>
      <c r="J102" s="157">
        <v>0</v>
      </c>
      <c r="K102" s="159">
        <f>(H102+I102)-J102</f>
        <v>456588</v>
      </c>
    </row>
    <row r="103" spans="1:11" ht="18" customHeight="1">
      <c r="A103" s="151" t="s">
        <v>132</v>
      </c>
      <c r="B103" s="904" t="s">
        <v>62</v>
      </c>
      <c r="C103" s="904"/>
      <c r="F103" s="156">
        <v>81</v>
      </c>
      <c r="G103" s="156">
        <v>66</v>
      </c>
      <c r="H103" s="157">
        <v>5946</v>
      </c>
      <c r="I103" s="158">
        <v>4132</v>
      </c>
      <c r="J103" s="157"/>
      <c r="K103" s="159">
        <f>(H103+I103)-J103</f>
        <v>10078</v>
      </c>
    </row>
    <row r="104" spans="1:11" ht="18" customHeight="1">
      <c r="A104" s="151" t="s">
        <v>128</v>
      </c>
      <c r="B104" s="901" t="s">
        <v>761</v>
      </c>
      <c r="C104" s="902"/>
      <c r="D104" s="903"/>
      <c r="F104" s="156">
        <v>995</v>
      </c>
      <c r="G104" s="156"/>
      <c r="H104" s="157">
        <v>182606</v>
      </c>
      <c r="I104" s="158">
        <v>0</v>
      </c>
      <c r="J104" s="157">
        <v>0</v>
      </c>
      <c r="K104" s="159">
        <f>(H104+I104)-J104</f>
        <v>182606</v>
      </c>
    </row>
    <row r="105" spans="1:11" ht="18" customHeight="1">
      <c r="A105" s="151" t="s">
        <v>127</v>
      </c>
      <c r="B105" s="901"/>
      <c r="C105" s="902"/>
      <c r="D105" s="903"/>
      <c r="F105" s="156"/>
      <c r="G105" s="156"/>
      <c r="H105" s="157"/>
      <c r="I105" s="158">
        <f>H105*F$114</f>
        <v>0</v>
      </c>
      <c r="J105" s="157"/>
      <c r="K105" s="159">
        <f>(H105+I105)-J105</f>
        <v>0</v>
      </c>
    </row>
    <row r="106" spans="1:11" ht="18" customHeight="1">
      <c r="A106" s="151" t="s">
        <v>129</v>
      </c>
      <c r="B106" s="901"/>
      <c r="C106" s="902"/>
      <c r="D106" s="903"/>
      <c r="F106" s="156"/>
      <c r="G106" s="156"/>
      <c r="H106" s="157"/>
      <c r="I106" s="158">
        <f>H106*F$114</f>
        <v>0</v>
      </c>
      <c r="J106" s="157"/>
      <c r="K106" s="159">
        <f>(H106+I106)-J106</f>
        <v>0</v>
      </c>
    </row>
    <row r="107" spans="1:11" ht="18" customHeight="1">
      <c r="B107" s="150"/>
    </row>
    <row r="108" spans="1:11" s="167" customFormat="1" ht="18" customHeight="1">
      <c r="A108" s="154" t="s">
        <v>153</v>
      </c>
      <c r="B108" s="191" t="s">
        <v>154</v>
      </c>
      <c r="C108" s="147"/>
      <c r="D108" s="147"/>
      <c r="E108" s="150" t="s">
        <v>7</v>
      </c>
      <c r="F108" s="162">
        <f t="shared" ref="F108:K108" si="12">SUM(F102:F106)</f>
        <v>6899.6</v>
      </c>
      <c r="G108" s="162">
        <f t="shared" si="12"/>
        <v>78</v>
      </c>
      <c r="H108" s="159">
        <f t="shared" si="12"/>
        <v>534971</v>
      </c>
      <c r="I108" s="159">
        <f t="shared" si="12"/>
        <v>114301</v>
      </c>
      <c r="J108" s="159">
        <f t="shared" si="12"/>
        <v>0</v>
      </c>
      <c r="K108" s="159">
        <f t="shared" si="12"/>
        <v>649272</v>
      </c>
    </row>
    <row r="109" spans="1:11" s="167" customFormat="1" ht="18" customHeight="1" thickBot="1">
      <c r="A109" s="192"/>
      <c r="B109" s="193"/>
      <c r="C109" s="194"/>
      <c r="D109" s="194"/>
      <c r="E109" s="194"/>
      <c r="F109" s="172"/>
      <c r="G109" s="172"/>
      <c r="H109" s="172"/>
      <c r="I109" s="172"/>
      <c r="J109" s="172"/>
      <c r="K109" s="172"/>
    </row>
    <row r="110" spans="1:11" s="167" customFormat="1" ht="18" customHeight="1">
      <c r="A110" s="154" t="s">
        <v>156</v>
      </c>
      <c r="B110" s="150" t="s">
        <v>39</v>
      </c>
      <c r="C110" s="147"/>
      <c r="D110" s="147"/>
      <c r="E110" s="147"/>
      <c r="F110" s="147"/>
      <c r="G110" s="147"/>
      <c r="H110" s="147"/>
      <c r="I110" s="147"/>
      <c r="J110" s="147"/>
      <c r="K110" s="147"/>
    </row>
    <row r="111" spans="1:11" ht="18" customHeight="1">
      <c r="A111" s="154" t="s">
        <v>155</v>
      </c>
      <c r="B111" s="150" t="s">
        <v>164</v>
      </c>
      <c r="E111" s="150" t="s">
        <v>7</v>
      </c>
      <c r="F111" s="157">
        <v>29924630</v>
      </c>
    </row>
    <row r="112" spans="1:11" ht="18" customHeight="1">
      <c r="B112" s="150"/>
      <c r="E112" s="150"/>
      <c r="F112" s="195"/>
    </row>
    <row r="113" spans="1:6" ht="18" customHeight="1">
      <c r="A113" s="154"/>
      <c r="B113" s="150" t="s">
        <v>15</v>
      </c>
    </row>
    <row r="114" spans="1:6" ht="18" customHeight="1">
      <c r="A114" s="151" t="s">
        <v>171</v>
      </c>
      <c r="B114" s="155" t="s">
        <v>35</v>
      </c>
      <c r="F114" s="196">
        <v>0.7</v>
      </c>
    </row>
    <row r="115" spans="1:6" ht="18" customHeight="1">
      <c r="A115" s="151"/>
      <c r="B115" s="150"/>
    </row>
    <row r="116" spans="1:6" ht="18" customHeight="1">
      <c r="A116" s="151" t="s">
        <v>170</v>
      </c>
      <c r="B116" s="150" t="s">
        <v>16</v>
      </c>
    </row>
    <row r="117" spans="1:6" ht="18" customHeight="1">
      <c r="A117" s="151" t="s">
        <v>172</v>
      </c>
      <c r="B117" s="155" t="s">
        <v>17</v>
      </c>
      <c r="F117" s="157">
        <v>411871089.75</v>
      </c>
    </row>
    <row r="118" spans="1:6" ht="18" customHeight="1">
      <c r="A118" s="151" t="s">
        <v>173</v>
      </c>
      <c r="B118" s="147" t="s">
        <v>18</v>
      </c>
      <c r="F118" s="157">
        <v>12343996.640000001</v>
      </c>
    </row>
    <row r="119" spans="1:6" ht="18" customHeight="1">
      <c r="A119" s="151" t="s">
        <v>174</v>
      </c>
      <c r="B119" s="150" t="s">
        <v>19</v>
      </c>
      <c r="F119" s="187">
        <f>SUM(F117:F118)</f>
        <v>424215086.38999999</v>
      </c>
    </row>
    <row r="120" spans="1:6" ht="18" customHeight="1">
      <c r="A120" s="151"/>
      <c r="B120" s="150"/>
    </row>
    <row r="121" spans="1:6" ht="18" customHeight="1">
      <c r="A121" s="151" t="s">
        <v>167</v>
      </c>
      <c r="B121" s="150" t="s">
        <v>36</v>
      </c>
      <c r="F121" s="157">
        <v>378544267.5</v>
      </c>
    </row>
    <row r="122" spans="1:6" ht="18" customHeight="1">
      <c r="A122" s="151"/>
    </row>
    <row r="123" spans="1:6" ht="18" customHeight="1">
      <c r="A123" s="151" t="s">
        <v>175</v>
      </c>
      <c r="B123" s="150" t="s">
        <v>20</v>
      </c>
      <c r="F123" s="157">
        <v>45670818.889999896</v>
      </c>
    </row>
    <row r="124" spans="1:6" ht="18" customHeight="1">
      <c r="A124" s="151"/>
    </row>
    <row r="125" spans="1:6" ht="18" customHeight="1">
      <c r="A125" s="151" t="s">
        <v>176</v>
      </c>
      <c r="B125" s="150" t="s">
        <v>21</v>
      </c>
      <c r="F125" s="157">
        <v>1513312.56</v>
      </c>
    </row>
    <row r="126" spans="1:6" ht="18" customHeight="1">
      <c r="A126" s="151"/>
    </row>
    <row r="127" spans="1:6" ht="18" customHeight="1">
      <c r="A127" s="151" t="s">
        <v>177</v>
      </c>
      <c r="B127" s="150" t="s">
        <v>22</v>
      </c>
      <c r="F127" s="157">
        <v>47184131.450000003</v>
      </c>
    </row>
    <row r="128" spans="1:6" ht="18" customHeight="1">
      <c r="A128" s="151"/>
    </row>
    <row r="129" spans="1:11" ht="42.75" customHeight="1">
      <c r="F129" s="153" t="s">
        <v>9</v>
      </c>
      <c r="G129" s="153" t="s">
        <v>37</v>
      </c>
      <c r="H129" s="153" t="s">
        <v>29</v>
      </c>
      <c r="I129" s="153" t="s">
        <v>30</v>
      </c>
      <c r="J129" s="153" t="s">
        <v>33</v>
      </c>
      <c r="K129" s="153" t="s">
        <v>34</v>
      </c>
    </row>
    <row r="130" spans="1:11" ht="18" customHeight="1">
      <c r="A130" s="154" t="s">
        <v>157</v>
      </c>
      <c r="B130" s="150" t="s">
        <v>23</v>
      </c>
    </row>
    <row r="131" spans="1:11" ht="18" customHeight="1">
      <c r="A131" s="151" t="s">
        <v>158</v>
      </c>
      <c r="B131" s="147" t="s">
        <v>24</v>
      </c>
      <c r="F131" s="156"/>
      <c r="G131" s="156"/>
      <c r="H131" s="157"/>
      <c r="I131" s="158">
        <v>0</v>
      </c>
      <c r="J131" s="157"/>
      <c r="K131" s="159">
        <f>(H131+I131)-J131</f>
        <v>0</v>
      </c>
    </row>
    <row r="132" spans="1:11" ht="18" customHeight="1">
      <c r="A132" s="151" t="s">
        <v>159</v>
      </c>
      <c r="B132" s="147" t="s">
        <v>25</v>
      </c>
      <c r="F132" s="156"/>
      <c r="G132" s="156"/>
      <c r="H132" s="157"/>
      <c r="I132" s="158">
        <v>0</v>
      </c>
      <c r="J132" s="157"/>
      <c r="K132" s="159">
        <f>(H132+I132)-J132</f>
        <v>0</v>
      </c>
    </row>
    <row r="133" spans="1:11" ht="18" customHeight="1">
      <c r="A133" s="151" t="s">
        <v>160</v>
      </c>
      <c r="B133" s="898"/>
      <c r="C133" s="899"/>
      <c r="D133" s="900"/>
      <c r="F133" s="156"/>
      <c r="G133" s="156"/>
      <c r="H133" s="157"/>
      <c r="I133" s="158">
        <v>0</v>
      </c>
      <c r="J133" s="157"/>
      <c r="K133" s="159">
        <f>(H133+I133)-J133</f>
        <v>0</v>
      </c>
    </row>
    <row r="134" spans="1:11" ht="18" customHeight="1">
      <c r="A134" s="151" t="s">
        <v>161</v>
      </c>
      <c r="B134" s="898"/>
      <c r="C134" s="899"/>
      <c r="D134" s="900"/>
      <c r="F134" s="156"/>
      <c r="G134" s="156"/>
      <c r="H134" s="157"/>
      <c r="I134" s="158">
        <v>0</v>
      </c>
      <c r="J134" s="157"/>
      <c r="K134" s="159">
        <f>(H134+I134)-J134</f>
        <v>0</v>
      </c>
    </row>
    <row r="135" spans="1:11" ht="18" customHeight="1">
      <c r="A135" s="151" t="s">
        <v>162</v>
      </c>
      <c r="B135" s="898"/>
      <c r="C135" s="899"/>
      <c r="D135" s="900"/>
      <c r="F135" s="156"/>
      <c r="G135" s="156"/>
      <c r="H135" s="157"/>
      <c r="I135" s="158">
        <v>0</v>
      </c>
      <c r="J135" s="157"/>
      <c r="K135" s="159">
        <f>(H135+I135)-J135</f>
        <v>0</v>
      </c>
    </row>
    <row r="136" spans="1:11" ht="18" customHeight="1">
      <c r="A136" s="154"/>
    </row>
    <row r="137" spans="1:11" ht="18" customHeight="1">
      <c r="A137" s="154" t="s">
        <v>163</v>
      </c>
      <c r="B137" s="150" t="s">
        <v>27</v>
      </c>
      <c r="F137" s="162">
        <f t="shared" ref="F137:K137" si="13">SUM(F131:F135)</f>
        <v>0</v>
      </c>
      <c r="G137" s="162">
        <f t="shared" si="13"/>
        <v>0</v>
      </c>
      <c r="H137" s="159">
        <f t="shared" si="13"/>
        <v>0</v>
      </c>
      <c r="I137" s="159">
        <f t="shared" si="13"/>
        <v>0</v>
      </c>
      <c r="J137" s="159">
        <f t="shared" si="13"/>
        <v>0</v>
      </c>
      <c r="K137" s="159">
        <f t="shared" si="13"/>
        <v>0</v>
      </c>
    </row>
    <row r="138" spans="1:11" ht="18" customHeight="1">
      <c r="A138" s="147"/>
    </row>
    <row r="139" spans="1:11" ht="42.75" customHeight="1">
      <c r="F139" s="153" t="s">
        <v>9</v>
      </c>
      <c r="G139" s="153" t="s">
        <v>37</v>
      </c>
      <c r="H139" s="153" t="s">
        <v>29</v>
      </c>
      <c r="I139" s="153" t="s">
        <v>30</v>
      </c>
      <c r="J139" s="153" t="s">
        <v>33</v>
      </c>
      <c r="K139" s="153" t="s">
        <v>34</v>
      </c>
    </row>
    <row r="140" spans="1:11" ht="18" customHeight="1">
      <c r="A140" s="154" t="s">
        <v>166</v>
      </c>
      <c r="B140" s="150" t="s">
        <v>26</v>
      </c>
    </row>
    <row r="141" spans="1:11" ht="18" customHeight="1">
      <c r="A141" s="151" t="s">
        <v>137</v>
      </c>
      <c r="B141" s="150" t="s">
        <v>64</v>
      </c>
      <c r="F141" s="197">
        <f t="shared" ref="F141:K141" si="14">F36</f>
        <v>59853.78</v>
      </c>
      <c r="G141" s="197">
        <f t="shared" si="14"/>
        <v>206397</v>
      </c>
      <c r="H141" s="197">
        <f t="shared" si="14"/>
        <v>4042532</v>
      </c>
      <c r="I141" s="197">
        <f t="shared" si="14"/>
        <v>1880859</v>
      </c>
      <c r="J141" s="197">
        <f t="shared" si="14"/>
        <v>511227</v>
      </c>
      <c r="K141" s="197">
        <f t="shared" si="14"/>
        <v>5412164</v>
      </c>
    </row>
    <row r="142" spans="1:11" ht="18" customHeight="1">
      <c r="A142" s="151" t="s">
        <v>142</v>
      </c>
      <c r="B142" s="150" t="s">
        <v>65</v>
      </c>
      <c r="F142" s="197">
        <f t="shared" ref="F142:K142" si="15">F49</f>
        <v>8615</v>
      </c>
      <c r="G142" s="197">
        <f t="shared" si="15"/>
        <v>11059</v>
      </c>
      <c r="H142" s="197">
        <f t="shared" si="15"/>
        <v>2669601</v>
      </c>
      <c r="I142" s="197">
        <f t="shared" si="15"/>
        <v>1854258</v>
      </c>
      <c r="J142" s="197">
        <f t="shared" si="15"/>
        <v>0</v>
      </c>
      <c r="K142" s="197">
        <f t="shared" si="15"/>
        <v>4523859</v>
      </c>
    </row>
    <row r="143" spans="1:11" ht="18" customHeight="1">
      <c r="A143" s="151" t="s">
        <v>144</v>
      </c>
      <c r="B143" s="150" t="s">
        <v>66</v>
      </c>
      <c r="F143" s="197">
        <f t="shared" ref="F143:K143" si="16">F64</f>
        <v>114391.5</v>
      </c>
      <c r="G143" s="197">
        <f t="shared" si="16"/>
        <v>52504</v>
      </c>
      <c r="H143" s="197">
        <f t="shared" si="16"/>
        <v>6586351</v>
      </c>
      <c r="I143" s="197">
        <f t="shared" si="16"/>
        <v>7946322</v>
      </c>
      <c r="J143" s="197">
        <f t="shared" si="16"/>
        <v>846736</v>
      </c>
      <c r="K143" s="197">
        <f t="shared" si="16"/>
        <v>13685937</v>
      </c>
    </row>
    <row r="144" spans="1:11" ht="18" customHeight="1">
      <c r="A144" s="151" t="s">
        <v>146</v>
      </c>
      <c r="B144" s="150" t="s">
        <v>67</v>
      </c>
      <c r="F144" s="197">
        <f t="shared" ref="F144:K144" si="17">F74</f>
        <v>4120</v>
      </c>
      <c r="G144" s="197">
        <f t="shared" si="17"/>
        <v>1202</v>
      </c>
      <c r="H144" s="197">
        <f t="shared" si="17"/>
        <v>189360</v>
      </c>
      <c r="I144" s="197">
        <f t="shared" si="17"/>
        <v>127270</v>
      </c>
      <c r="J144" s="197">
        <f t="shared" si="17"/>
        <v>15425</v>
      </c>
      <c r="K144" s="197">
        <f t="shared" si="17"/>
        <v>301205</v>
      </c>
    </row>
    <row r="145" spans="1:11" ht="18" customHeight="1">
      <c r="A145" s="151" t="s">
        <v>148</v>
      </c>
      <c r="B145" s="150" t="s">
        <v>68</v>
      </c>
      <c r="F145" s="197">
        <f t="shared" ref="F145:K145" si="18">F82</f>
        <v>0</v>
      </c>
      <c r="G145" s="197">
        <f t="shared" si="18"/>
        <v>16800</v>
      </c>
      <c r="H145" s="197">
        <f t="shared" si="18"/>
        <v>125712</v>
      </c>
      <c r="I145" s="197">
        <f t="shared" si="18"/>
        <v>0</v>
      </c>
      <c r="J145" s="197">
        <f t="shared" si="18"/>
        <v>0</v>
      </c>
      <c r="K145" s="197">
        <f t="shared" si="18"/>
        <v>125712</v>
      </c>
    </row>
    <row r="146" spans="1:11" ht="18" customHeight="1">
      <c r="A146" s="151" t="s">
        <v>150</v>
      </c>
      <c r="B146" s="150" t="s">
        <v>69</v>
      </c>
      <c r="F146" s="197">
        <f t="shared" ref="F146:K146" si="19">F98</f>
        <v>0</v>
      </c>
      <c r="G146" s="197">
        <f t="shared" si="19"/>
        <v>32</v>
      </c>
      <c r="H146" s="197">
        <f t="shared" si="19"/>
        <v>33330</v>
      </c>
      <c r="I146" s="197">
        <f t="shared" si="19"/>
        <v>23160</v>
      </c>
      <c r="J146" s="197">
        <f t="shared" si="19"/>
        <v>0</v>
      </c>
      <c r="K146" s="197">
        <f t="shared" si="19"/>
        <v>56490</v>
      </c>
    </row>
    <row r="147" spans="1:11" ht="18" customHeight="1">
      <c r="A147" s="151" t="s">
        <v>153</v>
      </c>
      <c r="B147" s="150" t="s">
        <v>61</v>
      </c>
      <c r="F147" s="162">
        <f t="shared" ref="F147:K147" si="20">F108</f>
        <v>6899.6</v>
      </c>
      <c r="G147" s="162">
        <f t="shared" si="20"/>
        <v>78</v>
      </c>
      <c r="H147" s="162">
        <f t="shared" si="20"/>
        <v>534971</v>
      </c>
      <c r="I147" s="162">
        <f t="shared" si="20"/>
        <v>114301</v>
      </c>
      <c r="J147" s="162">
        <f t="shared" si="20"/>
        <v>0</v>
      </c>
      <c r="K147" s="162">
        <f t="shared" si="20"/>
        <v>649272</v>
      </c>
    </row>
    <row r="148" spans="1:11" ht="18" customHeight="1">
      <c r="A148" s="151" t="s">
        <v>155</v>
      </c>
      <c r="B148" s="150" t="s">
        <v>70</v>
      </c>
      <c r="F148" s="198" t="s">
        <v>73</v>
      </c>
      <c r="G148" s="198" t="s">
        <v>73</v>
      </c>
      <c r="H148" s="199" t="s">
        <v>73</v>
      </c>
      <c r="I148" s="199" t="s">
        <v>73</v>
      </c>
      <c r="J148" s="199" t="s">
        <v>73</v>
      </c>
      <c r="K148" s="200">
        <f>F111</f>
        <v>29924630</v>
      </c>
    </row>
    <row r="149" spans="1:11" ht="18" customHeight="1">
      <c r="A149" s="151" t="s">
        <v>163</v>
      </c>
      <c r="B149" s="150" t="s">
        <v>71</v>
      </c>
      <c r="F149" s="162">
        <f t="shared" ref="F149:K149" si="21">F137</f>
        <v>0</v>
      </c>
      <c r="G149" s="162">
        <f t="shared" si="21"/>
        <v>0</v>
      </c>
      <c r="H149" s="162">
        <f t="shared" si="21"/>
        <v>0</v>
      </c>
      <c r="I149" s="162">
        <f t="shared" si="21"/>
        <v>0</v>
      </c>
      <c r="J149" s="162">
        <f t="shared" si="21"/>
        <v>0</v>
      </c>
      <c r="K149" s="162">
        <f t="shared" si="21"/>
        <v>0</v>
      </c>
    </row>
    <row r="150" spans="1:11" ht="18" customHeight="1">
      <c r="A150" s="151" t="s">
        <v>185</v>
      </c>
      <c r="B150" s="150" t="s">
        <v>186</v>
      </c>
      <c r="F150" s="198" t="s">
        <v>73</v>
      </c>
      <c r="G150" s="198" t="s">
        <v>73</v>
      </c>
      <c r="H150" s="162">
        <f>H18</f>
        <v>11679932</v>
      </c>
      <c r="I150" s="162">
        <f>I18</f>
        <v>0</v>
      </c>
      <c r="J150" s="162">
        <f>J18</f>
        <v>9987802</v>
      </c>
      <c r="K150" s="162">
        <f>K18</f>
        <v>1692130</v>
      </c>
    </row>
    <row r="151" spans="1:11" ht="18" customHeight="1">
      <c r="B151" s="150"/>
      <c r="F151" s="174"/>
      <c r="G151" s="174"/>
      <c r="H151" s="174"/>
      <c r="I151" s="174"/>
      <c r="J151" s="174"/>
      <c r="K151" s="174"/>
    </row>
    <row r="152" spans="1:11" ht="18" customHeight="1">
      <c r="A152" s="154" t="s">
        <v>165</v>
      </c>
      <c r="B152" s="150" t="s">
        <v>26</v>
      </c>
      <c r="F152" s="201">
        <f t="shared" ref="F152:K152" si="22">SUM(F141:F150)</f>
        <v>193879.88</v>
      </c>
      <c r="G152" s="201">
        <f t="shared" si="22"/>
        <v>288072</v>
      </c>
      <c r="H152" s="201">
        <f t="shared" si="22"/>
        <v>25861789</v>
      </c>
      <c r="I152" s="201">
        <f t="shared" si="22"/>
        <v>11946170</v>
      </c>
      <c r="J152" s="201">
        <f t="shared" si="22"/>
        <v>11361190</v>
      </c>
      <c r="K152" s="201">
        <f t="shared" si="22"/>
        <v>56371399</v>
      </c>
    </row>
    <row r="154" spans="1:11" ht="18" customHeight="1">
      <c r="A154" s="154" t="s">
        <v>168</v>
      </c>
      <c r="B154" s="150" t="s">
        <v>28</v>
      </c>
      <c r="F154" s="53">
        <f>K152/F121</f>
        <v>0.14891626644432016</v>
      </c>
    </row>
    <row r="155" spans="1:11" ht="18" customHeight="1">
      <c r="A155" s="154" t="s">
        <v>169</v>
      </c>
      <c r="B155" s="150" t="s">
        <v>72</v>
      </c>
      <c r="F155" s="53">
        <f>K152/F127</f>
        <v>1.1947109603942916</v>
      </c>
      <c r="G155" s="150"/>
    </row>
    <row r="156" spans="1:11" ht="18" customHeight="1">
      <c r="G156" s="150"/>
    </row>
  </sheetData>
  <sheetProtection algorithmName="SHA-512" hashValue="iVvdvBFvLJrCQayOzWBOnlmmkvSOlg0vsuWfxw4ykvUWsRMIU69Eos4F9LU4n3blGdfrud4L5z60Zw6vfmvLvQ==" saltValue="dNfDTr1s26G+Dg2uXX89nw==" spinCount="100000" sheet="1" objects="1" scenarios="1"/>
  <mergeCells count="30">
    <mergeCell ref="C10:G10"/>
    <mergeCell ref="D2:H2"/>
    <mergeCell ref="C5:G5"/>
    <mergeCell ref="C6:G6"/>
    <mergeCell ref="C7:G7"/>
    <mergeCell ref="C9:G9"/>
    <mergeCell ref="B53:D53"/>
    <mergeCell ref="C11:G11"/>
    <mergeCell ref="B13:H13"/>
    <mergeCell ref="B30:D30"/>
    <mergeCell ref="B31:D31"/>
    <mergeCell ref="B34:D34"/>
    <mergeCell ref="B41:C41"/>
    <mergeCell ref="B44:D44"/>
    <mergeCell ref="B45:D45"/>
    <mergeCell ref="B46:D46"/>
    <mergeCell ref="B47:D47"/>
    <mergeCell ref="B52:C52"/>
    <mergeCell ref="B135:D135"/>
    <mergeCell ref="B62:D62"/>
    <mergeCell ref="B90:C90"/>
    <mergeCell ref="B94:D94"/>
    <mergeCell ref="B95:D95"/>
    <mergeCell ref="B96:D96"/>
    <mergeCell ref="B103:C103"/>
    <mergeCell ref="B104:D104"/>
    <mergeCell ref="B105:D105"/>
    <mergeCell ref="B106:D106"/>
    <mergeCell ref="B133:D133"/>
    <mergeCell ref="B134:D134"/>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3" manualBreakCount="3">
    <brk id="37" max="16383" man="1"/>
    <brk id="74" max="16383" man="1"/>
    <brk id="10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K156"/>
  <sheetViews>
    <sheetView showGridLines="0" topLeftCell="A10" zoomScaleNormal="100" zoomScaleSheetLayoutView="100" workbookViewId="0">
      <selection activeCell="H18" sqref="H18"/>
    </sheetView>
  </sheetViews>
  <sheetFormatPr defaultRowHeight="18" customHeight="1"/>
  <cols>
    <col min="1" max="1" width="8.28515625" style="146" customWidth="1"/>
    <col min="2" max="2" width="55.42578125" style="147" bestFit="1" customWidth="1"/>
    <col min="3" max="3" width="9.5703125" style="147" customWidth="1"/>
    <col min="4" max="4" width="9.140625" style="147"/>
    <col min="5" max="5" width="12.42578125" style="147" customWidth="1"/>
    <col min="6" max="6" width="18.5703125" style="147" customWidth="1"/>
    <col min="7" max="7" width="23.5703125" style="147" customWidth="1"/>
    <col min="8" max="8" width="17.140625" style="147" customWidth="1"/>
    <col min="9" max="9" width="21.140625" style="147" customWidth="1"/>
    <col min="10" max="10" width="19.85546875" style="147" customWidth="1"/>
    <col min="11" max="11" width="17.5703125" style="147" customWidth="1"/>
    <col min="12" max="16384" width="9.140625" style="147"/>
  </cols>
  <sheetData>
    <row r="1" spans="1:11" ht="18" customHeight="1">
      <c r="C1" s="148"/>
      <c r="D1" s="149"/>
      <c r="E1" s="148"/>
      <c r="F1" s="148"/>
      <c r="G1" s="148"/>
      <c r="H1" s="148"/>
      <c r="I1" s="148"/>
      <c r="J1" s="148"/>
      <c r="K1" s="148"/>
    </row>
    <row r="2" spans="1:11" ht="18" customHeight="1">
      <c r="D2" s="910" t="s">
        <v>713</v>
      </c>
      <c r="E2" s="911"/>
      <c r="F2" s="911"/>
      <c r="G2" s="911"/>
      <c r="H2" s="911"/>
    </row>
    <row r="3" spans="1:11" ht="18" customHeight="1">
      <c r="B3" s="150" t="s">
        <v>0</v>
      </c>
    </row>
    <row r="5" spans="1:11" ht="18" customHeight="1">
      <c r="B5" s="151" t="s">
        <v>40</v>
      </c>
      <c r="C5" s="912" t="s">
        <v>762</v>
      </c>
      <c r="D5" s="918"/>
      <c r="E5" s="918"/>
      <c r="F5" s="918"/>
      <c r="G5" s="919"/>
    </row>
    <row r="6" spans="1:11" ht="18" customHeight="1">
      <c r="B6" s="151" t="s">
        <v>3</v>
      </c>
      <c r="C6" s="929" t="s">
        <v>408</v>
      </c>
      <c r="D6" s="921"/>
      <c r="E6" s="921"/>
      <c r="F6" s="921"/>
      <c r="G6" s="922"/>
    </row>
    <row r="7" spans="1:11" ht="18" customHeight="1">
      <c r="B7" s="151" t="s">
        <v>4</v>
      </c>
      <c r="C7" s="923" t="s">
        <v>763</v>
      </c>
      <c r="D7" s="924"/>
      <c r="E7" s="924"/>
      <c r="F7" s="924"/>
      <c r="G7" s="925"/>
    </row>
    <row r="9" spans="1:11" ht="18" customHeight="1">
      <c r="B9" s="151" t="s">
        <v>1</v>
      </c>
      <c r="C9" s="912" t="s">
        <v>409</v>
      </c>
      <c r="D9" s="918"/>
      <c r="E9" s="918"/>
      <c r="F9" s="918"/>
      <c r="G9" s="919"/>
    </row>
    <row r="10" spans="1:11" ht="18" customHeight="1">
      <c r="B10" s="151" t="s">
        <v>2</v>
      </c>
      <c r="C10" s="926" t="s">
        <v>410</v>
      </c>
      <c r="D10" s="927"/>
      <c r="E10" s="927"/>
      <c r="F10" s="927"/>
      <c r="G10" s="928"/>
    </row>
    <row r="11" spans="1:11" ht="18" customHeight="1">
      <c r="B11" s="151" t="s">
        <v>32</v>
      </c>
      <c r="C11" s="912" t="s">
        <v>411</v>
      </c>
      <c r="D11" s="913"/>
      <c r="E11" s="913"/>
      <c r="F11" s="913"/>
      <c r="G11" s="913"/>
    </row>
    <row r="12" spans="1:11" ht="18" customHeight="1">
      <c r="B12" s="151"/>
      <c r="C12" s="151"/>
      <c r="D12" s="151"/>
      <c r="E12" s="151"/>
      <c r="F12" s="151"/>
      <c r="G12" s="151"/>
    </row>
    <row r="13" spans="1:11" ht="24.6" customHeight="1">
      <c r="B13" s="914"/>
      <c r="C13" s="915"/>
      <c r="D13" s="915"/>
      <c r="E13" s="915"/>
      <c r="F13" s="915"/>
      <c r="G13" s="915"/>
      <c r="H13" s="916"/>
      <c r="I13" s="148"/>
    </row>
    <row r="14" spans="1:11" ht="18" customHeight="1">
      <c r="B14" s="152"/>
    </row>
    <row r="15" spans="1:11" ht="18" customHeight="1">
      <c r="B15" s="152"/>
    </row>
    <row r="16" spans="1:11" ht="45" customHeight="1">
      <c r="A16" s="149" t="s">
        <v>181</v>
      </c>
      <c r="B16" s="148"/>
      <c r="C16" s="148"/>
      <c r="D16" s="148"/>
      <c r="E16" s="148"/>
      <c r="F16" s="153" t="s">
        <v>9</v>
      </c>
      <c r="G16" s="153" t="s">
        <v>37</v>
      </c>
      <c r="H16" s="153" t="s">
        <v>29</v>
      </c>
      <c r="I16" s="153" t="s">
        <v>30</v>
      </c>
      <c r="J16" s="153" t="s">
        <v>33</v>
      </c>
      <c r="K16" s="153" t="s">
        <v>34</v>
      </c>
    </row>
    <row r="17" spans="1:11" ht="18" customHeight="1">
      <c r="A17" s="154" t="s">
        <v>184</v>
      </c>
      <c r="B17" s="150" t="s">
        <v>182</v>
      </c>
    </row>
    <row r="18" spans="1:11" ht="18" customHeight="1">
      <c r="A18" s="151" t="s">
        <v>185</v>
      </c>
      <c r="B18" s="155" t="s">
        <v>183</v>
      </c>
      <c r="F18" s="156" t="s">
        <v>73</v>
      </c>
      <c r="G18" s="156" t="s">
        <v>73</v>
      </c>
      <c r="H18" s="157">
        <v>8470371</v>
      </c>
      <c r="I18" s="158">
        <v>0</v>
      </c>
      <c r="J18" s="157">
        <v>7243227</v>
      </c>
      <c r="K18" s="159">
        <f>(H18+I18)-J18</f>
        <v>1227144</v>
      </c>
    </row>
    <row r="19" spans="1:11" ht="45" customHeight="1">
      <c r="A19" s="149" t="s">
        <v>8</v>
      </c>
      <c r="B19" s="148"/>
      <c r="C19" s="148"/>
      <c r="D19" s="148"/>
      <c r="E19" s="148"/>
      <c r="F19" s="153" t="s">
        <v>9</v>
      </c>
      <c r="G19" s="153" t="s">
        <v>37</v>
      </c>
      <c r="H19" s="153" t="s">
        <v>29</v>
      </c>
      <c r="I19" s="153" t="s">
        <v>30</v>
      </c>
      <c r="J19" s="153" t="s">
        <v>33</v>
      </c>
      <c r="K19" s="153" t="s">
        <v>34</v>
      </c>
    </row>
    <row r="20" spans="1:11" ht="18" customHeight="1">
      <c r="A20" s="154" t="s">
        <v>74</v>
      </c>
      <c r="B20" s="150" t="s">
        <v>41</v>
      </c>
    </row>
    <row r="21" spans="1:11" ht="18" customHeight="1">
      <c r="A21" s="151" t="s">
        <v>75</v>
      </c>
      <c r="B21" s="155" t="s">
        <v>42</v>
      </c>
      <c r="F21" s="156">
        <v>12156</v>
      </c>
      <c r="G21" s="156">
        <v>28300</v>
      </c>
      <c r="H21" s="157">
        <v>535497</v>
      </c>
      <c r="I21" s="158">
        <f t="shared" ref="I21:I34" si="0">H21*F$114</f>
        <v>306411.38340000005</v>
      </c>
      <c r="J21" s="157">
        <v>63455</v>
      </c>
      <c r="K21" s="159">
        <f t="shared" ref="K21:K34" si="1">(H21+I21)-J21</f>
        <v>778453.38340000005</v>
      </c>
    </row>
    <row r="22" spans="1:11" ht="18" customHeight="1">
      <c r="A22" s="151" t="s">
        <v>76</v>
      </c>
      <c r="B22" s="147" t="s">
        <v>6</v>
      </c>
      <c r="F22" s="156"/>
      <c r="G22" s="156"/>
      <c r="H22" s="157"/>
      <c r="I22" s="158">
        <f t="shared" si="0"/>
        <v>0</v>
      </c>
      <c r="J22" s="157"/>
      <c r="K22" s="159">
        <f t="shared" si="1"/>
        <v>0</v>
      </c>
    </row>
    <row r="23" spans="1:11" ht="18" customHeight="1">
      <c r="A23" s="151" t="s">
        <v>77</v>
      </c>
      <c r="B23" s="147" t="s">
        <v>43</v>
      </c>
      <c r="F23" s="156"/>
      <c r="G23" s="156"/>
      <c r="H23" s="157"/>
      <c r="I23" s="158">
        <f t="shared" si="0"/>
        <v>0</v>
      </c>
      <c r="J23" s="157"/>
      <c r="K23" s="159">
        <f t="shared" si="1"/>
        <v>0</v>
      </c>
    </row>
    <row r="24" spans="1:11" ht="18" customHeight="1">
      <c r="A24" s="151" t="s">
        <v>78</v>
      </c>
      <c r="B24" s="147" t="s">
        <v>44</v>
      </c>
      <c r="F24" s="156">
        <v>17968</v>
      </c>
      <c r="G24" s="156">
        <v>4266</v>
      </c>
      <c r="H24" s="157">
        <v>571746</v>
      </c>
      <c r="I24" s="158">
        <f t="shared" si="0"/>
        <v>327153.0612</v>
      </c>
      <c r="J24" s="157">
        <v>282182</v>
      </c>
      <c r="K24" s="159">
        <f t="shared" si="1"/>
        <v>616717.0612</v>
      </c>
    </row>
    <row r="25" spans="1:11" ht="18" customHeight="1">
      <c r="A25" s="151" t="s">
        <v>79</v>
      </c>
      <c r="B25" s="147" t="s">
        <v>5</v>
      </c>
      <c r="F25" s="156"/>
      <c r="G25" s="156"/>
      <c r="H25" s="157"/>
      <c r="I25" s="158">
        <f t="shared" si="0"/>
        <v>0</v>
      </c>
      <c r="J25" s="157"/>
      <c r="K25" s="159">
        <f t="shared" si="1"/>
        <v>0</v>
      </c>
    </row>
    <row r="26" spans="1:11" ht="18" customHeight="1">
      <c r="A26" s="151" t="s">
        <v>80</v>
      </c>
      <c r="B26" s="147" t="s">
        <v>45</v>
      </c>
      <c r="F26" s="156"/>
      <c r="G26" s="156"/>
      <c r="H26" s="157"/>
      <c r="I26" s="158">
        <f t="shared" si="0"/>
        <v>0</v>
      </c>
      <c r="J26" s="157"/>
      <c r="K26" s="159">
        <f t="shared" si="1"/>
        <v>0</v>
      </c>
    </row>
    <row r="27" spans="1:11" ht="18" customHeight="1">
      <c r="A27" s="151" t="s">
        <v>81</v>
      </c>
      <c r="B27" s="147" t="s">
        <v>46</v>
      </c>
      <c r="F27" s="156"/>
      <c r="G27" s="156"/>
      <c r="H27" s="157"/>
      <c r="I27" s="158">
        <f t="shared" si="0"/>
        <v>0</v>
      </c>
      <c r="J27" s="157"/>
      <c r="K27" s="159">
        <f t="shared" si="1"/>
        <v>0</v>
      </c>
    </row>
    <row r="28" spans="1:11" ht="18" customHeight="1">
      <c r="A28" s="151" t="s">
        <v>82</v>
      </c>
      <c r="B28" s="147" t="s">
        <v>47</v>
      </c>
      <c r="F28" s="156"/>
      <c r="G28" s="156"/>
      <c r="H28" s="157"/>
      <c r="I28" s="158">
        <f t="shared" si="0"/>
        <v>0</v>
      </c>
      <c r="J28" s="157"/>
      <c r="K28" s="159">
        <f t="shared" si="1"/>
        <v>0</v>
      </c>
    </row>
    <row r="29" spans="1:11" ht="18" customHeight="1">
      <c r="A29" s="151" t="s">
        <v>83</v>
      </c>
      <c r="B29" s="147" t="s">
        <v>48</v>
      </c>
      <c r="F29" s="156">
        <v>11152</v>
      </c>
      <c r="G29" s="156">
        <v>2747</v>
      </c>
      <c r="H29" s="157">
        <v>721028</v>
      </c>
      <c r="I29" s="158">
        <f t="shared" si="0"/>
        <v>412572.22160000005</v>
      </c>
      <c r="J29" s="157">
        <v>487827</v>
      </c>
      <c r="K29" s="159">
        <f t="shared" si="1"/>
        <v>645773.22160000005</v>
      </c>
    </row>
    <row r="30" spans="1:11" ht="18" customHeight="1">
      <c r="A30" s="151" t="s">
        <v>84</v>
      </c>
      <c r="B30" s="898"/>
      <c r="C30" s="899"/>
      <c r="D30" s="900"/>
      <c r="F30" s="156"/>
      <c r="G30" s="156"/>
      <c r="H30" s="157"/>
      <c r="I30" s="158">
        <f t="shared" si="0"/>
        <v>0</v>
      </c>
      <c r="J30" s="157"/>
      <c r="K30" s="159">
        <f t="shared" si="1"/>
        <v>0</v>
      </c>
    </row>
    <row r="31" spans="1:11" ht="18" customHeight="1">
      <c r="A31" s="151" t="s">
        <v>133</v>
      </c>
      <c r="B31" s="898"/>
      <c r="C31" s="899"/>
      <c r="D31" s="900"/>
      <c r="F31" s="156"/>
      <c r="G31" s="156"/>
      <c r="H31" s="157"/>
      <c r="I31" s="158">
        <f t="shared" si="0"/>
        <v>0</v>
      </c>
      <c r="J31" s="157"/>
      <c r="K31" s="159">
        <f t="shared" si="1"/>
        <v>0</v>
      </c>
    </row>
    <row r="32" spans="1:11" ht="18" customHeight="1">
      <c r="A32" s="151" t="s">
        <v>134</v>
      </c>
      <c r="B32" s="393"/>
      <c r="C32" s="394"/>
      <c r="D32" s="395"/>
      <c r="F32" s="156"/>
      <c r="G32" s="160" t="s">
        <v>85</v>
      </c>
      <c r="H32" s="157"/>
      <c r="I32" s="158">
        <f t="shared" si="0"/>
        <v>0</v>
      </c>
      <c r="J32" s="157"/>
      <c r="K32" s="159">
        <f t="shared" si="1"/>
        <v>0</v>
      </c>
    </row>
    <row r="33" spans="1:11" ht="18" customHeight="1">
      <c r="A33" s="151" t="s">
        <v>135</v>
      </c>
      <c r="B33" s="393"/>
      <c r="C33" s="394"/>
      <c r="D33" s="395"/>
      <c r="F33" s="156"/>
      <c r="G33" s="160" t="s">
        <v>85</v>
      </c>
      <c r="H33" s="157"/>
      <c r="I33" s="158">
        <f t="shared" si="0"/>
        <v>0</v>
      </c>
      <c r="J33" s="157"/>
      <c r="K33" s="159">
        <f t="shared" si="1"/>
        <v>0</v>
      </c>
    </row>
    <row r="34" spans="1:11" ht="18" customHeight="1">
      <c r="A34" s="151" t="s">
        <v>136</v>
      </c>
      <c r="B34" s="898"/>
      <c r="C34" s="899"/>
      <c r="D34" s="900"/>
      <c r="F34" s="156"/>
      <c r="G34" s="160" t="s">
        <v>85</v>
      </c>
      <c r="H34" s="157"/>
      <c r="I34" s="158">
        <f t="shared" si="0"/>
        <v>0</v>
      </c>
      <c r="J34" s="157"/>
      <c r="K34" s="159">
        <f t="shared" si="1"/>
        <v>0</v>
      </c>
    </row>
    <row r="35" spans="1:11" ht="18" customHeight="1">
      <c r="K35" s="161"/>
    </row>
    <row r="36" spans="1:11" ht="18" customHeight="1">
      <c r="A36" s="154" t="s">
        <v>137</v>
      </c>
      <c r="B36" s="150" t="s">
        <v>138</v>
      </c>
      <c r="E36" s="150" t="s">
        <v>7</v>
      </c>
      <c r="F36" s="162">
        <f t="shared" ref="F36:K36" si="2">SUM(F21:F34)</f>
        <v>41276</v>
      </c>
      <c r="G36" s="162">
        <f t="shared" si="2"/>
        <v>35313</v>
      </c>
      <c r="H36" s="162">
        <f t="shared" si="2"/>
        <v>1828271</v>
      </c>
      <c r="I36" s="159">
        <f t="shared" si="2"/>
        <v>1046136.6662000001</v>
      </c>
      <c r="J36" s="159">
        <f t="shared" si="2"/>
        <v>833464</v>
      </c>
      <c r="K36" s="159">
        <f t="shared" si="2"/>
        <v>2040943.6662000001</v>
      </c>
    </row>
    <row r="37" spans="1:11" ht="18" customHeight="1" thickBot="1">
      <c r="B37" s="150"/>
      <c r="F37" s="163"/>
      <c r="G37" s="163"/>
      <c r="H37" s="164"/>
      <c r="I37" s="164"/>
      <c r="J37" s="164"/>
      <c r="K37" s="165"/>
    </row>
    <row r="38" spans="1:11" ht="42.75" customHeight="1">
      <c r="F38" s="153" t="s">
        <v>9</v>
      </c>
      <c r="G38" s="153" t="s">
        <v>37</v>
      </c>
      <c r="H38" s="153" t="s">
        <v>29</v>
      </c>
      <c r="I38" s="153" t="s">
        <v>30</v>
      </c>
      <c r="J38" s="153" t="s">
        <v>33</v>
      </c>
      <c r="K38" s="153" t="s">
        <v>34</v>
      </c>
    </row>
    <row r="39" spans="1:11" ht="18.75" customHeight="1">
      <c r="A39" s="154" t="s">
        <v>86</v>
      </c>
      <c r="B39" s="150" t="s">
        <v>49</v>
      </c>
    </row>
    <row r="40" spans="1:11" ht="18" customHeight="1">
      <c r="A40" s="151" t="s">
        <v>87</v>
      </c>
      <c r="B40" s="147" t="s">
        <v>31</v>
      </c>
      <c r="F40" s="156"/>
      <c r="G40" s="156"/>
      <c r="H40" s="157"/>
      <c r="I40" s="158">
        <v>0</v>
      </c>
      <c r="J40" s="157"/>
      <c r="K40" s="159">
        <f t="shared" ref="K40:K47" si="3">(H40+I40)-J40</f>
        <v>0</v>
      </c>
    </row>
    <row r="41" spans="1:11" ht="18" customHeight="1">
      <c r="A41" s="151" t="s">
        <v>88</v>
      </c>
      <c r="B41" s="904" t="s">
        <v>50</v>
      </c>
      <c r="C41" s="907"/>
      <c r="F41" s="156"/>
      <c r="G41" s="156"/>
      <c r="H41" s="157">
        <v>52500</v>
      </c>
      <c r="I41" s="158">
        <v>0</v>
      </c>
      <c r="J41" s="157"/>
      <c r="K41" s="159">
        <f t="shared" si="3"/>
        <v>52500</v>
      </c>
    </row>
    <row r="42" spans="1:11" ht="18" customHeight="1">
      <c r="A42" s="151" t="s">
        <v>89</v>
      </c>
      <c r="B42" s="155" t="s">
        <v>11</v>
      </c>
      <c r="F42" s="156"/>
      <c r="G42" s="156"/>
      <c r="H42" s="157"/>
      <c r="I42" s="158">
        <v>0</v>
      </c>
      <c r="J42" s="157"/>
      <c r="K42" s="159">
        <f t="shared" si="3"/>
        <v>0</v>
      </c>
    </row>
    <row r="43" spans="1:11" ht="18" customHeight="1">
      <c r="A43" s="151" t="s">
        <v>90</v>
      </c>
      <c r="B43" s="166" t="s">
        <v>10</v>
      </c>
      <c r="C43" s="167"/>
      <c r="D43" s="167"/>
      <c r="F43" s="156"/>
      <c r="G43" s="156"/>
      <c r="H43" s="157"/>
      <c r="I43" s="158">
        <v>0</v>
      </c>
      <c r="J43" s="157"/>
      <c r="K43" s="159">
        <f t="shared" si="3"/>
        <v>0</v>
      </c>
    </row>
    <row r="44" spans="1:11" ht="18" customHeight="1">
      <c r="A44" s="151" t="s">
        <v>91</v>
      </c>
      <c r="B44" s="898"/>
      <c r="C44" s="899"/>
      <c r="D44" s="900"/>
      <c r="F44" s="168"/>
      <c r="G44" s="168"/>
      <c r="H44" s="168"/>
      <c r="I44" s="169">
        <v>0</v>
      </c>
      <c r="J44" s="168"/>
      <c r="K44" s="170">
        <f t="shared" si="3"/>
        <v>0</v>
      </c>
    </row>
    <row r="45" spans="1:11" ht="18" customHeight="1">
      <c r="A45" s="151" t="s">
        <v>139</v>
      </c>
      <c r="B45" s="898"/>
      <c r="C45" s="899"/>
      <c r="D45" s="900"/>
      <c r="F45" s="156"/>
      <c r="G45" s="156"/>
      <c r="H45" s="157"/>
      <c r="I45" s="158">
        <v>0</v>
      </c>
      <c r="J45" s="157"/>
      <c r="K45" s="159">
        <f t="shared" si="3"/>
        <v>0</v>
      </c>
    </row>
    <row r="46" spans="1:11" ht="18" customHeight="1">
      <c r="A46" s="151" t="s">
        <v>140</v>
      </c>
      <c r="B46" s="898"/>
      <c r="C46" s="899"/>
      <c r="D46" s="900"/>
      <c r="F46" s="156"/>
      <c r="G46" s="156"/>
      <c r="H46" s="157"/>
      <c r="I46" s="158">
        <v>0</v>
      </c>
      <c r="J46" s="157"/>
      <c r="K46" s="159">
        <f t="shared" si="3"/>
        <v>0</v>
      </c>
    </row>
    <row r="47" spans="1:11" ht="18" customHeight="1">
      <c r="A47" s="151" t="s">
        <v>141</v>
      </c>
      <c r="B47" s="898"/>
      <c r="C47" s="899"/>
      <c r="D47" s="900"/>
      <c r="F47" s="156"/>
      <c r="G47" s="156"/>
      <c r="H47" s="157"/>
      <c r="I47" s="158">
        <v>0</v>
      </c>
      <c r="J47" s="157"/>
      <c r="K47" s="159">
        <f t="shared" si="3"/>
        <v>0</v>
      </c>
    </row>
    <row r="49" spans="1:11" ht="18" customHeight="1">
      <c r="A49" s="154" t="s">
        <v>142</v>
      </c>
      <c r="B49" s="150" t="s">
        <v>143</v>
      </c>
      <c r="E49" s="150" t="s">
        <v>7</v>
      </c>
      <c r="F49" s="171">
        <f t="shared" ref="F49:K49" si="4">SUM(F40:F47)</f>
        <v>0</v>
      </c>
      <c r="G49" s="171">
        <f t="shared" si="4"/>
        <v>0</v>
      </c>
      <c r="H49" s="159">
        <f t="shared" si="4"/>
        <v>52500</v>
      </c>
      <c r="I49" s="159">
        <f t="shared" si="4"/>
        <v>0</v>
      </c>
      <c r="J49" s="159">
        <f t="shared" si="4"/>
        <v>0</v>
      </c>
      <c r="K49" s="159">
        <f t="shared" si="4"/>
        <v>52500</v>
      </c>
    </row>
    <row r="50" spans="1:11" ht="18" customHeight="1" thickBot="1">
      <c r="G50" s="172"/>
      <c r="H50" s="172"/>
      <c r="I50" s="172"/>
      <c r="J50" s="172"/>
      <c r="K50" s="172"/>
    </row>
    <row r="51" spans="1:11" ht="42.75" customHeight="1">
      <c r="F51" s="153" t="s">
        <v>9</v>
      </c>
      <c r="G51" s="153" t="s">
        <v>37</v>
      </c>
      <c r="H51" s="153" t="s">
        <v>29</v>
      </c>
      <c r="I51" s="153" t="s">
        <v>30</v>
      </c>
      <c r="J51" s="153" t="s">
        <v>33</v>
      </c>
      <c r="K51" s="153" t="s">
        <v>34</v>
      </c>
    </row>
    <row r="52" spans="1:11" ht="18" customHeight="1">
      <c r="A52" s="154" t="s">
        <v>92</v>
      </c>
      <c r="B52" s="905" t="s">
        <v>38</v>
      </c>
      <c r="C52" s="906"/>
    </row>
    <row r="53" spans="1:11" ht="18" customHeight="1">
      <c r="A53" s="151" t="s">
        <v>51</v>
      </c>
      <c r="B53" s="908" t="s">
        <v>412</v>
      </c>
      <c r="C53" s="909"/>
      <c r="D53" s="903"/>
      <c r="F53" s="156">
        <v>52000</v>
      </c>
      <c r="G53" s="156">
        <v>10155</v>
      </c>
      <c r="H53" s="157">
        <v>2914961</v>
      </c>
      <c r="I53" s="158">
        <f t="shared" ref="I53:I60" si="5">H53*F$114</f>
        <v>1667940.6842</v>
      </c>
      <c r="J53" s="157"/>
      <c r="K53" s="159">
        <f t="shared" ref="K53:K62" si="6">(H53+I53)-J53</f>
        <v>4582901.6842</v>
      </c>
    </row>
    <row r="54" spans="1:11" ht="18" customHeight="1">
      <c r="A54" s="151" t="s">
        <v>93</v>
      </c>
      <c r="B54" s="396" t="s">
        <v>413</v>
      </c>
      <c r="C54" s="397"/>
      <c r="D54" s="392"/>
      <c r="F54" s="156">
        <v>8760</v>
      </c>
      <c r="G54" s="156"/>
      <c r="H54" s="157">
        <v>730000</v>
      </c>
      <c r="I54" s="158">
        <f t="shared" si="5"/>
        <v>417706.00000000006</v>
      </c>
      <c r="J54" s="157"/>
      <c r="K54" s="159">
        <f t="shared" si="6"/>
        <v>1147706</v>
      </c>
    </row>
    <row r="55" spans="1:11" ht="18" customHeight="1">
      <c r="A55" s="151" t="s">
        <v>94</v>
      </c>
      <c r="B55" s="901" t="s">
        <v>764</v>
      </c>
      <c r="C55" s="902"/>
      <c r="D55" s="903"/>
      <c r="F55" s="156">
        <v>157680</v>
      </c>
      <c r="G55" s="156"/>
      <c r="H55" s="157">
        <v>2018554</v>
      </c>
      <c r="I55" s="158">
        <f t="shared" si="5"/>
        <v>1155016.5988</v>
      </c>
      <c r="J55" s="157"/>
      <c r="K55" s="159">
        <f t="shared" si="6"/>
        <v>3173570.5987999998</v>
      </c>
    </row>
    <row r="56" spans="1:11" ht="18" customHeight="1">
      <c r="A56" s="151" t="s">
        <v>95</v>
      </c>
      <c r="B56" s="901" t="s">
        <v>414</v>
      </c>
      <c r="C56" s="902"/>
      <c r="D56" s="903"/>
      <c r="F56" s="156">
        <v>17520</v>
      </c>
      <c r="G56" s="156"/>
      <c r="H56" s="157">
        <v>950000</v>
      </c>
      <c r="I56" s="158">
        <f t="shared" si="5"/>
        <v>543590</v>
      </c>
      <c r="J56" s="157"/>
      <c r="K56" s="159">
        <f t="shared" si="6"/>
        <v>1493590</v>
      </c>
    </row>
    <row r="57" spans="1:11" ht="18" customHeight="1">
      <c r="A57" s="151" t="s">
        <v>96</v>
      </c>
      <c r="B57" s="901" t="s">
        <v>765</v>
      </c>
      <c r="C57" s="902"/>
      <c r="D57" s="903"/>
      <c r="F57" s="156">
        <v>8760</v>
      </c>
      <c r="G57" s="156"/>
      <c r="H57" s="157">
        <v>886996</v>
      </c>
      <c r="I57" s="158">
        <f t="shared" si="5"/>
        <v>507539.11120000004</v>
      </c>
      <c r="J57" s="157"/>
      <c r="K57" s="159">
        <f t="shared" si="6"/>
        <v>1394535.1112000002</v>
      </c>
    </row>
    <row r="58" spans="1:11" ht="18" customHeight="1">
      <c r="A58" s="151" t="s">
        <v>97</v>
      </c>
      <c r="B58" s="396" t="s">
        <v>404</v>
      </c>
      <c r="C58" s="397"/>
      <c r="D58" s="392"/>
      <c r="F58" s="156"/>
      <c r="G58" s="156"/>
      <c r="H58" s="157">
        <v>13258</v>
      </c>
      <c r="I58" s="158">
        <v>0</v>
      </c>
      <c r="J58" s="157"/>
      <c r="K58" s="159">
        <f t="shared" si="6"/>
        <v>13258</v>
      </c>
    </row>
    <row r="59" spans="1:11" ht="18" customHeight="1">
      <c r="A59" s="151" t="s">
        <v>98</v>
      </c>
      <c r="B59" s="901" t="s">
        <v>415</v>
      </c>
      <c r="C59" s="902"/>
      <c r="D59" s="903"/>
      <c r="F59" s="156">
        <v>10448</v>
      </c>
      <c r="G59" s="156"/>
      <c r="H59" s="157">
        <v>592800</v>
      </c>
      <c r="I59" s="158">
        <f t="shared" si="5"/>
        <v>339200.16000000003</v>
      </c>
      <c r="J59" s="157"/>
      <c r="K59" s="159">
        <f t="shared" si="6"/>
        <v>932000.16</v>
      </c>
    </row>
    <row r="60" spans="1:11" ht="18" customHeight="1">
      <c r="A60" s="151" t="s">
        <v>99</v>
      </c>
      <c r="B60" s="396" t="s">
        <v>417</v>
      </c>
      <c r="C60" s="397"/>
      <c r="D60" s="392"/>
      <c r="F60" s="156">
        <v>5050</v>
      </c>
      <c r="G60" s="156">
        <v>2690</v>
      </c>
      <c r="H60" s="157">
        <v>156343</v>
      </c>
      <c r="I60" s="158">
        <f t="shared" si="5"/>
        <v>89459.464600000007</v>
      </c>
      <c r="J60" s="157">
        <v>142974</v>
      </c>
      <c r="K60" s="159">
        <f t="shared" si="6"/>
        <v>102828.46460000001</v>
      </c>
    </row>
    <row r="61" spans="1:11" ht="18" customHeight="1">
      <c r="A61" s="151" t="s">
        <v>100</v>
      </c>
      <c r="B61" s="396" t="s">
        <v>416</v>
      </c>
      <c r="C61" s="397"/>
      <c r="D61" s="392"/>
      <c r="F61" s="156"/>
      <c r="G61" s="156"/>
      <c r="H61" s="157">
        <v>314125</v>
      </c>
      <c r="I61" s="158">
        <v>0</v>
      </c>
      <c r="J61" s="157"/>
      <c r="K61" s="159">
        <f t="shared" si="6"/>
        <v>314125</v>
      </c>
    </row>
    <row r="62" spans="1:11" ht="18" customHeight="1">
      <c r="A62" s="151" t="s">
        <v>101</v>
      </c>
      <c r="B62" s="901"/>
      <c r="C62" s="902"/>
      <c r="D62" s="903"/>
      <c r="F62" s="156"/>
      <c r="G62" s="156"/>
      <c r="H62" s="157"/>
      <c r="I62" s="158">
        <v>0</v>
      </c>
      <c r="J62" s="157"/>
      <c r="K62" s="159">
        <f t="shared" si="6"/>
        <v>0</v>
      </c>
    </row>
    <row r="63" spans="1:11" ht="18" customHeight="1">
      <c r="A63" s="151"/>
      <c r="I63" s="173"/>
    </row>
    <row r="64" spans="1:11" ht="18" customHeight="1">
      <c r="A64" s="151" t="s">
        <v>144</v>
      </c>
      <c r="B64" s="150" t="s">
        <v>145</v>
      </c>
      <c r="E64" s="150" t="s">
        <v>7</v>
      </c>
      <c r="F64" s="162">
        <f t="shared" ref="F64:K64" si="7">SUM(F53:F62)</f>
        <v>260218</v>
      </c>
      <c r="G64" s="162">
        <f t="shared" si="7"/>
        <v>12845</v>
      </c>
      <c r="H64" s="159">
        <f t="shared" si="7"/>
        <v>8577037</v>
      </c>
      <c r="I64" s="159">
        <f t="shared" si="7"/>
        <v>4720452.0187999997</v>
      </c>
      <c r="J64" s="159">
        <f t="shared" si="7"/>
        <v>142974</v>
      </c>
      <c r="K64" s="159">
        <f t="shared" si="7"/>
        <v>13154515.018800002</v>
      </c>
    </row>
    <row r="65" spans="1:11" ht="18" customHeight="1">
      <c r="F65" s="174"/>
      <c r="G65" s="174"/>
      <c r="H65" s="174"/>
      <c r="I65" s="174"/>
      <c r="J65" s="174"/>
      <c r="K65" s="174"/>
    </row>
    <row r="66" spans="1:11" ht="42.75" customHeight="1">
      <c r="F66" s="175" t="s">
        <v>9</v>
      </c>
      <c r="G66" s="175" t="s">
        <v>37</v>
      </c>
      <c r="H66" s="175" t="s">
        <v>29</v>
      </c>
      <c r="I66" s="175" t="s">
        <v>30</v>
      </c>
      <c r="J66" s="175" t="s">
        <v>33</v>
      </c>
      <c r="K66" s="175" t="s">
        <v>34</v>
      </c>
    </row>
    <row r="67" spans="1:11" ht="18" customHeight="1">
      <c r="A67" s="154" t="s">
        <v>102</v>
      </c>
      <c r="B67" s="150" t="s">
        <v>12</v>
      </c>
      <c r="F67" s="176"/>
      <c r="G67" s="176"/>
      <c r="H67" s="176"/>
      <c r="I67" s="177"/>
      <c r="J67" s="176"/>
      <c r="K67" s="178"/>
    </row>
    <row r="68" spans="1:11" ht="18" customHeight="1">
      <c r="A68" s="151" t="s">
        <v>103</v>
      </c>
      <c r="B68" s="147" t="s">
        <v>52</v>
      </c>
      <c r="F68" s="179"/>
      <c r="G68" s="179"/>
      <c r="H68" s="179"/>
      <c r="I68" s="158">
        <v>0</v>
      </c>
      <c r="J68" s="179"/>
      <c r="K68" s="159">
        <f>(H68+I68)-J68</f>
        <v>0</v>
      </c>
    </row>
    <row r="69" spans="1:11" ht="18" customHeight="1">
      <c r="A69" s="151" t="s">
        <v>104</v>
      </c>
      <c r="B69" s="155" t="s">
        <v>53</v>
      </c>
      <c r="F69" s="179"/>
      <c r="G69" s="179"/>
      <c r="H69" s="179"/>
      <c r="I69" s="158">
        <v>0</v>
      </c>
      <c r="J69" s="179"/>
      <c r="K69" s="159">
        <f>(H69+I69)-J69</f>
        <v>0</v>
      </c>
    </row>
    <row r="70" spans="1:11" ht="18" customHeight="1">
      <c r="A70" s="151" t="s">
        <v>178</v>
      </c>
      <c r="B70" s="396"/>
      <c r="C70" s="397"/>
      <c r="D70" s="392"/>
      <c r="E70" s="150"/>
      <c r="F70" s="180"/>
      <c r="G70" s="180"/>
      <c r="H70" s="181"/>
      <c r="I70" s="158">
        <v>0</v>
      </c>
      <c r="J70" s="181"/>
      <c r="K70" s="159">
        <f>(H70+I70)-J70</f>
        <v>0</v>
      </c>
    </row>
    <row r="71" spans="1:11" ht="18" customHeight="1">
      <c r="A71" s="151" t="s">
        <v>179</v>
      </c>
      <c r="B71" s="396"/>
      <c r="C71" s="397"/>
      <c r="D71" s="392"/>
      <c r="E71" s="150"/>
      <c r="F71" s="180"/>
      <c r="G71" s="180"/>
      <c r="H71" s="181"/>
      <c r="I71" s="158">
        <v>0</v>
      </c>
      <c r="J71" s="181"/>
      <c r="K71" s="159">
        <f>(H71+I71)-J71</f>
        <v>0</v>
      </c>
    </row>
    <row r="72" spans="1:11" ht="18" customHeight="1">
      <c r="A72" s="151" t="s">
        <v>180</v>
      </c>
      <c r="B72" s="390"/>
      <c r="C72" s="391"/>
      <c r="D72" s="182"/>
      <c r="E72" s="150"/>
      <c r="F72" s="156"/>
      <c r="G72" s="156"/>
      <c r="H72" s="157"/>
      <c r="I72" s="158">
        <v>0</v>
      </c>
      <c r="J72" s="157"/>
      <c r="K72" s="159">
        <f>(H72+I72)-J72</f>
        <v>0</v>
      </c>
    </row>
    <row r="73" spans="1:11" ht="18" customHeight="1">
      <c r="A73" s="151"/>
      <c r="B73" s="155"/>
      <c r="E73" s="150"/>
      <c r="F73" s="183"/>
      <c r="G73" s="183"/>
      <c r="H73" s="184"/>
      <c r="I73" s="177"/>
      <c r="J73" s="184"/>
      <c r="K73" s="178"/>
    </row>
    <row r="74" spans="1:11" ht="18" customHeight="1">
      <c r="A74" s="154" t="s">
        <v>146</v>
      </c>
      <c r="B74" s="150" t="s">
        <v>147</v>
      </c>
      <c r="E74" s="150" t="s">
        <v>7</v>
      </c>
      <c r="F74" s="185">
        <f t="shared" ref="F74:K74" si="8">SUM(F68:F72)</f>
        <v>0</v>
      </c>
      <c r="G74" s="185">
        <f t="shared" si="8"/>
        <v>0</v>
      </c>
      <c r="H74" s="185">
        <f t="shared" si="8"/>
        <v>0</v>
      </c>
      <c r="I74" s="186">
        <f t="shared" si="8"/>
        <v>0</v>
      </c>
      <c r="J74" s="185">
        <f t="shared" si="8"/>
        <v>0</v>
      </c>
      <c r="K74" s="187">
        <f t="shared" si="8"/>
        <v>0</v>
      </c>
    </row>
    <row r="75" spans="1:11" ht="42.75" customHeight="1">
      <c r="F75" s="153" t="s">
        <v>9</v>
      </c>
      <c r="G75" s="153" t="s">
        <v>37</v>
      </c>
      <c r="H75" s="153" t="s">
        <v>29</v>
      </c>
      <c r="I75" s="153" t="s">
        <v>30</v>
      </c>
      <c r="J75" s="153" t="s">
        <v>33</v>
      </c>
      <c r="K75" s="153" t="s">
        <v>34</v>
      </c>
    </row>
    <row r="76" spans="1:11" ht="18" customHeight="1">
      <c r="A76" s="154" t="s">
        <v>105</v>
      </c>
      <c r="B76" s="150" t="s">
        <v>106</v>
      </c>
    </row>
    <row r="77" spans="1:11" ht="18" customHeight="1">
      <c r="A77" s="151" t="s">
        <v>107</v>
      </c>
      <c r="B77" s="155" t="s">
        <v>54</v>
      </c>
      <c r="F77" s="156"/>
      <c r="G77" s="156"/>
      <c r="H77" s="157">
        <v>84369</v>
      </c>
      <c r="I77" s="158">
        <v>0</v>
      </c>
      <c r="J77" s="157"/>
      <c r="K77" s="159">
        <f>(H77+I77)-J77</f>
        <v>84369</v>
      </c>
    </row>
    <row r="78" spans="1:11" ht="18" customHeight="1">
      <c r="A78" s="151" t="s">
        <v>108</v>
      </c>
      <c r="B78" s="155" t="s">
        <v>55</v>
      </c>
      <c r="F78" s="156"/>
      <c r="G78" s="156"/>
      <c r="H78" s="157"/>
      <c r="I78" s="158">
        <v>0</v>
      </c>
      <c r="J78" s="157"/>
      <c r="K78" s="159">
        <f>(H78+I78)-J78</f>
        <v>0</v>
      </c>
    </row>
    <row r="79" spans="1:11" ht="18" customHeight="1">
      <c r="A79" s="151" t="s">
        <v>109</v>
      </c>
      <c r="B79" s="155" t="s">
        <v>13</v>
      </c>
      <c r="F79" s="156"/>
      <c r="G79" s="156"/>
      <c r="H79" s="157"/>
      <c r="I79" s="158">
        <v>0</v>
      </c>
      <c r="J79" s="157"/>
      <c r="K79" s="159">
        <f>(H79+I79)-J79</f>
        <v>0</v>
      </c>
    </row>
    <row r="80" spans="1:11" ht="18" customHeight="1">
      <c r="A80" s="151" t="s">
        <v>110</v>
      </c>
      <c r="B80" s="155" t="s">
        <v>56</v>
      </c>
      <c r="F80" s="156"/>
      <c r="G80" s="156"/>
      <c r="H80" s="157"/>
      <c r="I80" s="158">
        <v>0</v>
      </c>
      <c r="J80" s="157"/>
      <c r="K80" s="159">
        <f>(H80+I80)-J80</f>
        <v>0</v>
      </c>
    </row>
    <row r="81" spans="1:11" ht="18" customHeight="1">
      <c r="A81" s="151"/>
      <c r="K81" s="188"/>
    </row>
    <row r="82" spans="1:11" ht="18" customHeight="1">
      <c r="A82" s="151" t="s">
        <v>148</v>
      </c>
      <c r="B82" s="150" t="s">
        <v>149</v>
      </c>
      <c r="E82" s="150" t="s">
        <v>7</v>
      </c>
      <c r="F82" s="185">
        <f t="shared" ref="F82:K82" si="9">SUM(F77:F80)</f>
        <v>0</v>
      </c>
      <c r="G82" s="185">
        <f t="shared" si="9"/>
        <v>0</v>
      </c>
      <c r="H82" s="187">
        <f t="shared" si="9"/>
        <v>84369</v>
      </c>
      <c r="I82" s="187">
        <f t="shared" si="9"/>
        <v>0</v>
      </c>
      <c r="J82" s="187">
        <f t="shared" si="9"/>
        <v>0</v>
      </c>
      <c r="K82" s="187">
        <f t="shared" si="9"/>
        <v>84369</v>
      </c>
    </row>
    <row r="83" spans="1:11" ht="18" customHeight="1" thickBot="1">
      <c r="A83" s="151"/>
      <c r="F83" s="172"/>
      <c r="G83" s="172"/>
      <c r="H83" s="172"/>
      <c r="I83" s="172"/>
      <c r="J83" s="172"/>
      <c r="K83" s="172"/>
    </row>
    <row r="84" spans="1:11" ht="42.75" customHeight="1">
      <c r="F84" s="153" t="s">
        <v>9</v>
      </c>
      <c r="G84" s="153" t="s">
        <v>37</v>
      </c>
      <c r="H84" s="153" t="s">
        <v>29</v>
      </c>
      <c r="I84" s="153" t="s">
        <v>30</v>
      </c>
      <c r="J84" s="153" t="s">
        <v>33</v>
      </c>
      <c r="K84" s="153" t="s">
        <v>34</v>
      </c>
    </row>
    <row r="85" spans="1:11" ht="18" customHeight="1">
      <c r="A85" s="154" t="s">
        <v>111</v>
      </c>
      <c r="B85" s="150" t="s">
        <v>57</v>
      </c>
    </row>
    <row r="86" spans="1:11" ht="18" customHeight="1">
      <c r="A86" s="151" t="s">
        <v>112</v>
      </c>
      <c r="B86" s="155" t="s">
        <v>113</v>
      </c>
      <c r="F86" s="156"/>
      <c r="G86" s="156"/>
      <c r="H86" s="157"/>
      <c r="I86" s="158">
        <f t="shared" ref="I86:I96" si="10">H86*F$114</f>
        <v>0</v>
      </c>
      <c r="J86" s="157"/>
      <c r="K86" s="159">
        <f t="shared" ref="K86:K96" si="11">(H86+I86)-J86</f>
        <v>0</v>
      </c>
    </row>
    <row r="87" spans="1:11" ht="18" customHeight="1">
      <c r="A87" s="151" t="s">
        <v>114</v>
      </c>
      <c r="B87" s="155" t="s">
        <v>14</v>
      </c>
      <c r="F87" s="156"/>
      <c r="G87" s="156"/>
      <c r="H87" s="157"/>
      <c r="I87" s="158">
        <f t="shared" si="10"/>
        <v>0</v>
      </c>
      <c r="J87" s="157"/>
      <c r="K87" s="159">
        <f t="shared" si="11"/>
        <v>0</v>
      </c>
    </row>
    <row r="88" spans="1:11" ht="18" customHeight="1">
      <c r="A88" s="151" t="s">
        <v>115</v>
      </c>
      <c r="B88" s="155" t="s">
        <v>116</v>
      </c>
      <c r="F88" s="156"/>
      <c r="G88" s="156"/>
      <c r="H88" s="157">
        <v>80113</v>
      </c>
      <c r="I88" s="158">
        <f t="shared" si="10"/>
        <v>45840.658600000002</v>
      </c>
      <c r="J88" s="157">
        <v>4575</v>
      </c>
      <c r="K88" s="159">
        <f t="shared" si="11"/>
        <v>121378.6586</v>
      </c>
    </row>
    <row r="89" spans="1:11" ht="18" customHeight="1">
      <c r="A89" s="151" t="s">
        <v>117</v>
      </c>
      <c r="B89" s="155" t="s">
        <v>58</v>
      </c>
      <c r="F89" s="156"/>
      <c r="G89" s="156"/>
      <c r="H89" s="157"/>
      <c r="I89" s="158">
        <f t="shared" si="10"/>
        <v>0</v>
      </c>
      <c r="J89" s="157"/>
      <c r="K89" s="159">
        <f t="shared" si="11"/>
        <v>0</v>
      </c>
    </row>
    <row r="90" spans="1:11" ht="18" customHeight="1">
      <c r="A90" s="151" t="s">
        <v>118</v>
      </c>
      <c r="B90" s="904" t="s">
        <v>59</v>
      </c>
      <c r="C90" s="907"/>
      <c r="F90" s="156"/>
      <c r="G90" s="156"/>
      <c r="H90" s="157"/>
      <c r="I90" s="158">
        <f t="shared" si="10"/>
        <v>0</v>
      </c>
      <c r="J90" s="157"/>
      <c r="K90" s="159">
        <f t="shared" si="11"/>
        <v>0</v>
      </c>
    </row>
    <row r="91" spans="1:11" ht="18" customHeight="1">
      <c r="A91" s="151" t="s">
        <v>119</v>
      </c>
      <c r="B91" s="155" t="s">
        <v>60</v>
      </c>
      <c r="F91" s="156"/>
      <c r="G91" s="156"/>
      <c r="H91" s="157"/>
      <c r="I91" s="158">
        <f t="shared" si="10"/>
        <v>0</v>
      </c>
      <c r="J91" s="157"/>
      <c r="K91" s="159">
        <f t="shared" si="11"/>
        <v>0</v>
      </c>
    </row>
    <row r="92" spans="1:11" ht="18" customHeight="1">
      <c r="A92" s="151" t="s">
        <v>120</v>
      </c>
      <c r="B92" s="155" t="s">
        <v>121</v>
      </c>
      <c r="F92" s="189"/>
      <c r="G92" s="189"/>
      <c r="H92" s="190"/>
      <c r="I92" s="158">
        <f t="shared" si="10"/>
        <v>0</v>
      </c>
      <c r="J92" s="190"/>
      <c r="K92" s="159">
        <f t="shared" si="11"/>
        <v>0</v>
      </c>
    </row>
    <row r="93" spans="1:11" ht="18" customHeight="1">
      <c r="A93" s="151" t="s">
        <v>122</v>
      </c>
      <c r="B93" s="155" t="s">
        <v>123</v>
      </c>
      <c r="F93" s="156"/>
      <c r="G93" s="156"/>
      <c r="H93" s="157"/>
      <c r="I93" s="158">
        <f t="shared" si="10"/>
        <v>0</v>
      </c>
      <c r="J93" s="157"/>
      <c r="K93" s="159">
        <f t="shared" si="11"/>
        <v>0</v>
      </c>
    </row>
    <row r="94" spans="1:11" ht="18" customHeight="1">
      <c r="A94" s="151" t="s">
        <v>124</v>
      </c>
      <c r="B94" s="901"/>
      <c r="C94" s="902"/>
      <c r="D94" s="903"/>
      <c r="F94" s="156"/>
      <c r="G94" s="156"/>
      <c r="H94" s="157"/>
      <c r="I94" s="158">
        <f t="shared" si="10"/>
        <v>0</v>
      </c>
      <c r="J94" s="157"/>
      <c r="K94" s="159">
        <f t="shared" si="11"/>
        <v>0</v>
      </c>
    </row>
    <row r="95" spans="1:11" ht="18" customHeight="1">
      <c r="A95" s="151" t="s">
        <v>125</v>
      </c>
      <c r="B95" s="901"/>
      <c r="C95" s="902"/>
      <c r="D95" s="903"/>
      <c r="F95" s="156"/>
      <c r="G95" s="156"/>
      <c r="H95" s="157"/>
      <c r="I95" s="158">
        <f t="shared" si="10"/>
        <v>0</v>
      </c>
      <c r="J95" s="157"/>
      <c r="K95" s="159">
        <f t="shared" si="11"/>
        <v>0</v>
      </c>
    </row>
    <row r="96" spans="1:11" ht="18" customHeight="1">
      <c r="A96" s="151" t="s">
        <v>126</v>
      </c>
      <c r="B96" s="901"/>
      <c r="C96" s="902"/>
      <c r="D96" s="903"/>
      <c r="F96" s="156"/>
      <c r="G96" s="156"/>
      <c r="H96" s="157"/>
      <c r="I96" s="158">
        <f t="shared" si="10"/>
        <v>0</v>
      </c>
      <c r="J96" s="157"/>
      <c r="K96" s="159">
        <f t="shared" si="11"/>
        <v>0</v>
      </c>
    </row>
    <row r="97" spans="1:11" ht="18" customHeight="1">
      <c r="A97" s="151"/>
      <c r="B97" s="155"/>
    </row>
    <row r="98" spans="1:11" ht="18" customHeight="1">
      <c r="A98" s="154" t="s">
        <v>150</v>
      </c>
      <c r="B98" s="150" t="s">
        <v>151</v>
      </c>
      <c r="E98" s="150" t="s">
        <v>7</v>
      </c>
      <c r="F98" s="162">
        <f t="shared" ref="F98:K98" si="12">SUM(F86:F96)</f>
        <v>0</v>
      </c>
      <c r="G98" s="162">
        <f t="shared" si="12"/>
        <v>0</v>
      </c>
      <c r="H98" s="162">
        <f t="shared" si="12"/>
        <v>80113</v>
      </c>
      <c r="I98" s="162">
        <f t="shared" si="12"/>
        <v>45840.658600000002</v>
      </c>
      <c r="J98" s="162">
        <f t="shared" si="12"/>
        <v>4575</v>
      </c>
      <c r="K98" s="162">
        <f t="shared" si="12"/>
        <v>121378.6586</v>
      </c>
    </row>
    <row r="99" spans="1:11" ht="18" customHeight="1" thickBot="1">
      <c r="B99" s="150"/>
      <c r="F99" s="172"/>
      <c r="G99" s="172"/>
      <c r="H99" s="172"/>
      <c r="I99" s="172"/>
      <c r="J99" s="172"/>
      <c r="K99" s="172"/>
    </row>
    <row r="100" spans="1:11" ht="42.75" customHeight="1">
      <c r="F100" s="153" t="s">
        <v>9</v>
      </c>
      <c r="G100" s="153" t="s">
        <v>37</v>
      </c>
      <c r="H100" s="153" t="s">
        <v>29</v>
      </c>
      <c r="I100" s="153" t="s">
        <v>30</v>
      </c>
      <c r="J100" s="153" t="s">
        <v>33</v>
      </c>
      <c r="K100" s="153" t="s">
        <v>34</v>
      </c>
    </row>
    <row r="101" spans="1:11" ht="18" customHeight="1">
      <c r="A101" s="154" t="s">
        <v>130</v>
      </c>
      <c r="B101" s="150" t="s">
        <v>63</v>
      </c>
    </row>
    <row r="102" spans="1:11" ht="18" customHeight="1">
      <c r="A102" s="151" t="s">
        <v>131</v>
      </c>
      <c r="B102" s="155" t="s">
        <v>152</v>
      </c>
      <c r="F102" s="156"/>
      <c r="G102" s="156"/>
      <c r="H102" s="157"/>
      <c r="I102" s="158">
        <f>H102*F$114</f>
        <v>0</v>
      </c>
      <c r="J102" s="157"/>
      <c r="K102" s="159">
        <f>(H102+I102)-J102</f>
        <v>0</v>
      </c>
    </row>
    <row r="103" spans="1:11" ht="18" customHeight="1">
      <c r="A103" s="151" t="s">
        <v>132</v>
      </c>
      <c r="B103" s="904" t="s">
        <v>62</v>
      </c>
      <c r="C103" s="904"/>
      <c r="F103" s="156"/>
      <c r="G103" s="156"/>
      <c r="H103" s="157"/>
      <c r="I103" s="158">
        <f>H103*F$114</f>
        <v>0</v>
      </c>
      <c r="J103" s="157"/>
      <c r="K103" s="159">
        <f>(H103+I103)-J103</f>
        <v>0</v>
      </c>
    </row>
    <row r="104" spans="1:11" ht="18" customHeight="1">
      <c r="A104" s="151" t="s">
        <v>128</v>
      </c>
      <c r="B104" s="901"/>
      <c r="C104" s="902"/>
      <c r="D104" s="903"/>
      <c r="F104" s="156"/>
      <c r="G104" s="156"/>
      <c r="H104" s="157"/>
      <c r="I104" s="158">
        <f>H104*F$114</f>
        <v>0</v>
      </c>
      <c r="J104" s="157"/>
      <c r="K104" s="159">
        <f>(H104+I104)-J104</f>
        <v>0</v>
      </c>
    </row>
    <row r="105" spans="1:11" ht="18" customHeight="1">
      <c r="A105" s="151" t="s">
        <v>127</v>
      </c>
      <c r="B105" s="901"/>
      <c r="C105" s="902"/>
      <c r="D105" s="903"/>
      <c r="F105" s="156"/>
      <c r="G105" s="156"/>
      <c r="H105" s="157"/>
      <c r="I105" s="158">
        <f>H105*F$114</f>
        <v>0</v>
      </c>
      <c r="J105" s="157"/>
      <c r="K105" s="159">
        <f>(H105+I105)-J105</f>
        <v>0</v>
      </c>
    </row>
    <row r="106" spans="1:11" ht="18" customHeight="1">
      <c r="A106" s="151" t="s">
        <v>129</v>
      </c>
      <c r="B106" s="901"/>
      <c r="C106" s="902"/>
      <c r="D106" s="903"/>
      <c r="F106" s="156"/>
      <c r="G106" s="156"/>
      <c r="H106" s="157"/>
      <c r="I106" s="158">
        <f>H106*F$114</f>
        <v>0</v>
      </c>
      <c r="J106" s="157"/>
      <c r="K106" s="159">
        <f>(H106+I106)-J106</f>
        <v>0</v>
      </c>
    </row>
    <row r="107" spans="1:11" ht="18" customHeight="1">
      <c r="B107" s="150"/>
    </row>
    <row r="108" spans="1:11" s="167" customFormat="1" ht="18" customHeight="1">
      <c r="A108" s="154" t="s">
        <v>153</v>
      </c>
      <c r="B108" s="191" t="s">
        <v>154</v>
      </c>
      <c r="C108" s="147"/>
      <c r="D108" s="147"/>
      <c r="E108" s="150" t="s">
        <v>7</v>
      </c>
      <c r="F108" s="162">
        <f t="shared" ref="F108:K108" si="13">SUM(F102:F106)</f>
        <v>0</v>
      </c>
      <c r="G108" s="162">
        <f t="shared" si="13"/>
        <v>0</v>
      </c>
      <c r="H108" s="159">
        <f t="shared" si="13"/>
        <v>0</v>
      </c>
      <c r="I108" s="159">
        <f t="shared" si="13"/>
        <v>0</v>
      </c>
      <c r="J108" s="159">
        <f t="shared" si="13"/>
        <v>0</v>
      </c>
      <c r="K108" s="159">
        <f t="shared" si="13"/>
        <v>0</v>
      </c>
    </row>
    <row r="109" spans="1:11" s="167" customFormat="1" ht="18" customHeight="1" thickBot="1">
      <c r="A109" s="192"/>
      <c r="B109" s="193"/>
      <c r="C109" s="194"/>
      <c r="D109" s="194"/>
      <c r="E109" s="194"/>
      <c r="F109" s="172"/>
      <c r="G109" s="172"/>
      <c r="H109" s="172"/>
      <c r="I109" s="172"/>
      <c r="J109" s="172"/>
      <c r="K109" s="172"/>
    </row>
    <row r="110" spans="1:11" s="167" customFormat="1" ht="18" customHeight="1">
      <c r="A110" s="154" t="s">
        <v>156</v>
      </c>
      <c r="B110" s="150" t="s">
        <v>39</v>
      </c>
      <c r="C110" s="147"/>
      <c r="D110" s="147"/>
      <c r="E110" s="147"/>
      <c r="F110" s="147"/>
      <c r="G110" s="147"/>
      <c r="H110" s="147"/>
      <c r="I110" s="147"/>
      <c r="J110" s="147"/>
      <c r="K110" s="147"/>
    </row>
    <row r="111" spans="1:11" ht="18" customHeight="1">
      <c r="A111" s="154" t="s">
        <v>155</v>
      </c>
      <c r="B111" s="150" t="s">
        <v>164</v>
      </c>
      <c r="E111" s="150" t="s">
        <v>7</v>
      </c>
      <c r="F111" s="157">
        <v>10472000</v>
      </c>
    </row>
    <row r="112" spans="1:11" ht="18" customHeight="1">
      <c r="B112" s="150"/>
      <c r="E112" s="150"/>
      <c r="F112" s="195"/>
    </row>
    <row r="113" spans="1:6" ht="18" customHeight="1">
      <c r="A113" s="154"/>
      <c r="B113" s="150" t="s">
        <v>15</v>
      </c>
    </row>
    <row r="114" spans="1:6" ht="18" customHeight="1">
      <c r="A114" s="151" t="s">
        <v>171</v>
      </c>
      <c r="B114" s="155" t="s">
        <v>35</v>
      </c>
      <c r="F114" s="196">
        <v>0.57220000000000004</v>
      </c>
    </row>
    <row r="115" spans="1:6" ht="18" customHeight="1">
      <c r="A115" s="151"/>
      <c r="B115" s="150"/>
    </row>
    <row r="116" spans="1:6" ht="18" customHeight="1">
      <c r="A116" s="151" t="s">
        <v>170</v>
      </c>
      <c r="B116" s="150" t="s">
        <v>16</v>
      </c>
    </row>
    <row r="117" spans="1:6" ht="18" customHeight="1">
      <c r="A117" s="151" t="s">
        <v>172</v>
      </c>
      <c r="B117" s="155" t="s">
        <v>17</v>
      </c>
      <c r="F117" s="157">
        <v>327008000</v>
      </c>
    </row>
    <row r="118" spans="1:6" ht="18" customHeight="1">
      <c r="A118" s="151" t="s">
        <v>173</v>
      </c>
      <c r="B118" s="147" t="s">
        <v>18</v>
      </c>
      <c r="F118" s="157">
        <v>7224000</v>
      </c>
    </row>
    <row r="119" spans="1:6" ht="18" customHeight="1">
      <c r="A119" s="151" t="s">
        <v>174</v>
      </c>
      <c r="B119" s="150" t="s">
        <v>19</v>
      </c>
      <c r="F119" s="187">
        <f>SUM(F117:F118)</f>
        <v>334232000</v>
      </c>
    </row>
    <row r="120" spans="1:6" ht="18" customHeight="1">
      <c r="A120" s="151"/>
      <c r="B120" s="150"/>
    </row>
    <row r="121" spans="1:6" ht="18" customHeight="1">
      <c r="A121" s="151" t="s">
        <v>167</v>
      </c>
      <c r="B121" s="150" t="s">
        <v>36</v>
      </c>
      <c r="F121" s="157">
        <v>323272000</v>
      </c>
    </row>
    <row r="122" spans="1:6" ht="18" customHeight="1">
      <c r="A122" s="151"/>
    </row>
    <row r="123" spans="1:6" ht="18" customHeight="1">
      <c r="A123" s="151" t="s">
        <v>175</v>
      </c>
      <c r="B123" s="150" t="s">
        <v>20</v>
      </c>
      <c r="F123" s="157">
        <f>F119-F121</f>
        <v>10960000</v>
      </c>
    </row>
    <row r="124" spans="1:6" ht="18" customHeight="1">
      <c r="A124" s="151"/>
    </row>
    <row r="125" spans="1:6" ht="18" customHeight="1">
      <c r="A125" s="151" t="s">
        <v>176</v>
      </c>
      <c r="B125" s="150" t="s">
        <v>21</v>
      </c>
      <c r="F125" s="157">
        <v>493000</v>
      </c>
    </row>
    <row r="126" spans="1:6" ht="18" customHeight="1">
      <c r="A126" s="151"/>
    </row>
    <row r="127" spans="1:6" ht="18" customHeight="1">
      <c r="A127" s="151" t="s">
        <v>177</v>
      </c>
      <c r="B127" s="150" t="s">
        <v>22</v>
      </c>
      <c r="F127" s="157">
        <f>F123+F125</f>
        <v>11453000</v>
      </c>
    </row>
    <row r="128" spans="1:6" ht="18" customHeight="1">
      <c r="A128" s="151"/>
    </row>
    <row r="129" spans="1:11" ht="42.75" customHeight="1">
      <c r="F129" s="153" t="s">
        <v>9</v>
      </c>
      <c r="G129" s="153" t="s">
        <v>37</v>
      </c>
      <c r="H129" s="153" t="s">
        <v>29</v>
      </c>
      <c r="I129" s="153" t="s">
        <v>30</v>
      </c>
      <c r="J129" s="153" t="s">
        <v>33</v>
      </c>
      <c r="K129" s="153" t="s">
        <v>34</v>
      </c>
    </row>
    <row r="130" spans="1:11" ht="18" customHeight="1">
      <c r="A130" s="154" t="s">
        <v>157</v>
      </c>
      <c r="B130" s="150" t="s">
        <v>23</v>
      </c>
    </row>
    <row r="131" spans="1:11" ht="18" customHeight="1">
      <c r="A131" s="151" t="s">
        <v>158</v>
      </c>
      <c r="B131" s="147" t="s">
        <v>24</v>
      </c>
      <c r="F131" s="156"/>
      <c r="G131" s="156"/>
      <c r="H131" s="157"/>
      <c r="I131" s="158">
        <v>0</v>
      </c>
      <c r="J131" s="157"/>
      <c r="K131" s="159">
        <f>(H131+I131)-J131</f>
        <v>0</v>
      </c>
    </row>
    <row r="132" spans="1:11" ht="18" customHeight="1">
      <c r="A132" s="151" t="s">
        <v>159</v>
      </c>
      <c r="B132" s="147" t="s">
        <v>25</v>
      </c>
      <c r="F132" s="156"/>
      <c r="G132" s="156"/>
      <c r="H132" s="157"/>
      <c r="I132" s="158">
        <v>0</v>
      </c>
      <c r="J132" s="157"/>
      <c r="K132" s="159">
        <f>(H132+I132)-J132</f>
        <v>0</v>
      </c>
    </row>
    <row r="133" spans="1:11" ht="18" customHeight="1">
      <c r="A133" s="151" t="s">
        <v>160</v>
      </c>
      <c r="B133" s="898"/>
      <c r="C133" s="899"/>
      <c r="D133" s="900"/>
      <c r="F133" s="156"/>
      <c r="G133" s="156"/>
      <c r="H133" s="157"/>
      <c r="I133" s="158">
        <v>0</v>
      </c>
      <c r="J133" s="157"/>
      <c r="K133" s="159">
        <f>(H133+I133)-J133</f>
        <v>0</v>
      </c>
    </row>
    <row r="134" spans="1:11" ht="18" customHeight="1">
      <c r="A134" s="151" t="s">
        <v>161</v>
      </c>
      <c r="B134" s="898"/>
      <c r="C134" s="899"/>
      <c r="D134" s="900"/>
      <c r="F134" s="156"/>
      <c r="G134" s="156"/>
      <c r="H134" s="157"/>
      <c r="I134" s="158">
        <v>0</v>
      </c>
      <c r="J134" s="157"/>
      <c r="K134" s="159">
        <f>(H134+I134)-J134</f>
        <v>0</v>
      </c>
    </row>
    <row r="135" spans="1:11" ht="18" customHeight="1">
      <c r="A135" s="151" t="s">
        <v>162</v>
      </c>
      <c r="B135" s="898"/>
      <c r="C135" s="899"/>
      <c r="D135" s="900"/>
      <c r="F135" s="156"/>
      <c r="G135" s="156"/>
      <c r="H135" s="157"/>
      <c r="I135" s="158">
        <v>0</v>
      </c>
      <c r="J135" s="157"/>
      <c r="K135" s="159">
        <f>(H135+I135)-J135</f>
        <v>0</v>
      </c>
    </row>
    <row r="136" spans="1:11" ht="18" customHeight="1">
      <c r="A136" s="154"/>
    </row>
    <row r="137" spans="1:11" ht="18" customHeight="1">
      <c r="A137" s="154" t="s">
        <v>163</v>
      </c>
      <c r="B137" s="150" t="s">
        <v>27</v>
      </c>
      <c r="F137" s="162">
        <f t="shared" ref="F137:K137" si="14">SUM(F131:F135)</f>
        <v>0</v>
      </c>
      <c r="G137" s="162">
        <f t="shared" si="14"/>
        <v>0</v>
      </c>
      <c r="H137" s="159">
        <f t="shared" si="14"/>
        <v>0</v>
      </c>
      <c r="I137" s="159">
        <f t="shared" si="14"/>
        <v>0</v>
      </c>
      <c r="J137" s="159">
        <f t="shared" si="14"/>
        <v>0</v>
      </c>
      <c r="K137" s="159">
        <f t="shared" si="14"/>
        <v>0</v>
      </c>
    </row>
    <row r="138" spans="1:11" ht="18" customHeight="1">
      <c r="A138" s="147"/>
    </row>
    <row r="139" spans="1:11" ht="42.75" customHeight="1">
      <c r="F139" s="153" t="s">
        <v>9</v>
      </c>
      <c r="G139" s="153" t="s">
        <v>37</v>
      </c>
      <c r="H139" s="153" t="s">
        <v>29</v>
      </c>
      <c r="I139" s="153" t="s">
        <v>30</v>
      </c>
      <c r="J139" s="153" t="s">
        <v>33</v>
      </c>
      <c r="K139" s="153" t="s">
        <v>34</v>
      </c>
    </row>
    <row r="140" spans="1:11" ht="18" customHeight="1">
      <c r="A140" s="154" t="s">
        <v>166</v>
      </c>
      <c r="B140" s="150" t="s">
        <v>26</v>
      </c>
    </row>
    <row r="141" spans="1:11" ht="18" customHeight="1">
      <c r="A141" s="151" t="s">
        <v>137</v>
      </c>
      <c r="B141" s="150" t="s">
        <v>64</v>
      </c>
      <c r="F141" s="197">
        <f t="shared" ref="F141:K141" si="15">F36</f>
        <v>41276</v>
      </c>
      <c r="G141" s="197">
        <f t="shared" si="15"/>
        <v>35313</v>
      </c>
      <c r="H141" s="197">
        <f t="shared" si="15"/>
        <v>1828271</v>
      </c>
      <c r="I141" s="197">
        <f t="shared" si="15"/>
        <v>1046136.6662000001</v>
      </c>
      <c r="J141" s="197">
        <f t="shared" si="15"/>
        <v>833464</v>
      </c>
      <c r="K141" s="197">
        <f t="shared" si="15"/>
        <v>2040943.6662000001</v>
      </c>
    </row>
    <row r="142" spans="1:11" ht="18" customHeight="1">
      <c r="A142" s="151" t="s">
        <v>142</v>
      </c>
      <c r="B142" s="150" t="s">
        <v>65</v>
      </c>
      <c r="F142" s="197">
        <f t="shared" ref="F142:K142" si="16">F49</f>
        <v>0</v>
      </c>
      <c r="G142" s="197">
        <f t="shared" si="16"/>
        <v>0</v>
      </c>
      <c r="H142" s="197">
        <f t="shared" si="16"/>
        <v>52500</v>
      </c>
      <c r="I142" s="197">
        <f t="shared" si="16"/>
        <v>0</v>
      </c>
      <c r="J142" s="197">
        <f t="shared" si="16"/>
        <v>0</v>
      </c>
      <c r="K142" s="197">
        <f t="shared" si="16"/>
        <v>52500</v>
      </c>
    </row>
    <row r="143" spans="1:11" ht="18" customHeight="1">
      <c r="A143" s="151" t="s">
        <v>144</v>
      </c>
      <c r="B143" s="150" t="s">
        <v>66</v>
      </c>
      <c r="F143" s="197">
        <f t="shared" ref="F143:K143" si="17">F64</f>
        <v>260218</v>
      </c>
      <c r="G143" s="197">
        <f t="shared" si="17"/>
        <v>12845</v>
      </c>
      <c r="H143" s="197">
        <f t="shared" si="17"/>
        <v>8577037</v>
      </c>
      <c r="I143" s="197">
        <f t="shared" si="17"/>
        <v>4720452.0187999997</v>
      </c>
      <c r="J143" s="197">
        <f t="shared" si="17"/>
        <v>142974</v>
      </c>
      <c r="K143" s="197">
        <f t="shared" si="17"/>
        <v>13154515.018800002</v>
      </c>
    </row>
    <row r="144" spans="1:11" ht="18" customHeight="1">
      <c r="A144" s="151" t="s">
        <v>146</v>
      </c>
      <c r="B144" s="150" t="s">
        <v>67</v>
      </c>
      <c r="F144" s="197">
        <f t="shared" ref="F144:K144" si="18">F74</f>
        <v>0</v>
      </c>
      <c r="G144" s="197">
        <f t="shared" si="18"/>
        <v>0</v>
      </c>
      <c r="H144" s="197">
        <f t="shared" si="18"/>
        <v>0</v>
      </c>
      <c r="I144" s="197">
        <f t="shared" si="18"/>
        <v>0</v>
      </c>
      <c r="J144" s="197">
        <f t="shared" si="18"/>
        <v>0</v>
      </c>
      <c r="K144" s="197">
        <f t="shared" si="18"/>
        <v>0</v>
      </c>
    </row>
    <row r="145" spans="1:11" ht="18" customHeight="1">
      <c r="A145" s="151" t="s">
        <v>148</v>
      </c>
      <c r="B145" s="150" t="s">
        <v>68</v>
      </c>
      <c r="F145" s="197">
        <f t="shared" ref="F145:K145" si="19">F82</f>
        <v>0</v>
      </c>
      <c r="G145" s="197">
        <f t="shared" si="19"/>
        <v>0</v>
      </c>
      <c r="H145" s="197">
        <f t="shared" si="19"/>
        <v>84369</v>
      </c>
      <c r="I145" s="197">
        <f t="shared" si="19"/>
        <v>0</v>
      </c>
      <c r="J145" s="197">
        <f t="shared" si="19"/>
        <v>0</v>
      </c>
      <c r="K145" s="197">
        <f t="shared" si="19"/>
        <v>84369</v>
      </c>
    </row>
    <row r="146" spans="1:11" ht="18" customHeight="1">
      <c r="A146" s="151" t="s">
        <v>150</v>
      </c>
      <c r="B146" s="150" t="s">
        <v>69</v>
      </c>
      <c r="F146" s="197">
        <f t="shared" ref="F146:K146" si="20">F98</f>
        <v>0</v>
      </c>
      <c r="G146" s="197">
        <f t="shared" si="20"/>
        <v>0</v>
      </c>
      <c r="H146" s="197">
        <f t="shared" si="20"/>
        <v>80113</v>
      </c>
      <c r="I146" s="197">
        <f t="shared" si="20"/>
        <v>45840.658600000002</v>
      </c>
      <c r="J146" s="197">
        <f t="shared" si="20"/>
        <v>4575</v>
      </c>
      <c r="K146" s="197">
        <f t="shared" si="20"/>
        <v>121378.6586</v>
      </c>
    </row>
    <row r="147" spans="1:11" ht="18" customHeight="1">
      <c r="A147" s="151" t="s">
        <v>153</v>
      </c>
      <c r="B147" s="150" t="s">
        <v>61</v>
      </c>
      <c r="F147" s="162">
        <f t="shared" ref="F147:K147" si="21">F108</f>
        <v>0</v>
      </c>
      <c r="G147" s="162">
        <f t="shared" si="21"/>
        <v>0</v>
      </c>
      <c r="H147" s="162">
        <f t="shared" si="21"/>
        <v>0</v>
      </c>
      <c r="I147" s="162">
        <f t="shared" si="21"/>
        <v>0</v>
      </c>
      <c r="J147" s="162">
        <f t="shared" si="21"/>
        <v>0</v>
      </c>
      <c r="K147" s="162">
        <f t="shared" si="21"/>
        <v>0</v>
      </c>
    </row>
    <row r="148" spans="1:11" ht="18" customHeight="1">
      <c r="A148" s="151" t="s">
        <v>155</v>
      </c>
      <c r="B148" s="150" t="s">
        <v>70</v>
      </c>
      <c r="F148" s="198" t="s">
        <v>73</v>
      </c>
      <c r="G148" s="198" t="s">
        <v>73</v>
      </c>
      <c r="H148" s="199" t="s">
        <v>73</v>
      </c>
      <c r="I148" s="199" t="s">
        <v>73</v>
      </c>
      <c r="J148" s="199" t="s">
        <v>73</v>
      </c>
      <c r="K148" s="200">
        <f>F111</f>
        <v>10472000</v>
      </c>
    </row>
    <row r="149" spans="1:11" ht="18" customHeight="1">
      <c r="A149" s="151" t="s">
        <v>163</v>
      </c>
      <c r="B149" s="150" t="s">
        <v>71</v>
      </c>
      <c r="F149" s="162">
        <f t="shared" ref="F149:K149" si="22">F137</f>
        <v>0</v>
      </c>
      <c r="G149" s="162">
        <f t="shared" si="22"/>
        <v>0</v>
      </c>
      <c r="H149" s="162">
        <f t="shared" si="22"/>
        <v>0</v>
      </c>
      <c r="I149" s="162">
        <f t="shared" si="22"/>
        <v>0</v>
      </c>
      <c r="J149" s="162">
        <f t="shared" si="22"/>
        <v>0</v>
      </c>
      <c r="K149" s="162">
        <f t="shared" si="22"/>
        <v>0</v>
      </c>
    </row>
    <row r="150" spans="1:11" ht="18" customHeight="1">
      <c r="A150" s="151" t="s">
        <v>185</v>
      </c>
      <c r="B150" s="150" t="s">
        <v>186</v>
      </c>
      <c r="F150" s="198" t="s">
        <v>73</v>
      </c>
      <c r="G150" s="198" t="s">
        <v>73</v>
      </c>
      <c r="H150" s="162">
        <f>H18</f>
        <v>8470371</v>
      </c>
      <c r="I150" s="162">
        <f>I18</f>
        <v>0</v>
      </c>
      <c r="J150" s="162">
        <f>J18</f>
        <v>7243227</v>
      </c>
      <c r="K150" s="162">
        <f>K18</f>
        <v>1227144</v>
      </c>
    </row>
    <row r="151" spans="1:11" ht="18" customHeight="1">
      <c r="B151" s="150"/>
      <c r="F151" s="174"/>
      <c r="G151" s="174"/>
      <c r="H151" s="174"/>
      <c r="I151" s="174"/>
      <c r="J151" s="174"/>
      <c r="K151" s="174"/>
    </row>
    <row r="152" spans="1:11" ht="18" customHeight="1">
      <c r="A152" s="154" t="s">
        <v>165</v>
      </c>
      <c r="B152" s="150" t="s">
        <v>26</v>
      </c>
      <c r="F152" s="201">
        <f t="shared" ref="F152:K152" si="23">SUM(F141:F150)</f>
        <v>301494</v>
      </c>
      <c r="G152" s="201">
        <f t="shared" si="23"/>
        <v>48158</v>
      </c>
      <c r="H152" s="201">
        <f t="shared" si="23"/>
        <v>19092661</v>
      </c>
      <c r="I152" s="201">
        <f t="shared" si="23"/>
        <v>5812429.3435999993</v>
      </c>
      <c r="J152" s="201">
        <f t="shared" si="23"/>
        <v>8224240</v>
      </c>
      <c r="K152" s="201">
        <f t="shared" si="23"/>
        <v>27152850.343600005</v>
      </c>
    </row>
    <row r="154" spans="1:11" ht="18" customHeight="1">
      <c r="A154" s="154" t="s">
        <v>168</v>
      </c>
      <c r="B154" s="150" t="s">
        <v>28</v>
      </c>
      <c r="F154" s="53">
        <f>K152/F121</f>
        <v>8.3993820509045025E-2</v>
      </c>
    </row>
    <row r="155" spans="1:11" ht="18" customHeight="1">
      <c r="A155" s="154" t="s">
        <v>169</v>
      </c>
      <c r="B155" s="150" t="s">
        <v>72</v>
      </c>
      <c r="F155" s="53">
        <f>K152/F127</f>
        <v>2.3708068055182054</v>
      </c>
      <c r="G155" s="150"/>
    </row>
    <row r="156" spans="1:11" ht="18" customHeight="1">
      <c r="G156" s="150"/>
    </row>
  </sheetData>
  <sheetProtection algorithmName="SHA-512" hashValue="iVvdvBFvLJrCQayOzWBOnlmmkvSOlg0vsuWfxw4ykvUWsRMIU69Eos4F9LU4n3blGdfrud4L5z60Zw6vfmvLvQ==" saltValue="dNfDTr1s26G+Dg2uXX89nw==" spinCount="100000" sheet="1" objects="1" scenarios="1"/>
  <mergeCells count="34">
    <mergeCell ref="B41:C41"/>
    <mergeCell ref="D2:H2"/>
    <mergeCell ref="C5:G5"/>
    <mergeCell ref="C6:G6"/>
    <mergeCell ref="C7:G7"/>
    <mergeCell ref="C9:G9"/>
    <mergeCell ref="C10:G10"/>
    <mergeCell ref="C11:G11"/>
    <mergeCell ref="B13:H13"/>
    <mergeCell ref="B30:D30"/>
    <mergeCell ref="B31:D31"/>
    <mergeCell ref="B34:D34"/>
    <mergeCell ref="B90:C90"/>
    <mergeCell ref="B44:D44"/>
    <mergeCell ref="B45:D45"/>
    <mergeCell ref="B46:D46"/>
    <mergeCell ref="B47:D47"/>
    <mergeCell ref="B52:C52"/>
    <mergeCell ref="B53:D53"/>
    <mergeCell ref="B55:D55"/>
    <mergeCell ref="B56:D56"/>
    <mergeCell ref="B57:D57"/>
    <mergeCell ref="B59:D59"/>
    <mergeCell ref="B62:D62"/>
    <mergeCell ref="B106:D106"/>
    <mergeCell ref="B133:D133"/>
    <mergeCell ref="B134:D134"/>
    <mergeCell ref="B135:D135"/>
    <mergeCell ref="B94:D94"/>
    <mergeCell ref="B95:D95"/>
    <mergeCell ref="B96:D96"/>
    <mergeCell ref="B103:C103"/>
    <mergeCell ref="B104:D104"/>
    <mergeCell ref="B105:D105"/>
  </mergeCells>
  <printOptions headings="1" gridLines="1"/>
  <pageMargins left="0.17" right="0.16" top="0.35" bottom="0.32" header="0.17" footer="0.17"/>
  <pageSetup scale="59" fitToHeight="3" orientation="landscape"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K156"/>
  <sheetViews>
    <sheetView showGridLines="0" topLeftCell="A10" zoomScaleNormal="100" zoomScaleSheetLayoutView="50" workbookViewId="0">
      <selection activeCell="B23" sqref="B23"/>
    </sheetView>
  </sheetViews>
  <sheetFormatPr defaultRowHeight="18" customHeight="1"/>
  <cols>
    <col min="1" max="1" width="8.28515625" style="146" customWidth="1"/>
    <col min="2" max="2" width="55.42578125" style="147" bestFit="1" customWidth="1"/>
    <col min="3" max="3" width="9.5703125" style="147" customWidth="1"/>
    <col min="4" max="4" width="9.140625" style="147"/>
    <col min="5" max="5" width="12.42578125" style="147" customWidth="1"/>
    <col min="6" max="6" width="18.5703125" style="147" customWidth="1"/>
    <col min="7" max="7" width="23.5703125" style="147" customWidth="1"/>
    <col min="8" max="8" width="17.140625" style="147" customWidth="1"/>
    <col min="9" max="9" width="21.140625" style="147" customWidth="1"/>
    <col min="10" max="10" width="19.85546875" style="147" customWidth="1"/>
    <col min="11" max="11" width="17.5703125" style="147" customWidth="1"/>
    <col min="12" max="16384" width="9.140625" style="147"/>
  </cols>
  <sheetData>
    <row r="1" spans="1:11" ht="18" customHeight="1">
      <c r="C1" s="148"/>
      <c r="D1" s="149"/>
      <c r="E1" s="148"/>
      <c r="F1" s="148"/>
      <c r="G1" s="148"/>
      <c r="H1" s="148"/>
      <c r="I1" s="148"/>
      <c r="J1" s="148"/>
      <c r="K1" s="148"/>
    </row>
    <row r="2" spans="1:11" ht="18" customHeight="1">
      <c r="D2" s="910" t="s">
        <v>713</v>
      </c>
      <c r="E2" s="911"/>
      <c r="F2" s="911"/>
      <c r="G2" s="911"/>
      <c r="H2" s="911"/>
    </row>
    <row r="3" spans="1:11" ht="18" customHeight="1">
      <c r="B3" s="150" t="s">
        <v>0</v>
      </c>
    </row>
    <row r="5" spans="1:11" ht="18" customHeight="1">
      <c r="B5" s="151" t="s">
        <v>40</v>
      </c>
      <c r="C5" s="912" t="s">
        <v>744</v>
      </c>
      <c r="D5" s="918"/>
      <c r="E5" s="918"/>
      <c r="F5" s="918"/>
      <c r="G5" s="919"/>
    </row>
    <row r="6" spans="1:11" ht="18" customHeight="1">
      <c r="B6" s="151" t="s">
        <v>3</v>
      </c>
      <c r="C6" s="929">
        <v>210006</v>
      </c>
      <c r="D6" s="921"/>
      <c r="E6" s="921"/>
      <c r="F6" s="921"/>
      <c r="G6" s="922"/>
    </row>
    <row r="7" spans="1:11" ht="18" customHeight="1">
      <c r="B7" s="151" t="s">
        <v>4</v>
      </c>
      <c r="C7" s="930">
        <f>810</f>
        <v>810</v>
      </c>
      <c r="D7" s="924"/>
      <c r="E7" s="924"/>
      <c r="F7" s="924"/>
      <c r="G7" s="925"/>
    </row>
    <row r="9" spans="1:11" ht="18" customHeight="1">
      <c r="B9" s="151" t="s">
        <v>1</v>
      </c>
      <c r="C9" s="912" t="s">
        <v>745</v>
      </c>
      <c r="D9" s="918"/>
      <c r="E9" s="918"/>
      <c r="F9" s="918"/>
      <c r="G9" s="919"/>
    </row>
    <row r="10" spans="1:11" ht="18" customHeight="1">
      <c r="B10" s="151" t="s">
        <v>2</v>
      </c>
      <c r="C10" s="926" t="s">
        <v>746</v>
      </c>
      <c r="D10" s="927"/>
      <c r="E10" s="927"/>
      <c r="F10" s="927"/>
      <c r="G10" s="928"/>
    </row>
    <row r="11" spans="1:11" ht="18" customHeight="1">
      <c r="B11" s="151" t="s">
        <v>32</v>
      </c>
      <c r="C11" s="912" t="s">
        <v>747</v>
      </c>
      <c r="D11" s="913"/>
      <c r="E11" s="913"/>
      <c r="F11" s="913"/>
      <c r="G11" s="913"/>
    </row>
    <row r="12" spans="1:11" ht="18" customHeight="1">
      <c r="B12" s="151"/>
      <c r="C12" s="151"/>
      <c r="D12" s="151"/>
      <c r="E12" s="151"/>
      <c r="F12" s="151"/>
      <c r="G12" s="151"/>
    </row>
    <row r="13" spans="1:11" ht="24.6" customHeight="1">
      <c r="B13" s="914"/>
      <c r="C13" s="915"/>
      <c r="D13" s="915"/>
      <c r="E13" s="915"/>
      <c r="F13" s="915"/>
      <c r="G13" s="915"/>
      <c r="H13" s="916"/>
      <c r="I13" s="148"/>
    </row>
    <row r="14" spans="1:11" ht="18" customHeight="1">
      <c r="B14" s="152"/>
    </row>
    <row r="15" spans="1:11" ht="18" customHeight="1">
      <c r="B15" s="152"/>
    </row>
    <row r="16" spans="1:11" ht="45.2" customHeight="1">
      <c r="A16" s="149" t="s">
        <v>181</v>
      </c>
      <c r="B16" s="148"/>
      <c r="C16" s="148"/>
      <c r="D16" s="148"/>
      <c r="E16" s="148"/>
      <c r="F16" s="153" t="s">
        <v>9</v>
      </c>
      <c r="G16" s="153" t="s">
        <v>37</v>
      </c>
      <c r="H16" s="153" t="s">
        <v>29</v>
      </c>
      <c r="I16" s="153" t="s">
        <v>30</v>
      </c>
      <c r="J16" s="153" t="s">
        <v>33</v>
      </c>
      <c r="K16" s="153" t="s">
        <v>34</v>
      </c>
    </row>
    <row r="17" spans="1:11" ht="18" customHeight="1">
      <c r="A17" s="154" t="s">
        <v>184</v>
      </c>
      <c r="B17" s="150" t="s">
        <v>182</v>
      </c>
    </row>
    <row r="18" spans="1:11" ht="18" customHeight="1">
      <c r="A18" s="151" t="s">
        <v>185</v>
      </c>
      <c r="B18" s="155" t="s">
        <v>183</v>
      </c>
      <c r="F18" s="156" t="s">
        <v>73</v>
      </c>
      <c r="G18" s="156" t="s">
        <v>73</v>
      </c>
      <c r="H18" s="157">
        <f>2461836</f>
        <v>2461836</v>
      </c>
      <c r="I18" s="158">
        <v>0</v>
      </c>
      <c r="J18" s="157">
        <f>2105178</f>
        <v>2105178</v>
      </c>
      <c r="K18" s="159">
        <f>(H18+I18)-J18</f>
        <v>356658</v>
      </c>
    </row>
    <row r="19" spans="1:11" ht="45.2" customHeight="1">
      <c r="A19" s="149" t="s">
        <v>8</v>
      </c>
      <c r="B19" s="148"/>
      <c r="C19" s="148"/>
      <c r="D19" s="148"/>
      <c r="E19" s="148"/>
      <c r="F19" s="153" t="s">
        <v>9</v>
      </c>
      <c r="G19" s="153" t="s">
        <v>37</v>
      </c>
      <c r="H19" s="153" t="s">
        <v>29</v>
      </c>
      <c r="I19" s="153" t="s">
        <v>30</v>
      </c>
      <c r="J19" s="153" t="s">
        <v>33</v>
      </c>
      <c r="K19" s="153" t="s">
        <v>34</v>
      </c>
    </row>
    <row r="20" spans="1:11" ht="18" customHeight="1">
      <c r="A20" s="154" t="s">
        <v>74</v>
      </c>
      <c r="B20" s="150" t="s">
        <v>41</v>
      </c>
    </row>
    <row r="21" spans="1:11" ht="18" customHeight="1">
      <c r="A21" s="151" t="s">
        <v>75</v>
      </c>
      <c r="B21" s="155" t="s">
        <v>42</v>
      </c>
      <c r="F21" s="156">
        <f>7179.2*0.3</f>
        <v>2153.7599999999998</v>
      </c>
      <c r="G21" s="156">
        <f>273887*0.3</f>
        <v>82166.099999999991</v>
      </c>
      <c r="H21" s="157">
        <f>326655*0.3</f>
        <v>97996.5</v>
      </c>
      <c r="I21" s="158">
        <f t="shared" ref="I21:I34" si="0">H21*F$114</f>
        <v>71331.652350000004</v>
      </c>
      <c r="J21" s="157">
        <f>355*0.3</f>
        <v>106.5</v>
      </c>
      <c r="K21" s="159">
        <f t="shared" ref="K21:K34" si="1">(H21+I21)-J21</f>
        <v>169221.65234999999</v>
      </c>
    </row>
    <row r="22" spans="1:11" ht="18" customHeight="1">
      <c r="A22" s="151" t="s">
        <v>76</v>
      </c>
      <c r="B22" s="147" t="s">
        <v>6</v>
      </c>
      <c r="F22" s="156">
        <f>670.3*0.3</f>
        <v>201.08999999999997</v>
      </c>
      <c r="G22" s="156">
        <f>4074*0.3</f>
        <v>1222.2</v>
      </c>
      <c r="H22" s="157">
        <f>37079*0.3</f>
        <v>11123.699999999999</v>
      </c>
      <c r="I22" s="158">
        <f t="shared" si="0"/>
        <v>8096.9412299999995</v>
      </c>
      <c r="J22" s="157">
        <v>0</v>
      </c>
      <c r="K22" s="159">
        <f t="shared" si="1"/>
        <v>19220.641229999997</v>
      </c>
    </row>
    <row r="23" spans="1:11" ht="18" customHeight="1">
      <c r="A23" s="151" t="s">
        <v>77</v>
      </c>
      <c r="B23" s="147" t="s">
        <v>43</v>
      </c>
      <c r="F23" s="156">
        <f>50.8*0.3</f>
        <v>15.239999999999998</v>
      </c>
      <c r="G23" s="156">
        <f>426*0.3</f>
        <v>127.8</v>
      </c>
      <c r="H23" s="157">
        <f>15094*0.3</f>
        <v>4528.2</v>
      </c>
      <c r="I23" s="158">
        <f t="shared" si="0"/>
        <v>3296.0767799999999</v>
      </c>
      <c r="J23" s="157">
        <f>0</f>
        <v>0</v>
      </c>
      <c r="K23" s="159">
        <f t="shared" si="1"/>
        <v>7824.2767800000001</v>
      </c>
    </row>
    <row r="24" spans="1:11" ht="18" customHeight="1">
      <c r="A24" s="151" t="s">
        <v>78</v>
      </c>
      <c r="B24" s="147" t="s">
        <v>44</v>
      </c>
      <c r="F24" s="156">
        <f>10014.3*0.3</f>
        <v>3004.2899999999995</v>
      </c>
      <c r="G24" s="156">
        <f>2873*0.3</f>
        <v>861.9</v>
      </c>
      <c r="H24" s="157">
        <f>579524*0.3</f>
        <v>173857.19999999998</v>
      </c>
      <c r="I24" s="158">
        <f t="shared" si="0"/>
        <v>126550.65587999999</v>
      </c>
      <c r="J24" s="157">
        <f>83375*0.3</f>
        <v>25012.5</v>
      </c>
      <c r="K24" s="159">
        <f t="shared" si="1"/>
        <v>275395.35587999999</v>
      </c>
    </row>
    <row r="25" spans="1:11" ht="18" customHeight="1">
      <c r="A25" s="151" t="s">
        <v>79</v>
      </c>
      <c r="B25" s="147" t="s">
        <v>5</v>
      </c>
      <c r="F25" s="156">
        <f>1003.6*0.3</f>
        <v>301.08</v>
      </c>
      <c r="G25" s="156">
        <f>5019*0.3</f>
        <v>1505.7</v>
      </c>
      <c r="H25" s="157">
        <f>41624*0.3</f>
        <v>12487.199999999999</v>
      </c>
      <c r="I25" s="158">
        <f t="shared" si="0"/>
        <v>9089.4328799999985</v>
      </c>
      <c r="J25" s="157">
        <f>580*0.3</f>
        <v>174</v>
      </c>
      <c r="K25" s="159">
        <f t="shared" si="1"/>
        <v>21402.632879999997</v>
      </c>
    </row>
    <row r="26" spans="1:11" ht="18" customHeight="1">
      <c r="A26" s="151" t="s">
        <v>80</v>
      </c>
      <c r="B26" s="147" t="s">
        <v>45</v>
      </c>
      <c r="F26" s="156">
        <v>0</v>
      </c>
      <c r="G26" s="156">
        <v>0</v>
      </c>
      <c r="H26" s="157">
        <v>0</v>
      </c>
      <c r="I26" s="158">
        <f t="shared" si="0"/>
        <v>0</v>
      </c>
      <c r="J26" s="157">
        <v>0</v>
      </c>
      <c r="K26" s="159">
        <f t="shared" si="1"/>
        <v>0</v>
      </c>
    </row>
    <row r="27" spans="1:11" ht="18" customHeight="1">
      <c r="A27" s="151" t="s">
        <v>81</v>
      </c>
      <c r="B27" s="147" t="s">
        <v>46</v>
      </c>
      <c r="F27" s="156">
        <v>0</v>
      </c>
      <c r="G27" s="156">
        <v>0</v>
      </c>
      <c r="H27" s="157">
        <v>0</v>
      </c>
      <c r="I27" s="158">
        <f t="shared" si="0"/>
        <v>0</v>
      </c>
      <c r="J27" s="157">
        <v>0</v>
      </c>
      <c r="K27" s="159">
        <f t="shared" si="1"/>
        <v>0</v>
      </c>
    </row>
    <row r="28" spans="1:11" ht="18" customHeight="1">
      <c r="A28" s="151" t="s">
        <v>82</v>
      </c>
      <c r="B28" s="147" t="s">
        <v>47</v>
      </c>
      <c r="F28" s="156">
        <f>2140*0.3</f>
        <v>642</v>
      </c>
      <c r="G28" s="156">
        <f>119*0.3</f>
        <v>35.699999999999996</v>
      </c>
      <c r="H28" s="157">
        <f>48303*0.3</f>
        <v>14490.9</v>
      </c>
      <c r="I28" s="158">
        <f t="shared" si="0"/>
        <v>10547.92611</v>
      </c>
      <c r="J28" s="157">
        <f>345*0.3</f>
        <v>103.5</v>
      </c>
      <c r="K28" s="159">
        <f t="shared" si="1"/>
        <v>24935.326110000002</v>
      </c>
    </row>
    <row r="29" spans="1:11" ht="18" customHeight="1">
      <c r="A29" s="151" t="s">
        <v>83</v>
      </c>
      <c r="B29" s="147" t="s">
        <v>48</v>
      </c>
      <c r="F29" s="156">
        <f>186.8*0.3</f>
        <v>56.04</v>
      </c>
      <c r="G29" s="156">
        <f>78*0.3</f>
        <v>23.4</v>
      </c>
      <c r="H29" s="157">
        <f>692045*0.3</f>
        <v>207613.5</v>
      </c>
      <c r="I29" s="158">
        <f t="shared" si="0"/>
        <v>151121.86665000001</v>
      </c>
      <c r="J29" s="157">
        <f>0</f>
        <v>0</v>
      </c>
      <c r="K29" s="159">
        <f t="shared" si="1"/>
        <v>358735.36664999998</v>
      </c>
    </row>
    <row r="30" spans="1:11" ht="18" customHeight="1">
      <c r="A30" s="151" t="s">
        <v>84</v>
      </c>
      <c r="B30" s="898"/>
      <c r="C30" s="899"/>
      <c r="D30" s="900"/>
      <c r="F30" s="156"/>
      <c r="G30" s="156"/>
      <c r="H30" s="157"/>
      <c r="I30" s="158">
        <f t="shared" si="0"/>
        <v>0</v>
      </c>
      <c r="J30" s="157"/>
      <c r="K30" s="159">
        <f t="shared" si="1"/>
        <v>0</v>
      </c>
    </row>
    <row r="31" spans="1:11" ht="18" customHeight="1">
      <c r="A31" s="151" t="s">
        <v>133</v>
      </c>
      <c r="B31" s="898"/>
      <c r="C31" s="899"/>
      <c r="D31" s="900"/>
      <c r="F31" s="156"/>
      <c r="G31" s="156"/>
      <c r="H31" s="157"/>
      <c r="I31" s="158">
        <f t="shared" si="0"/>
        <v>0</v>
      </c>
      <c r="J31" s="157"/>
      <c r="K31" s="159">
        <f t="shared" si="1"/>
        <v>0</v>
      </c>
    </row>
    <row r="32" spans="1:11" ht="18" customHeight="1">
      <c r="A32" s="151" t="s">
        <v>134</v>
      </c>
      <c r="B32" s="393"/>
      <c r="C32" s="394"/>
      <c r="D32" s="395"/>
      <c r="F32" s="156"/>
      <c r="G32" s="160" t="s">
        <v>85</v>
      </c>
      <c r="H32" s="157"/>
      <c r="I32" s="158">
        <f t="shared" si="0"/>
        <v>0</v>
      </c>
      <c r="J32" s="157"/>
      <c r="K32" s="159">
        <f t="shared" si="1"/>
        <v>0</v>
      </c>
    </row>
    <row r="33" spans="1:11" ht="18" customHeight="1">
      <c r="A33" s="151" t="s">
        <v>135</v>
      </c>
      <c r="B33" s="393"/>
      <c r="C33" s="394"/>
      <c r="D33" s="395"/>
      <c r="F33" s="156"/>
      <c r="G33" s="160" t="s">
        <v>85</v>
      </c>
      <c r="H33" s="157"/>
      <c r="I33" s="158">
        <f t="shared" si="0"/>
        <v>0</v>
      </c>
      <c r="J33" s="157"/>
      <c r="K33" s="159">
        <f t="shared" si="1"/>
        <v>0</v>
      </c>
    </row>
    <row r="34" spans="1:11" ht="18" customHeight="1">
      <c r="A34" s="151" t="s">
        <v>136</v>
      </c>
      <c r="B34" s="898"/>
      <c r="C34" s="899"/>
      <c r="D34" s="900"/>
      <c r="F34" s="156"/>
      <c r="G34" s="160" t="s">
        <v>85</v>
      </c>
      <c r="H34" s="157"/>
      <c r="I34" s="158">
        <f t="shared" si="0"/>
        <v>0</v>
      </c>
      <c r="J34" s="157"/>
      <c r="K34" s="159">
        <f t="shared" si="1"/>
        <v>0</v>
      </c>
    </row>
    <row r="35" spans="1:11" ht="18" customHeight="1">
      <c r="K35" s="161"/>
    </row>
    <row r="36" spans="1:11" ht="18" customHeight="1">
      <c r="A36" s="154" t="s">
        <v>137</v>
      </c>
      <c r="B36" s="150" t="s">
        <v>138</v>
      </c>
      <c r="E36" s="150" t="s">
        <v>7</v>
      </c>
      <c r="F36" s="162">
        <f t="shared" ref="F36:K36" si="2">SUM(F21:F34)</f>
        <v>6373.4999999999991</v>
      </c>
      <c r="G36" s="162">
        <f t="shared" si="2"/>
        <v>85942.799999999974</v>
      </c>
      <c r="H36" s="162">
        <f t="shared" si="2"/>
        <v>522097.2</v>
      </c>
      <c r="I36" s="159">
        <f t="shared" si="2"/>
        <v>380034.55188000004</v>
      </c>
      <c r="J36" s="159">
        <f t="shared" si="2"/>
        <v>25396.5</v>
      </c>
      <c r="K36" s="159">
        <f t="shared" si="2"/>
        <v>876735.25188</v>
      </c>
    </row>
    <row r="37" spans="1:11" ht="18" customHeight="1" thickBot="1">
      <c r="B37" s="150"/>
      <c r="F37" s="163"/>
      <c r="G37" s="163"/>
      <c r="H37" s="164"/>
      <c r="I37" s="164"/>
      <c r="J37" s="164"/>
      <c r="K37" s="165"/>
    </row>
    <row r="38" spans="1:11" ht="42.75" customHeight="1">
      <c r="F38" s="153" t="s">
        <v>9</v>
      </c>
      <c r="G38" s="153" t="s">
        <v>37</v>
      </c>
      <c r="H38" s="153" t="s">
        <v>29</v>
      </c>
      <c r="I38" s="153" t="s">
        <v>30</v>
      </c>
      <c r="J38" s="153" t="s">
        <v>33</v>
      </c>
      <c r="K38" s="153" t="s">
        <v>34</v>
      </c>
    </row>
    <row r="39" spans="1:11" ht="18.75" customHeight="1">
      <c r="A39" s="154" t="s">
        <v>86</v>
      </c>
      <c r="B39" s="150" t="s">
        <v>49</v>
      </c>
    </row>
    <row r="40" spans="1:11" ht="18" customHeight="1">
      <c r="A40" s="151" t="s">
        <v>87</v>
      </c>
      <c r="B40" s="147" t="s">
        <v>31</v>
      </c>
      <c r="F40" s="156">
        <f>3919*0.3</f>
        <v>1175.7</v>
      </c>
      <c r="G40" s="156">
        <v>0</v>
      </c>
      <c r="H40" s="157">
        <f>205912*0.3</f>
        <v>61773.599999999999</v>
      </c>
      <c r="I40" s="158">
        <f>H40*F114</f>
        <v>44965.00344</v>
      </c>
      <c r="J40" s="157">
        <v>0</v>
      </c>
      <c r="K40" s="159">
        <f t="shared" ref="K40:K47" si="3">(H40+I40)-J40</f>
        <v>106738.60344000001</v>
      </c>
    </row>
    <row r="41" spans="1:11" ht="18" customHeight="1">
      <c r="A41" s="151" t="s">
        <v>88</v>
      </c>
      <c r="B41" s="904" t="s">
        <v>50</v>
      </c>
      <c r="C41" s="907"/>
      <c r="F41" s="156">
        <f>22005*0.3</f>
        <v>6601.5</v>
      </c>
      <c r="G41" s="156">
        <v>0</v>
      </c>
      <c r="H41" s="157">
        <f>842792*0.3</f>
        <v>252837.59999999998</v>
      </c>
      <c r="I41" s="158">
        <f>H41*F114</f>
        <v>184040.48903999999</v>
      </c>
      <c r="J41" s="157">
        <v>0</v>
      </c>
      <c r="K41" s="159">
        <f t="shared" si="3"/>
        <v>436878.08903999999</v>
      </c>
    </row>
    <row r="42" spans="1:11" ht="18" customHeight="1">
      <c r="A42" s="151" t="s">
        <v>89</v>
      </c>
      <c r="B42" s="155" t="s">
        <v>11</v>
      </c>
      <c r="F42" s="156">
        <f>40695*0.3</f>
        <v>12208.5</v>
      </c>
      <c r="G42" s="156">
        <f>70*0.3</f>
        <v>21</v>
      </c>
      <c r="H42" s="157">
        <f>1767947*0.3</f>
        <v>530384.1</v>
      </c>
      <c r="I42" s="158">
        <f>H42*F114</f>
        <v>386066.58638999995</v>
      </c>
      <c r="J42" s="157">
        <v>0</v>
      </c>
      <c r="K42" s="159">
        <f t="shared" si="3"/>
        <v>916450.68638999993</v>
      </c>
    </row>
    <row r="43" spans="1:11" ht="18" customHeight="1">
      <c r="A43" s="151" t="s">
        <v>90</v>
      </c>
      <c r="B43" s="166" t="s">
        <v>10</v>
      </c>
      <c r="C43" s="167"/>
      <c r="D43" s="167"/>
      <c r="F43" s="156"/>
      <c r="G43" s="156"/>
      <c r="H43" s="157"/>
      <c r="I43" s="158">
        <v>0</v>
      </c>
      <c r="J43" s="157"/>
      <c r="K43" s="159">
        <f t="shared" si="3"/>
        <v>0</v>
      </c>
    </row>
    <row r="44" spans="1:11" ht="18" customHeight="1">
      <c r="A44" s="151" t="s">
        <v>91</v>
      </c>
      <c r="B44" s="898" t="s">
        <v>748</v>
      </c>
      <c r="C44" s="899"/>
      <c r="D44" s="900"/>
      <c r="F44" s="168">
        <v>0</v>
      </c>
      <c r="G44" s="168">
        <v>0</v>
      </c>
      <c r="H44" s="157">
        <f>53719</f>
        <v>53719</v>
      </c>
      <c r="I44" s="169">
        <f>H44*F114</f>
        <v>39102.060100000002</v>
      </c>
      <c r="J44" s="168">
        <v>0</v>
      </c>
      <c r="K44" s="170">
        <f t="shared" si="3"/>
        <v>92821.060100000002</v>
      </c>
    </row>
    <row r="45" spans="1:11" ht="18" customHeight="1">
      <c r="A45" s="151" t="s">
        <v>139</v>
      </c>
      <c r="B45" s="898" t="s">
        <v>749</v>
      </c>
      <c r="C45" s="899"/>
      <c r="D45" s="900"/>
      <c r="F45" s="156">
        <v>0</v>
      </c>
      <c r="G45" s="156">
        <v>0</v>
      </c>
      <c r="H45" s="157">
        <v>53719</v>
      </c>
      <c r="I45" s="158">
        <f>H45*F114</f>
        <v>39102.060100000002</v>
      </c>
      <c r="J45" s="157">
        <v>0</v>
      </c>
      <c r="K45" s="159">
        <f t="shared" si="3"/>
        <v>92821.060100000002</v>
      </c>
    </row>
    <row r="46" spans="1:11" ht="18" customHeight="1">
      <c r="A46" s="151" t="s">
        <v>140</v>
      </c>
      <c r="B46" s="898"/>
      <c r="C46" s="899"/>
      <c r="D46" s="900"/>
      <c r="F46" s="156" t="s">
        <v>85</v>
      </c>
      <c r="G46" s="156"/>
      <c r="H46" s="157"/>
      <c r="I46" s="158">
        <v>0</v>
      </c>
      <c r="J46" s="157"/>
      <c r="K46" s="159">
        <f t="shared" si="3"/>
        <v>0</v>
      </c>
    </row>
    <row r="47" spans="1:11" ht="18" customHeight="1">
      <c r="A47" s="151" t="s">
        <v>141</v>
      </c>
      <c r="B47" s="898"/>
      <c r="C47" s="899"/>
      <c r="D47" s="900"/>
      <c r="F47" s="156"/>
      <c r="G47" s="156"/>
      <c r="H47" s="157"/>
      <c r="I47" s="158">
        <v>0</v>
      </c>
      <c r="J47" s="157"/>
      <c r="K47" s="159">
        <f t="shared" si="3"/>
        <v>0</v>
      </c>
    </row>
    <row r="49" spans="1:11" ht="18" customHeight="1">
      <c r="A49" s="154" t="s">
        <v>142</v>
      </c>
      <c r="B49" s="150" t="s">
        <v>143</v>
      </c>
      <c r="E49" s="150" t="s">
        <v>7</v>
      </c>
      <c r="F49" s="171">
        <f t="shared" ref="F49:K49" si="4">SUM(F40:F47)</f>
        <v>19985.7</v>
      </c>
      <c r="G49" s="171">
        <f t="shared" si="4"/>
        <v>21</v>
      </c>
      <c r="H49" s="159">
        <f t="shared" si="4"/>
        <v>952433.29999999993</v>
      </c>
      <c r="I49" s="159">
        <f t="shared" si="4"/>
        <v>693276.19906999997</v>
      </c>
      <c r="J49" s="159">
        <f t="shared" si="4"/>
        <v>0</v>
      </c>
      <c r="K49" s="159">
        <f t="shared" si="4"/>
        <v>1645709.4990699999</v>
      </c>
    </row>
    <row r="50" spans="1:11" ht="18" customHeight="1" thickBot="1">
      <c r="G50" s="172"/>
      <c r="H50" s="172"/>
      <c r="I50" s="172"/>
      <c r="J50" s="172"/>
      <c r="K50" s="172"/>
    </row>
    <row r="51" spans="1:11" ht="42.75" customHeight="1">
      <c r="F51" s="153" t="s">
        <v>9</v>
      </c>
      <c r="G51" s="153" t="s">
        <v>37</v>
      </c>
      <c r="H51" s="153" t="s">
        <v>29</v>
      </c>
      <c r="I51" s="153" t="s">
        <v>30</v>
      </c>
      <c r="J51" s="153" t="s">
        <v>33</v>
      </c>
      <c r="K51" s="153" t="s">
        <v>34</v>
      </c>
    </row>
    <row r="52" spans="1:11" ht="18" customHeight="1">
      <c r="A52" s="154" t="s">
        <v>92</v>
      </c>
      <c r="B52" s="905" t="s">
        <v>38</v>
      </c>
      <c r="C52" s="906"/>
    </row>
    <row r="53" spans="1:11" ht="18" customHeight="1">
      <c r="A53" s="151" t="s">
        <v>51</v>
      </c>
      <c r="B53" s="908" t="s">
        <v>750</v>
      </c>
      <c r="C53" s="909"/>
      <c r="D53" s="903"/>
      <c r="F53" s="156">
        <v>0</v>
      </c>
      <c r="G53" s="156">
        <v>0</v>
      </c>
      <c r="H53" s="157">
        <f>677704</f>
        <v>677704</v>
      </c>
      <c r="I53" s="158">
        <v>0</v>
      </c>
      <c r="J53" s="157"/>
      <c r="K53" s="159">
        <f t="shared" ref="K53:K62" si="5">(H53+I53)-J53</f>
        <v>677704</v>
      </c>
    </row>
    <row r="54" spans="1:11" ht="18" customHeight="1">
      <c r="A54" s="151" t="s">
        <v>93</v>
      </c>
      <c r="B54" s="396" t="s">
        <v>751</v>
      </c>
      <c r="C54" s="397"/>
      <c r="D54" s="392"/>
      <c r="F54" s="156">
        <v>0</v>
      </c>
      <c r="G54" s="156">
        <v>0</v>
      </c>
      <c r="H54" s="157">
        <f>448579</f>
        <v>448579</v>
      </c>
      <c r="I54" s="158">
        <v>0</v>
      </c>
      <c r="J54" s="157"/>
      <c r="K54" s="159">
        <f t="shared" si="5"/>
        <v>448579</v>
      </c>
    </row>
    <row r="55" spans="1:11" ht="18" customHeight="1">
      <c r="A55" s="151" t="s">
        <v>94</v>
      </c>
      <c r="B55" s="901"/>
      <c r="C55" s="902"/>
      <c r="D55" s="903"/>
      <c r="F55" s="156"/>
      <c r="G55" s="156"/>
      <c r="H55" s="157"/>
      <c r="I55" s="158">
        <v>0</v>
      </c>
      <c r="J55" s="157"/>
      <c r="K55" s="159">
        <f t="shared" si="5"/>
        <v>0</v>
      </c>
    </row>
    <row r="56" spans="1:11" ht="18" customHeight="1">
      <c r="A56" s="151" t="s">
        <v>95</v>
      </c>
      <c r="B56" s="901"/>
      <c r="C56" s="902"/>
      <c r="D56" s="903"/>
      <c r="F56" s="156"/>
      <c r="G56" s="156"/>
      <c r="H56" s="157"/>
      <c r="I56" s="158">
        <v>0</v>
      </c>
      <c r="J56" s="157"/>
      <c r="K56" s="159">
        <f t="shared" si="5"/>
        <v>0</v>
      </c>
    </row>
    <row r="57" spans="1:11" ht="18" customHeight="1">
      <c r="A57" s="151" t="s">
        <v>96</v>
      </c>
      <c r="B57" s="901"/>
      <c r="C57" s="902"/>
      <c r="D57" s="903"/>
      <c r="F57" s="156"/>
      <c r="G57" s="156"/>
      <c r="H57" s="157"/>
      <c r="I57" s="158">
        <v>0</v>
      </c>
      <c r="J57" s="157"/>
      <c r="K57" s="159">
        <f t="shared" si="5"/>
        <v>0</v>
      </c>
    </row>
    <row r="58" spans="1:11" ht="18" customHeight="1">
      <c r="A58" s="151" t="s">
        <v>97</v>
      </c>
      <c r="B58" s="396"/>
      <c r="C58" s="397"/>
      <c r="D58" s="392"/>
      <c r="F58" s="156"/>
      <c r="G58" s="156"/>
      <c r="H58" s="157"/>
      <c r="I58" s="158">
        <v>0</v>
      </c>
      <c r="J58" s="157"/>
      <c r="K58" s="159">
        <f t="shared" si="5"/>
        <v>0</v>
      </c>
    </row>
    <row r="59" spans="1:11" ht="18" customHeight="1">
      <c r="A59" s="151" t="s">
        <v>98</v>
      </c>
      <c r="B59" s="908" t="s">
        <v>515</v>
      </c>
      <c r="C59" s="909"/>
      <c r="D59" s="903"/>
      <c r="F59" s="156">
        <f>48*0.3</f>
        <v>14.399999999999999</v>
      </c>
      <c r="G59" s="156"/>
      <c r="H59" s="157">
        <f>746128*0.3</f>
        <v>223838.4</v>
      </c>
      <c r="I59" s="158">
        <v>0</v>
      </c>
      <c r="J59" s="157"/>
      <c r="K59" s="159">
        <f t="shared" si="5"/>
        <v>223838.4</v>
      </c>
    </row>
    <row r="60" spans="1:11" ht="18" customHeight="1">
      <c r="A60" s="151" t="s">
        <v>99</v>
      </c>
      <c r="B60" s="396"/>
      <c r="C60" s="397"/>
      <c r="D60" s="392"/>
      <c r="F60" s="156"/>
      <c r="G60" s="156"/>
      <c r="H60" s="157"/>
      <c r="I60" s="158">
        <v>0</v>
      </c>
      <c r="J60" s="157"/>
      <c r="K60" s="159">
        <f t="shared" si="5"/>
        <v>0</v>
      </c>
    </row>
    <row r="61" spans="1:11" ht="18" customHeight="1">
      <c r="A61" s="151" t="s">
        <v>100</v>
      </c>
      <c r="B61" s="396"/>
      <c r="C61" s="397"/>
      <c r="D61" s="392"/>
      <c r="F61" s="156"/>
      <c r="G61" s="156"/>
      <c r="H61" s="157"/>
      <c r="I61" s="158">
        <v>0</v>
      </c>
      <c r="J61" s="157"/>
      <c r="K61" s="159">
        <f t="shared" si="5"/>
        <v>0</v>
      </c>
    </row>
    <row r="62" spans="1:11" ht="18" customHeight="1">
      <c r="A62" s="151" t="s">
        <v>101</v>
      </c>
      <c r="B62" s="901"/>
      <c r="C62" s="902"/>
      <c r="D62" s="903"/>
      <c r="F62" s="156"/>
      <c r="G62" s="156"/>
      <c r="H62" s="157"/>
      <c r="I62" s="158">
        <v>0</v>
      </c>
      <c r="J62" s="157"/>
      <c r="K62" s="159">
        <f t="shared" si="5"/>
        <v>0</v>
      </c>
    </row>
    <row r="63" spans="1:11" ht="18" customHeight="1">
      <c r="A63" s="151"/>
      <c r="I63" s="173"/>
    </row>
    <row r="64" spans="1:11" ht="18" customHeight="1">
      <c r="A64" s="151" t="s">
        <v>144</v>
      </c>
      <c r="B64" s="150" t="s">
        <v>145</v>
      </c>
      <c r="E64" s="150" t="s">
        <v>7</v>
      </c>
      <c r="F64" s="162">
        <f t="shared" ref="F64:K64" si="6">SUM(F53:F62)</f>
        <v>14.399999999999999</v>
      </c>
      <c r="G64" s="162">
        <f t="shared" si="6"/>
        <v>0</v>
      </c>
      <c r="H64" s="159">
        <f t="shared" si="6"/>
        <v>1350121.4</v>
      </c>
      <c r="I64" s="159">
        <f t="shared" si="6"/>
        <v>0</v>
      </c>
      <c r="J64" s="159">
        <f t="shared" si="6"/>
        <v>0</v>
      </c>
      <c r="K64" s="159">
        <f t="shared" si="6"/>
        <v>1350121.4</v>
      </c>
    </row>
    <row r="65" spans="1:11" ht="18" customHeight="1">
      <c r="F65" s="174"/>
      <c r="G65" s="174"/>
      <c r="H65" s="174"/>
      <c r="I65" s="174"/>
      <c r="J65" s="174"/>
      <c r="K65" s="174"/>
    </row>
    <row r="66" spans="1:11" ht="42.75" customHeight="1">
      <c r="F66" s="175" t="s">
        <v>9</v>
      </c>
      <c r="G66" s="175" t="s">
        <v>37</v>
      </c>
      <c r="H66" s="175" t="s">
        <v>29</v>
      </c>
      <c r="I66" s="175" t="s">
        <v>30</v>
      </c>
      <c r="J66" s="175" t="s">
        <v>33</v>
      </c>
      <c r="K66" s="175" t="s">
        <v>34</v>
      </c>
    </row>
    <row r="67" spans="1:11" ht="18" customHeight="1">
      <c r="A67" s="154" t="s">
        <v>102</v>
      </c>
      <c r="B67" s="150" t="s">
        <v>12</v>
      </c>
      <c r="F67" s="176"/>
      <c r="G67" s="176"/>
      <c r="H67" s="176"/>
      <c r="I67" s="177"/>
      <c r="J67" s="176"/>
      <c r="K67" s="178"/>
    </row>
    <row r="68" spans="1:11" ht="18" customHeight="1">
      <c r="A68" s="151" t="s">
        <v>103</v>
      </c>
      <c r="B68" s="147" t="s">
        <v>52</v>
      </c>
      <c r="F68" s="156">
        <f>11026*0.3</f>
        <v>3307.7999999999997</v>
      </c>
      <c r="G68" s="156">
        <f>42*0.3</f>
        <v>12.6</v>
      </c>
      <c r="H68" s="157">
        <f>437634*0.3</f>
        <v>131290.19999999998</v>
      </c>
      <c r="I68" s="158">
        <f>H68*F114</f>
        <v>95566.136579999991</v>
      </c>
      <c r="J68" s="179">
        <v>0</v>
      </c>
      <c r="K68" s="159">
        <f>(H68+I68)-J68</f>
        <v>226856.33657999997</v>
      </c>
    </row>
    <row r="69" spans="1:11" ht="18" customHeight="1">
      <c r="A69" s="151" t="s">
        <v>104</v>
      </c>
      <c r="B69" s="155" t="s">
        <v>53</v>
      </c>
      <c r="F69" s="179"/>
      <c r="G69" s="179"/>
      <c r="H69" s="179"/>
      <c r="I69" s="158">
        <v>0</v>
      </c>
      <c r="J69" s="179"/>
      <c r="K69" s="159">
        <f>(H69+I69)-J69</f>
        <v>0</v>
      </c>
    </row>
    <row r="70" spans="1:11" ht="18" customHeight="1">
      <c r="A70" s="151" t="s">
        <v>178</v>
      </c>
      <c r="B70" s="396"/>
      <c r="C70" s="397"/>
      <c r="D70" s="392"/>
      <c r="E70" s="150"/>
      <c r="F70" s="180"/>
      <c r="G70" s="180"/>
      <c r="H70" s="181"/>
      <c r="I70" s="158">
        <v>0</v>
      </c>
      <c r="J70" s="181"/>
      <c r="K70" s="159">
        <f>(H70+I70)-J70</f>
        <v>0</v>
      </c>
    </row>
    <row r="71" spans="1:11" ht="18" customHeight="1">
      <c r="A71" s="151" t="s">
        <v>179</v>
      </c>
      <c r="B71" s="396"/>
      <c r="C71" s="397"/>
      <c r="D71" s="392"/>
      <c r="E71" s="150"/>
      <c r="F71" s="180"/>
      <c r="G71" s="180"/>
      <c r="H71" s="181"/>
      <c r="I71" s="158">
        <v>0</v>
      </c>
      <c r="J71" s="181"/>
      <c r="K71" s="159">
        <f>(H71+I71)-J71</f>
        <v>0</v>
      </c>
    </row>
    <row r="72" spans="1:11" ht="18" customHeight="1">
      <c r="A72" s="151" t="s">
        <v>180</v>
      </c>
      <c r="B72" s="390"/>
      <c r="C72" s="391"/>
      <c r="D72" s="182"/>
      <c r="E72" s="150"/>
      <c r="F72" s="156"/>
      <c r="G72" s="156"/>
      <c r="H72" s="157"/>
      <c r="I72" s="158">
        <v>0</v>
      </c>
      <c r="J72" s="157"/>
      <c r="K72" s="159">
        <f>(H72+I72)-J72</f>
        <v>0</v>
      </c>
    </row>
    <row r="73" spans="1:11" ht="18" customHeight="1">
      <c r="A73" s="151"/>
      <c r="B73" s="155"/>
      <c r="E73" s="150"/>
      <c r="F73" s="183"/>
      <c r="G73" s="183"/>
      <c r="H73" s="184"/>
      <c r="I73" s="177"/>
      <c r="J73" s="184"/>
      <c r="K73" s="178"/>
    </row>
    <row r="74" spans="1:11" ht="18" customHeight="1">
      <c r="A74" s="154" t="s">
        <v>146</v>
      </c>
      <c r="B74" s="150" t="s">
        <v>147</v>
      </c>
      <c r="E74" s="150" t="s">
        <v>7</v>
      </c>
      <c r="F74" s="185">
        <f t="shared" ref="F74:K74" si="7">SUM(F68:F72)</f>
        <v>3307.7999999999997</v>
      </c>
      <c r="G74" s="185">
        <f t="shared" si="7"/>
        <v>12.6</v>
      </c>
      <c r="H74" s="185">
        <f t="shared" si="7"/>
        <v>131290.19999999998</v>
      </c>
      <c r="I74" s="186">
        <f t="shared" si="7"/>
        <v>95566.136579999991</v>
      </c>
      <c r="J74" s="185">
        <f t="shared" si="7"/>
        <v>0</v>
      </c>
      <c r="K74" s="187">
        <f t="shared" si="7"/>
        <v>226856.33657999997</v>
      </c>
    </row>
    <row r="75" spans="1:11" ht="42.75" customHeight="1">
      <c r="F75" s="153" t="s">
        <v>9</v>
      </c>
      <c r="G75" s="153" t="s">
        <v>37</v>
      </c>
      <c r="H75" s="153" t="s">
        <v>29</v>
      </c>
      <c r="I75" s="153" t="s">
        <v>30</v>
      </c>
      <c r="J75" s="153" t="s">
        <v>33</v>
      </c>
      <c r="K75" s="153" t="s">
        <v>34</v>
      </c>
    </row>
    <row r="76" spans="1:11" ht="18" customHeight="1">
      <c r="A76" s="154" t="s">
        <v>105</v>
      </c>
      <c r="B76" s="150" t="s">
        <v>106</v>
      </c>
    </row>
    <row r="77" spans="1:11" ht="18" customHeight="1">
      <c r="A77" s="151" t="s">
        <v>107</v>
      </c>
      <c r="B77" s="155" t="s">
        <v>54</v>
      </c>
      <c r="F77" s="156">
        <f>27*0.3</f>
        <v>8.1</v>
      </c>
      <c r="G77" s="156">
        <f>0</f>
        <v>0</v>
      </c>
      <c r="H77" s="157">
        <f>20114*0.3</f>
        <v>6034.2</v>
      </c>
      <c r="I77" s="158">
        <v>0</v>
      </c>
      <c r="J77" s="157">
        <v>0</v>
      </c>
      <c r="K77" s="159">
        <f>(H77+I77)-J77</f>
        <v>6034.2</v>
      </c>
    </row>
    <row r="78" spans="1:11" ht="18" customHeight="1">
      <c r="A78" s="151" t="s">
        <v>108</v>
      </c>
      <c r="B78" s="155" t="s">
        <v>55</v>
      </c>
      <c r="F78" s="156"/>
      <c r="G78" s="156"/>
      <c r="H78" s="157"/>
      <c r="I78" s="158">
        <v>0</v>
      </c>
      <c r="J78" s="157"/>
      <c r="K78" s="159">
        <f>(H78+I78)-J78</f>
        <v>0</v>
      </c>
    </row>
    <row r="79" spans="1:11" ht="18" customHeight="1">
      <c r="A79" s="151" t="s">
        <v>109</v>
      </c>
      <c r="B79" s="155" t="s">
        <v>13</v>
      </c>
      <c r="F79" s="156">
        <f>1163.2*0.3</f>
        <v>348.96</v>
      </c>
      <c r="G79" s="156">
        <f>1459*0.3</f>
        <v>437.7</v>
      </c>
      <c r="H79" s="157">
        <f>105603*0.3</f>
        <v>31680.899999999998</v>
      </c>
      <c r="I79" s="158">
        <v>0</v>
      </c>
      <c r="J79" s="157">
        <f>1490*0.3</f>
        <v>447</v>
      </c>
      <c r="K79" s="159">
        <f>(H79+I79)-J79</f>
        <v>31233.899999999998</v>
      </c>
    </row>
    <row r="80" spans="1:11" ht="18" customHeight="1">
      <c r="A80" s="151" t="s">
        <v>110</v>
      </c>
      <c r="B80" s="155" t="s">
        <v>56</v>
      </c>
      <c r="F80" s="156"/>
      <c r="G80" s="156"/>
      <c r="H80" s="157"/>
      <c r="I80" s="158">
        <v>0</v>
      </c>
      <c r="J80" s="157"/>
      <c r="K80" s="159">
        <f>(H80+I80)-J80</f>
        <v>0</v>
      </c>
    </row>
    <row r="81" spans="1:11" ht="18" customHeight="1">
      <c r="A81" s="151"/>
      <c r="K81" s="188"/>
    </row>
    <row r="82" spans="1:11" ht="18" customHeight="1">
      <c r="A82" s="151" t="s">
        <v>148</v>
      </c>
      <c r="B82" s="150" t="s">
        <v>149</v>
      </c>
      <c r="E82" s="150" t="s">
        <v>7</v>
      </c>
      <c r="F82" s="185">
        <f t="shared" ref="F82:K82" si="8">SUM(F77:F80)</f>
        <v>357.06</v>
      </c>
      <c r="G82" s="185">
        <f t="shared" si="8"/>
        <v>437.7</v>
      </c>
      <c r="H82" s="187">
        <f t="shared" si="8"/>
        <v>37715.1</v>
      </c>
      <c r="I82" s="187">
        <f t="shared" si="8"/>
        <v>0</v>
      </c>
      <c r="J82" s="187">
        <f t="shared" si="8"/>
        <v>447</v>
      </c>
      <c r="K82" s="187">
        <f t="shared" si="8"/>
        <v>37268.1</v>
      </c>
    </row>
    <row r="83" spans="1:11" ht="18" customHeight="1" thickBot="1">
      <c r="A83" s="151"/>
      <c r="F83" s="172"/>
      <c r="G83" s="172"/>
      <c r="H83" s="172"/>
      <c r="I83" s="172"/>
      <c r="J83" s="172"/>
      <c r="K83" s="172"/>
    </row>
    <row r="84" spans="1:11" ht="42.75" customHeight="1">
      <c r="F84" s="153" t="s">
        <v>9</v>
      </c>
      <c r="G84" s="153" t="s">
        <v>37</v>
      </c>
      <c r="H84" s="153" t="s">
        <v>29</v>
      </c>
      <c r="I84" s="153" t="s">
        <v>30</v>
      </c>
      <c r="J84" s="153" t="s">
        <v>33</v>
      </c>
      <c r="K84" s="153" t="s">
        <v>34</v>
      </c>
    </row>
    <row r="85" spans="1:11" ht="18" customHeight="1">
      <c r="A85" s="154" t="s">
        <v>111</v>
      </c>
      <c r="B85" s="150" t="s">
        <v>57</v>
      </c>
    </row>
    <row r="86" spans="1:11" ht="18" customHeight="1">
      <c r="A86" s="151" t="s">
        <v>112</v>
      </c>
      <c r="B86" s="155" t="s">
        <v>113</v>
      </c>
      <c r="F86" s="156">
        <v>0</v>
      </c>
      <c r="G86" s="156">
        <v>0</v>
      </c>
      <c r="H86" s="157">
        <v>0</v>
      </c>
      <c r="I86" s="158">
        <f t="shared" ref="I86:I96" si="9">H86*F$114</f>
        <v>0</v>
      </c>
      <c r="J86" s="157">
        <v>0</v>
      </c>
      <c r="K86" s="159">
        <f t="shared" ref="K86:K96" si="10">(H86+I86)-J86</f>
        <v>0</v>
      </c>
    </row>
    <row r="87" spans="1:11" ht="18" customHeight="1">
      <c r="A87" s="151" t="s">
        <v>114</v>
      </c>
      <c r="B87" s="155" t="s">
        <v>14</v>
      </c>
      <c r="F87" s="156">
        <f>24*0.3</f>
        <v>7.1999999999999993</v>
      </c>
      <c r="G87" s="156">
        <v>0</v>
      </c>
      <c r="H87" s="157">
        <f>1514*0.3</f>
        <v>454.2</v>
      </c>
      <c r="I87" s="158">
        <f t="shared" si="9"/>
        <v>330.61217999999997</v>
      </c>
      <c r="J87" s="157">
        <v>0</v>
      </c>
      <c r="K87" s="159">
        <f t="shared" si="10"/>
        <v>784.8121799999999</v>
      </c>
    </row>
    <row r="88" spans="1:11" ht="18" customHeight="1">
      <c r="A88" s="151" t="s">
        <v>115</v>
      </c>
      <c r="B88" s="155" t="s">
        <v>116</v>
      </c>
      <c r="F88" s="156">
        <f>19*0.3</f>
        <v>5.7</v>
      </c>
      <c r="G88" s="156">
        <v>0</v>
      </c>
      <c r="H88" s="157">
        <f>63537*0.3</f>
        <v>19061.099999999999</v>
      </c>
      <c r="I88" s="158">
        <f t="shared" si="9"/>
        <v>13874.574689999999</v>
      </c>
      <c r="J88" s="157">
        <f>9000*0.3</f>
        <v>2700</v>
      </c>
      <c r="K88" s="159">
        <f t="shared" si="10"/>
        <v>30235.67469</v>
      </c>
    </row>
    <row r="89" spans="1:11" ht="18" customHeight="1">
      <c r="A89" s="151" t="s">
        <v>117</v>
      </c>
      <c r="B89" s="155" t="s">
        <v>58</v>
      </c>
      <c r="F89" s="156">
        <f>160*0.3</f>
        <v>48</v>
      </c>
      <c r="G89" s="156">
        <v>0</v>
      </c>
      <c r="H89" s="157">
        <f>11838*0.3</f>
        <v>3551.4</v>
      </c>
      <c r="I89" s="158">
        <f t="shared" si="9"/>
        <v>2585.0640600000002</v>
      </c>
      <c r="J89" s="157">
        <f>0</f>
        <v>0</v>
      </c>
      <c r="K89" s="159">
        <f t="shared" si="10"/>
        <v>6136.4640600000002</v>
      </c>
    </row>
    <row r="90" spans="1:11" ht="18" customHeight="1">
      <c r="A90" s="151" t="s">
        <v>118</v>
      </c>
      <c r="B90" s="904" t="s">
        <v>59</v>
      </c>
      <c r="C90" s="907"/>
      <c r="F90" s="156">
        <f>24.5*0.3</f>
        <v>7.35</v>
      </c>
      <c r="G90" s="156">
        <f>400*0.3</f>
        <v>120</v>
      </c>
      <c r="H90" s="157">
        <f>2343*0.3</f>
        <v>702.9</v>
      </c>
      <c r="I90" s="158">
        <f t="shared" si="9"/>
        <v>511.64090999999996</v>
      </c>
      <c r="J90" s="157">
        <f>0</f>
        <v>0</v>
      </c>
      <c r="K90" s="159">
        <f t="shared" si="10"/>
        <v>1214.5409099999999</v>
      </c>
    </row>
    <row r="91" spans="1:11" ht="18" customHeight="1">
      <c r="A91" s="151" t="s">
        <v>119</v>
      </c>
      <c r="B91" s="155" t="s">
        <v>60</v>
      </c>
      <c r="F91" s="156">
        <f>365.5*0.3</f>
        <v>109.64999999999999</v>
      </c>
      <c r="G91" s="156">
        <v>0</v>
      </c>
      <c r="H91" s="157">
        <f>22882*0.3</f>
        <v>6864.5999999999995</v>
      </c>
      <c r="I91" s="158">
        <f t="shared" si="9"/>
        <v>4996.7423399999998</v>
      </c>
      <c r="J91" s="157">
        <v>0</v>
      </c>
      <c r="K91" s="159">
        <f t="shared" si="10"/>
        <v>11861.342339999999</v>
      </c>
    </row>
    <row r="92" spans="1:11" ht="18" customHeight="1">
      <c r="A92" s="151" t="s">
        <v>120</v>
      </c>
      <c r="B92" s="155" t="s">
        <v>121</v>
      </c>
      <c r="F92" s="189"/>
      <c r="G92" s="189"/>
      <c r="H92" s="190"/>
      <c r="I92" s="158">
        <f t="shared" si="9"/>
        <v>0</v>
      </c>
      <c r="J92" s="190"/>
      <c r="K92" s="159">
        <f t="shared" si="10"/>
        <v>0</v>
      </c>
    </row>
    <row r="93" spans="1:11" ht="18" customHeight="1">
      <c r="A93" s="151" t="s">
        <v>122</v>
      </c>
      <c r="B93" s="155" t="s">
        <v>123</v>
      </c>
      <c r="F93" s="156">
        <f>191.5*0.3</f>
        <v>57.449999999999996</v>
      </c>
      <c r="G93" s="156">
        <f>100*0.3</f>
        <v>30</v>
      </c>
      <c r="H93" s="157">
        <f>8275*0.3</f>
        <v>2482.5</v>
      </c>
      <c r="I93" s="158">
        <f t="shared" si="9"/>
        <v>1807.0117499999999</v>
      </c>
      <c r="J93" s="157">
        <v>0</v>
      </c>
      <c r="K93" s="159">
        <f t="shared" si="10"/>
        <v>4289.5117499999997</v>
      </c>
    </row>
    <row r="94" spans="1:11" ht="18" customHeight="1">
      <c r="A94" s="151" t="s">
        <v>124</v>
      </c>
      <c r="B94" s="901"/>
      <c r="C94" s="902"/>
      <c r="D94" s="903"/>
      <c r="F94" s="156"/>
      <c r="G94" s="156"/>
      <c r="H94" s="157"/>
      <c r="I94" s="158">
        <f t="shared" si="9"/>
        <v>0</v>
      </c>
      <c r="J94" s="157"/>
      <c r="K94" s="159">
        <f t="shared" si="10"/>
        <v>0</v>
      </c>
    </row>
    <row r="95" spans="1:11" ht="18" customHeight="1">
      <c r="A95" s="151" t="s">
        <v>125</v>
      </c>
      <c r="B95" s="901"/>
      <c r="C95" s="902"/>
      <c r="D95" s="903"/>
      <c r="F95" s="156"/>
      <c r="G95" s="156"/>
      <c r="H95" s="157"/>
      <c r="I95" s="158">
        <f t="shared" si="9"/>
        <v>0</v>
      </c>
      <c r="J95" s="157"/>
      <c r="K95" s="159">
        <f t="shared" si="10"/>
        <v>0</v>
      </c>
    </row>
    <row r="96" spans="1:11" ht="18" customHeight="1">
      <c r="A96" s="151" t="s">
        <v>126</v>
      </c>
      <c r="B96" s="901"/>
      <c r="C96" s="902"/>
      <c r="D96" s="903"/>
      <c r="F96" s="156"/>
      <c r="G96" s="156"/>
      <c r="H96" s="157"/>
      <c r="I96" s="158">
        <f t="shared" si="9"/>
        <v>0</v>
      </c>
      <c r="J96" s="157"/>
      <c r="K96" s="159">
        <f t="shared" si="10"/>
        <v>0</v>
      </c>
    </row>
    <row r="97" spans="1:11" ht="18" customHeight="1">
      <c r="A97" s="151"/>
      <c r="B97" s="155"/>
    </row>
    <row r="98" spans="1:11" ht="18" customHeight="1">
      <c r="A98" s="154" t="s">
        <v>150</v>
      </c>
      <c r="B98" s="150" t="s">
        <v>151</v>
      </c>
      <c r="E98" s="150" t="s">
        <v>7</v>
      </c>
      <c r="F98" s="162">
        <f t="shared" ref="F98:K98" si="11">SUM(F86:F96)</f>
        <v>235.34999999999997</v>
      </c>
      <c r="G98" s="162">
        <f t="shared" si="11"/>
        <v>150</v>
      </c>
      <c r="H98" s="162">
        <f t="shared" si="11"/>
        <v>33116.699999999997</v>
      </c>
      <c r="I98" s="162">
        <f t="shared" si="11"/>
        <v>24105.645929999999</v>
      </c>
      <c r="J98" s="162">
        <f t="shared" si="11"/>
        <v>2700</v>
      </c>
      <c r="K98" s="162">
        <f t="shared" si="11"/>
        <v>54522.345930000003</v>
      </c>
    </row>
    <row r="99" spans="1:11" ht="18" customHeight="1" thickBot="1">
      <c r="B99" s="150"/>
      <c r="F99" s="172"/>
      <c r="G99" s="172"/>
      <c r="H99" s="172"/>
      <c r="I99" s="172"/>
      <c r="J99" s="172"/>
      <c r="K99" s="172"/>
    </row>
    <row r="100" spans="1:11" ht="42.75" customHeight="1">
      <c r="F100" s="153" t="s">
        <v>9</v>
      </c>
      <c r="G100" s="153" t="s">
        <v>37</v>
      </c>
      <c r="H100" s="153" t="s">
        <v>29</v>
      </c>
      <c r="I100" s="153" t="s">
        <v>30</v>
      </c>
      <c r="J100" s="153" t="s">
        <v>33</v>
      </c>
      <c r="K100" s="153" t="s">
        <v>34</v>
      </c>
    </row>
    <row r="101" spans="1:11" ht="18" customHeight="1">
      <c r="A101" s="154" t="s">
        <v>130</v>
      </c>
      <c r="B101" s="150" t="s">
        <v>63</v>
      </c>
    </row>
    <row r="102" spans="1:11" ht="18" customHeight="1">
      <c r="A102" s="151" t="s">
        <v>131</v>
      </c>
      <c r="B102" s="155" t="s">
        <v>152</v>
      </c>
      <c r="F102" s="156">
        <f>2044*0.3</f>
        <v>613.19999999999993</v>
      </c>
      <c r="G102" s="156">
        <v>0</v>
      </c>
      <c r="H102" s="157">
        <f>75189*0.3</f>
        <v>22556.7</v>
      </c>
      <c r="I102" s="158">
        <f>H102*F$114</f>
        <v>16419.021929999999</v>
      </c>
      <c r="J102" s="157">
        <v>0</v>
      </c>
      <c r="K102" s="159">
        <f>(H102+I102)-J102</f>
        <v>38975.72193</v>
      </c>
    </row>
    <row r="103" spans="1:11" ht="18" customHeight="1">
      <c r="A103" s="151" t="s">
        <v>132</v>
      </c>
      <c r="B103" s="904" t="s">
        <v>62</v>
      </c>
      <c r="C103" s="904"/>
      <c r="F103" s="156">
        <v>0</v>
      </c>
      <c r="G103" s="156">
        <v>0</v>
      </c>
      <c r="H103" s="157">
        <f>26426*0.3</f>
        <v>7927.7999999999993</v>
      </c>
      <c r="I103" s="158">
        <f>H103*F$114</f>
        <v>5770.6456199999993</v>
      </c>
      <c r="J103" s="157">
        <v>0</v>
      </c>
      <c r="K103" s="159">
        <f>(H103+I103)-J103</f>
        <v>13698.445619999999</v>
      </c>
    </row>
    <row r="104" spans="1:11" ht="18" customHeight="1">
      <c r="A104" s="151" t="s">
        <v>128</v>
      </c>
      <c r="B104" s="901"/>
      <c r="C104" s="902"/>
      <c r="D104" s="903"/>
      <c r="F104" s="156"/>
      <c r="G104" s="156"/>
      <c r="H104" s="157"/>
      <c r="I104" s="158">
        <f>H104*F$114</f>
        <v>0</v>
      </c>
      <c r="J104" s="157"/>
      <c r="K104" s="159">
        <f>(H104+I104)-J104</f>
        <v>0</v>
      </c>
    </row>
    <row r="105" spans="1:11" ht="18" customHeight="1">
      <c r="A105" s="151" t="s">
        <v>127</v>
      </c>
      <c r="B105" s="901"/>
      <c r="C105" s="902"/>
      <c r="D105" s="903"/>
      <c r="F105" s="156"/>
      <c r="G105" s="156"/>
      <c r="H105" s="157"/>
      <c r="I105" s="158">
        <f>H105*F$114</f>
        <v>0</v>
      </c>
      <c r="J105" s="157"/>
      <c r="K105" s="159">
        <f>(H105+I105)-J105</f>
        <v>0</v>
      </c>
    </row>
    <row r="106" spans="1:11" ht="18" customHeight="1">
      <c r="A106" s="151" t="s">
        <v>129</v>
      </c>
      <c r="B106" s="901"/>
      <c r="C106" s="902"/>
      <c r="D106" s="903"/>
      <c r="F106" s="156"/>
      <c r="G106" s="156"/>
      <c r="H106" s="157"/>
      <c r="I106" s="158">
        <f>H106*F$114</f>
        <v>0</v>
      </c>
      <c r="J106" s="157"/>
      <c r="K106" s="159">
        <f>(H106+I106)-J106</f>
        <v>0</v>
      </c>
    </row>
    <row r="107" spans="1:11" ht="18" customHeight="1">
      <c r="B107" s="150"/>
    </row>
    <row r="108" spans="1:11" s="167" customFormat="1" ht="18" customHeight="1">
      <c r="A108" s="154" t="s">
        <v>153</v>
      </c>
      <c r="B108" s="191" t="s">
        <v>154</v>
      </c>
      <c r="C108" s="147"/>
      <c r="D108" s="147"/>
      <c r="E108" s="150" t="s">
        <v>7</v>
      </c>
      <c r="F108" s="162">
        <f t="shared" ref="F108:K108" si="12">SUM(F102:F106)</f>
        <v>613.19999999999993</v>
      </c>
      <c r="G108" s="162">
        <f t="shared" si="12"/>
        <v>0</v>
      </c>
      <c r="H108" s="159">
        <f t="shared" si="12"/>
        <v>30484.5</v>
      </c>
      <c r="I108" s="159">
        <f t="shared" si="12"/>
        <v>22189.667549999998</v>
      </c>
      <c r="J108" s="159">
        <f t="shared" si="12"/>
        <v>0</v>
      </c>
      <c r="K108" s="159">
        <f t="shared" si="12"/>
        <v>52674.167549999998</v>
      </c>
    </row>
    <row r="109" spans="1:11" s="167" customFormat="1" ht="18" customHeight="1" thickBot="1">
      <c r="A109" s="192"/>
      <c r="B109" s="193"/>
      <c r="C109" s="194"/>
      <c r="D109" s="194"/>
      <c r="E109" s="194"/>
      <c r="F109" s="172"/>
      <c r="G109" s="172"/>
      <c r="H109" s="172"/>
      <c r="I109" s="172"/>
      <c r="J109" s="172"/>
      <c r="K109" s="172"/>
    </row>
    <row r="110" spans="1:11" s="167" customFormat="1" ht="18" customHeight="1">
      <c r="A110" s="154" t="s">
        <v>156</v>
      </c>
      <c r="B110" s="150" t="s">
        <v>39</v>
      </c>
      <c r="C110" s="147"/>
      <c r="D110" s="147"/>
      <c r="E110" s="147"/>
      <c r="F110" s="147"/>
      <c r="G110" s="147"/>
      <c r="H110" s="147"/>
      <c r="I110" s="147"/>
      <c r="J110" s="147"/>
      <c r="K110" s="147"/>
    </row>
    <row r="111" spans="1:11" ht="18" customHeight="1">
      <c r="A111" s="154" t="s">
        <v>155</v>
      </c>
      <c r="B111" s="150" t="s">
        <v>164</v>
      </c>
      <c r="E111" s="150" t="s">
        <v>7</v>
      </c>
      <c r="F111" s="157">
        <v>3080091</v>
      </c>
    </row>
    <row r="112" spans="1:11" ht="18" customHeight="1">
      <c r="B112" s="150"/>
      <c r="E112" s="150"/>
      <c r="F112" s="195"/>
    </row>
    <row r="113" spans="1:6" ht="18" customHeight="1">
      <c r="A113" s="154"/>
      <c r="B113" s="150" t="s">
        <v>15</v>
      </c>
    </row>
    <row r="114" spans="1:6" ht="18" customHeight="1">
      <c r="A114" s="151" t="s">
        <v>171</v>
      </c>
      <c r="B114" s="155" t="s">
        <v>35</v>
      </c>
      <c r="F114" s="196">
        <v>0.72789999999999999</v>
      </c>
    </row>
    <row r="115" spans="1:6" ht="18" customHeight="1">
      <c r="A115" s="151"/>
      <c r="B115" s="150"/>
    </row>
    <row r="116" spans="1:6" ht="18" customHeight="1">
      <c r="A116" s="151" t="s">
        <v>170</v>
      </c>
      <c r="B116" s="150" t="s">
        <v>16</v>
      </c>
    </row>
    <row r="117" spans="1:6" ht="18" customHeight="1">
      <c r="A117" s="151" t="s">
        <v>172</v>
      </c>
      <c r="B117" s="155" t="s">
        <v>17</v>
      </c>
      <c r="F117" s="157">
        <f>86781000</f>
        <v>86781000</v>
      </c>
    </row>
    <row r="118" spans="1:6" ht="18" customHeight="1">
      <c r="A118" s="151" t="s">
        <v>173</v>
      </c>
      <c r="B118" s="147" t="s">
        <v>18</v>
      </c>
      <c r="F118" s="157">
        <f>2115700</f>
        <v>2115700</v>
      </c>
    </row>
    <row r="119" spans="1:6" ht="18" customHeight="1">
      <c r="A119" s="151" t="s">
        <v>174</v>
      </c>
      <c r="B119" s="150" t="s">
        <v>19</v>
      </c>
      <c r="F119" s="187">
        <f>SUM(F117:F118)</f>
        <v>88896700</v>
      </c>
    </row>
    <row r="120" spans="1:6" ht="18" customHeight="1">
      <c r="A120" s="151"/>
      <c r="B120" s="150"/>
    </row>
    <row r="121" spans="1:6" ht="18" customHeight="1">
      <c r="A121" s="151" t="s">
        <v>167</v>
      </c>
      <c r="B121" s="150" t="s">
        <v>36</v>
      </c>
      <c r="F121" s="157">
        <f>79992100</f>
        <v>79992100</v>
      </c>
    </row>
    <row r="122" spans="1:6" ht="18" customHeight="1">
      <c r="A122" s="151"/>
    </row>
    <row r="123" spans="1:6" ht="18" customHeight="1">
      <c r="A123" s="151" t="s">
        <v>175</v>
      </c>
      <c r="B123" s="150" t="s">
        <v>20</v>
      </c>
      <c r="F123" s="157">
        <f>8904600</f>
        <v>8904600</v>
      </c>
    </row>
    <row r="124" spans="1:6" ht="18" customHeight="1">
      <c r="A124" s="151"/>
    </row>
    <row r="125" spans="1:6" ht="18" customHeight="1">
      <c r="A125" s="151" t="s">
        <v>176</v>
      </c>
      <c r="B125" s="150" t="s">
        <v>21</v>
      </c>
      <c r="F125" s="157">
        <f>501000</f>
        <v>501000</v>
      </c>
    </row>
    <row r="126" spans="1:6" ht="18" customHeight="1">
      <c r="A126" s="151"/>
    </row>
    <row r="127" spans="1:6" ht="18" customHeight="1">
      <c r="A127" s="151" t="s">
        <v>177</v>
      </c>
      <c r="B127" s="150" t="s">
        <v>22</v>
      </c>
      <c r="F127" s="157">
        <f>9405600</f>
        <v>9405600</v>
      </c>
    </row>
    <row r="128" spans="1:6" ht="18" customHeight="1">
      <c r="A128" s="151"/>
    </row>
    <row r="129" spans="1:11" ht="42.75" customHeight="1">
      <c r="F129" s="153" t="s">
        <v>9</v>
      </c>
      <c r="G129" s="153" t="s">
        <v>37</v>
      </c>
      <c r="H129" s="153" t="s">
        <v>29</v>
      </c>
      <c r="I129" s="153" t="s">
        <v>30</v>
      </c>
      <c r="J129" s="153" t="s">
        <v>33</v>
      </c>
      <c r="K129" s="153" t="s">
        <v>34</v>
      </c>
    </row>
    <row r="130" spans="1:11" ht="18" customHeight="1">
      <c r="A130" s="154" t="s">
        <v>157</v>
      </c>
      <c r="B130" s="150" t="s">
        <v>23</v>
      </c>
    </row>
    <row r="131" spans="1:11" ht="18" customHeight="1">
      <c r="A131" s="151" t="s">
        <v>158</v>
      </c>
      <c r="B131" s="147" t="s">
        <v>24</v>
      </c>
      <c r="F131" s="156"/>
      <c r="G131" s="156"/>
      <c r="H131" s="157"/>
      <c r="I131" s="158">
        <v>0</v>
      </c>
      <c r="J131" s="157"/>
      <c r="K131" s="159">
        <f>(H131+I131)-J131</f>
        <v>0</v>
      </c>
    </row>
    <row r="132" spans="1:11" ht="18" customHeight="1">
      <c r="A132" s="151" t="s">
        <v>159</v>
      </c>
      <c r="B132" s="147" t="s">
        <v>25</v>
      </c>
      <c r="F132" s="156"/>
      <c r="G132" s="156"/>
      <c r="H132" s="157"/>
      <c r="I132" s="158">
        <v>0</v>
      </c>
      <c r="J132" s="157"/>
      <c r="K132" s="159">
        <f>(H132+I132)-J132</f>
        <v>0</v>
      </c>
    </row>
    <row r="133" spans="1:11" ht="18" customHeight="1">
      <c r="A133" s="151" t="s">
        <v>160</v>
      </c>
      <c r="B133" s="898"/>
      <c r="C133" s="899"/>
      <c r="D133" s="900"/>
      <c r="F133" s="156"/>
      <c r="G133" s="156"/>
      <c r="H133" s="157"/>
      <c r="I133" s="158">
        <v>0</v>
      </c>
      <c r="J133" s="157"/>
      <c r="K133" s="159">
        <f>(H133+I133)-J133</f>
        <v>0</v>
      </c>
    </row>
    <row r="134" spans="1:11" ht="18" customHeight="1">
      <c r="A134" s="151" t="s">
        <v>161</v>
      </c>
      <c r="B134" s="898"/>
      <c r="C134" s="899"/>
      <c r="D134" s="900"/>
      <c r="F134" s="156"/>
      <c r="G134" s="156"/>
      <c r="H134" s="157"/>
      <c r="I134" s="158">
        <v>0</v>
      </c>
      <c r="J134" s="157"/>
      <c r="K134" s="159">
        <f>(H134+I134)-J134</f>
        <v>0</v>
      </c>
    </row>
    <row r="135" spans="1:11" ht="18" customHeight="1">
      <c r="A135" s="151" t="s">
        <v>162</v>
      </c>
      <c r="B135" s="898"/>
      <c r="C135" s="899"/>
      <c r="D135" s="900"/>
      <c r="F135" s="156"/>
      <c r="G135" s="156"/>
      <c r="H135" s="157"/>
      <c r="I135" s="158">
        <v>0</v>
      </c>
      <c r="J135" s="157"/>
      <c r="K135" s="159">
        <f>(H135+I135)-J135</f>
        <v>0</v>
      </c>
    </row>
    <row r="136" spans="1:11" ht="18" customHeight="1">
      <c r="A136" s="154"/>
    </row>
    <row r="137" spans="1:11" ht="18" customHeight="1">
      <c r="A137" s="154" t="s">
        <v>163</v>
      </c>
      <c r="B137" s="150" t="s">
        <v>27</v>
      </c>
      <c r="F137" s="162">
        <f t="shared" ref="F137:K137" si="13">SUM(F131:F135)</f>
        <v>0</v>
      </c>
      <c r="G137" s="162">
        <f t="shared" si="13"/>
        <v>0</v>
      </c>
      <c r="H137" s="159">
        <f t="shared" si="13"/>
        <v>0</v>
      </c>
      <c r="I137" s="159">
        <f t="shared" si="13"/>
        <v>0</v>
      </c>
      <c r="J137" s="159">
        <f t="shared" si="13"/>
        <v>0</v>
      </c>
      <c r="K137" s="159">
        <f t="shared" si="13"/>
        <v>0</v>
      </c>
    </row>
    <row r="138" spans="1:11" ht="18" customHeight="1">
      <c r="A138" s="147"/>
    </row>
    <row r="139" spans="1:11" ht="42.75" customHeight="1">
      <c r="F139" s="153" t="s">
        <v>9</v>
      </c>
      <c r="G139" s="153" t="s">
        <v>37</v>
      </c>
      <c r="H139" s="153" t="s">
        <v>29</v>
      </c>
      <c r="I139" s="153" t="s">
        <v>30</v>
      </c>
      <c r="J139" s="153" t="s">
        <v>33</v>
      </c>
      <c r="K139" s="153" t="s">
        <v>34</v>
      </c>
    </row>
    <row r="140" spans="1:11" ht="18" customHeight="1">
      <c r="A140" s="154" t="s">
        <v>166</v>
      </c>
      <c r="B140" s="150" t="s">
        <v>26</v>
      </c>
    </row>
    <row r="141" spans="1:11" ht="18" customHeight="1">
      <c r="A141" s="151" t="s">
        <v>137</v>
      </c>
      <c r="B141" s="150" t="s">
        <v>64</v>
      </c>
      <c r="F141" s="197">
        <f t="shared" ref="F141:K141" si="14">F36</f>
        <v>6373.4999999999991</v>
      </c>
      <c r="G141" s="197">
        <f t="shared" si="14"/>
        <v>85942.799999999974</v>
      </c>
      <c r="H141" s="197">
        <f t="shared" si="14"/>
        <v>522097.2</v>
      </c>
      <c r="I141" s="197">
        <f t="shared" si="14"/>
        <v>380034.55188000004</v>
      </c>
      <c r="J141" s="197">
        <f t="shared" si="14"/>
        <v>25396.5</v>
      </c>
      <c r="K141" s="197">
        <f t="shared" si="14"/>
        <v>876735.25188</v>
      </c>
    </row>
    <row r="142" spans="1:11" ht="18" customHeight="1">
      <c r="A142" s="151" t="s">
        <v>142</v>
      </c>
      <c r="B142" s="150" t="s">
        <v>65</v>
      </c>
      <c r="F142" s="197">
        <f t="shared" ref="F142:K142" si="15">F49</f>
        <v>19985.7</v>
      </c>
      <c r="G142" s="197">
        <f t="shared" si="15"/>
        <v>21</v>
      </c>
      <c r="H142" s="197">
        <f t="shared" si="15"/>
        <v>952433.29999999993</v>
      </c>
      <c r="I142" s="197">
        <f t="shared" si="15"/>
        <v>693276.19906999997</v>
      </c>
      <c r="J142" s="197">
        <f t="shared" si="15"/>
        <v>0</v>
      </c>
      <c r="K142" s="197">
        <f t="shared" si="15"/>
        <v>1645709.4990699999</v>
      </c>
    </row>
    <row r="143" spans="1:11" ht="18" customHeight="1">
      <c r="A143" s="151" t="s">
        <v>144</v>
      </c>
      <c r="B143" s="150" t="s">
        <v>66</v>
      </c>
      <c r="F143" s="197">
        <f t="shared" ref="F143:K143" si="16">F64</f>
        <v>14.399999999999999</v>
      </c>
      <c r="G143" s="197">
        <f t="shared" si="16"/>
        <v>0</v>
      </c>
      <c r="H143" s="197">
        <f t="shared" si="16"/>
        <v>1350121.4</v>
      </c>
      <c r="I143" s="197">
        <f t="shared" si="16"/>
        <v>0</v>
      </c>
      <c r="J143" s="197">
        <f t="shared" si="16"/>
        <v>0</v>
      </c>
      <c r="K143" s="197">
        <f t="shared" si="16"/>
        <v>1350121.4</v>
      </c>
    </row>
    <row r="144" spans="1:11" ht="18" customHeight="1">
      <c r="A144" s="151" t="s">
        <v>146</v>
      </c>
      <c r="B144" s="150" t="s">
        <v>67</v>
      </c>
      <c r="F144" s="197">
        <f t="shared" ref="F144:K144" si="17">F74</f>
        <v>3307.7999999999997</v>
      </c>
      <c r="G144" s="197">
        <f t="shared" si="17"/>
        <v>12.6</v>
      </c>
      <c r="H144" s="197">
        <f t="shared" si="17"/>
        <v>131290.19999999998</v>
      </c>
      <c r="I144" s="197">
        <f t="shared" si="17"/>
        <v>95566.136579999991</v>
      </c>
      <c r="J144" s="197">
        <f t="shared" si="17"/>
        <v>0</v>
      </c>
      <c r="K144" s="197">
        <f t="shared" si="17"/>
        <v>226856.33657999997</v>
      </c>
    </row>
    <row r="145" spans="1:11" ht="18" customHeight="1">
      <c r="A145" s="151" t="s">
        <v>148</v>
      </c>
      <c r="B145" s="150" t="s">
        <v>68</v>
      </c>
      <c r="F145" s="197">
        <f t="shared" ref="F145:K145" si="18">F82</f>
        <v>357.06</v>
      </c>
      <c r="G145" s="197">
        <f t="shared" si="18"/>
        <v>437.7</v>
      </c>
      <c r="H145" s="197">
        <f t="shared" si="18"/>
        <v>37715.1</v>
      </c>
      <c r="I145" s="197">
        <f t="shared" si="18"/>
        <v>0</v>
      </c>
      <c r="J145" s="197">
        <f t="shared" si="18"/>
        <v>447</v>
      </c>
      <c r="K145" s="197">
        <f t="shared" si="18"/>
        <v>37268.1</v>
      </c>
    </row>
    <row r="146" spans="1:11" ht="18" customHeight="1">
      <c r="A146" s="151" t="s">
        <v>150</v>
      </c>
      <c r="B146" s="150" t="s">
        <v>69</v>
      </c>
      <c r="F146" s="197">
        <f t="shared" ref="F146:K146" si="19">F98</f>
        <v>235.34999999999997</v>
      </c>
      <c r="G146" s="197">
        <f t="shared" si="19"/>
        <v>150</v>
      </c>
      <c r="H146" s="197">
        <f t="shared" si="19"/>
        <v>33116.699999999997</v>
      </c>
      <c r="I146" s="197">
        <f t="shared" si="19"/>
        <v>24105.645929999999</v>
      </c>
      <c r="J146" s="197">
        <f t="shared" si="19"/>
        <v>2700</v>
      </c>
      <c r="K146" s="197">
        <f t="shared" si="19"/>
        <v>54522.345930000003</v>
      </c>
    </row>
    <row r="147" spans="1:11" ht="18" customHeight="1">
      <c r="A147" s="151" t="s">
        <v>153</v>
      </c>
      <c r="B147" s="150" t="s">
        <v>61</v>
      </c>
      <c r="F147" s="162">
        <f t="shared" ref="F147:K147" si="20">F108</f>
        <v>613.19999999999993</v>
      </c>
      <c r="G147" s="162">
        <f t="shared" si="20"/>
        <v>0</v>
      </c>
      <c r="H147" s="162">
        <f t="shared" si="20"/>
        <v>30484.5</v>
      </c>
      <c r="I147" s="162">
        <f t="shared" si="20"/>
        <v>22189.667549999998</v>
      </c>
      <c r="J147" s="162">
        <f t="shared" si="20"/>
        <v>0</v>
      </c>
      <c r="K147" s="162">
        <f t="shared" si="20"/>
        <v>52674.167549999998</v>
      </c>
    </row>
    <row r="148" spans="1:11" ht="18" customHeight="1">
      <c r="A148" s="151" t="s">
        <v>155</v>
      </c>
      <c r="B148" s="150" t="s">
        <v>70</v>
      </c>
      <c r="F148" s="198" t="s">
        <v>73</v>
      </c>
      <c r="G148" s="198" t="s">
        <v>73</v>
      </c>
      <c r="H148" s="199" t="s">
        <v>73</v>
      </c>
      <c r="I148" s="199" t="s">
        <v>73</v>
      </c>
      <c r="J148" s="199" t="s">
        <v>73</v>
      </c>
      <c r="K148" s="200">
        <f>F111</f>
        <v>3080091</v>
      </c>
    </row>
    <row r="149" spans="1:11" ht="18" customHeight="1">
      <c r="A149" s="151" t="s">
        <v>163</v>
      </c>
      <c r="B149" s="150" t="s">
        <v>71</v>
      </c>
      <c r="F149" s="162">
        <f t="shared" ref="F149:K149" si="21">F137</f>
        <v>0</v>
      </c>
      <c r="G149" s="162">
        <f t="shared" si="21"/>
        <v>0</v>
      </c>
      <c r="H149" s="162">
        <f t="shared" si="21"/>
        <v>0</v>
      </c>
      <c r="I149" s="162">
        <f t="shared" si="21"/>
        <v>0</v>
      </c>
      <c r="J149" s="162">
        <f t="shared" si="21"/>
        <v>0</v>
      </c>
      <c r="K149" s="162">
        <f t="shared" si="21"/>
        <v>0</v>
      </c>
    </row>
    <row r="150" spans="1:11" ht="18" customHeight="1">
      <c r="A150" s="151" t="s">
        <v>185</v>
      </c>
      <c r="B150" s="150" t="s">
        <v>186</v>
      </c>
      <c r="F150" s="198" t="s">
        <v>73</v>
      </c>
      <c r="G150" s="198" t="s">
        <v>73</v>
      </c>
      <c r="H150" s="162">
        <f>H18</f>
        <v>2461836</v>
      </c>
      <c r="I150" s="162">
        <f>I18</f>
        <v>0</v>
      </c>
      <c r="J150" s="162">
        <f>J18</f>
        <v>2105178</v>
      </c>
      <c r="K150" s="162">
        <f>K18</f>
        <v>356658</v>
      </c>
    </row>
    <row r="151" spans="1:11" ht="18" customHeight="1">
      <c r="B151" s="150"/>
      <c r="F151" s="174"/>
      <c r="G151" s="174"/>
      <c r="H151" s="174"/>
      <c r="I151" s="174"/>
      <c r="J151" s="174"/>
      <c r="K151" s="174"/>
    </row>
    <row r="152" spans="1:11" ht="18" customHeight="1">
      <c r="A152" s="154" t="s">
        <v>165</v>
      </c>
      <c r="B152" s="150" t="s">
        <v>26</v>
      </c>
      <c r="F152" s="201">
        <f t="shared" ref="F152:K152" si="22">SUM(F141:F150)</f>
        <v>30887.010000000002</v>
      </c>
      <c r="G152" s="201">
        <f t="shared" si="22"/>
        <v>86564.099999999977</v>
      </c>
      <c r="H152" s="201">
        <f t="shared" si="22"/>
        <v>5519094.4000000004</v>
      </c>
      <c r="I152" s="201">
        <f t="shared" si="22"/>
        <v>1215172.20101</v>
      </c>
      <c r="J152" s="201">
        <f t="shared" si="22"/>
        <v>2133721.5</v>
      </c>
      <c r="K152" s="201">
        <f t="shared" si="22"/>
        <v>7680636.1010099994</v>
      </c>
    </row>
    <row r="154" spans="1:11" ht="18" customHeight="1">
      <c r="A154" s="154" t="s">
        <v>168</v>
      </c>
      <c r="B154" s="150" t="s">
        <v>28</v>
      </c>
      <c r="F154" s="53">
        <f>K152/F121</f>
        <v>9.6017432984132178E-2</v>
      </c>
    </row>
    <row r="155" spans="1:11" ht="18" customHeight="1">
      <c r="A155" s="154" t="s">
        <v>169</v>
      </c>
      <c r="B155" s="150" t="s">
        <v>72</v>
      </c>
      <c r="F155" s="53">
        <f>K152/F127</f>
        <v>0.81660246034383766</v>
      </c>
      <c r="G155" s="150"/>
    </row>
    <row r="156" spans="1:11" ht="18" customHeight="1">
      <c r="G156" s="150"/>
    </row>
  </sheetData>
  <sheetProtection algorithmName="SHA-512" hashValue="iVvdvBFvLJrCQayOzWBOnlmmkvSOlg0vsuWfxw4ykvUWsRMIU69Eos4F9LU4n3blGdfrud4L5z60Zw6vfmvLvQ==" saltValue="dNfDTr1s26G+Dg2uXX89nw==" spinCount="100000" sheet="1" objects="1" scenarios="1"/>
  <mergeCells count="34">
    <mergeCell ref="B41:C41"/>
    <mergeCell ref="D2:H2"/>
    <mergeCell ref="C5:G5"/>
    <mergeCell ref="C6:G6"/>
    <mergeCell ref="C7:G7"/>
    <mergeCell ref="C9:G9"/>
    <mergeCell ref="C10:G10"/>
    <mergeCell ref="C11:G11"/>
    <mergeCell ref="B13:H13"/>
    <mergeCell ref="B30:D30"/>
    <mergeCell ref="B31:D31"/>
    <mergeCell ref="B34:D34"/>
    <mergeCell ref="B90:C90"/>
    <mergeCell ref="B44:D44"/>
    <mergeCell ref="B45:D45"/>
    <mergeCell ref="B46:D46"/>
    <mergeCell ref="B47:D47"/>
    <mergeCell ref="B52:C52"/>
    <mergeCell ref="B53:D53"/>
    <mergeCell ref="B55:D55"/>
    <mergeCell ref="B56:D56"/>
    <mergeCell ref="B57:D57"/>
    <mergeCell ref="B59:D59"/>
    <mergeCell ref="B62:D62"/>
    <mergeCell ref="B106:D106"/>
    <mergeCell ref="B133:D133"/>
    <mergeCell ref="B134:D134"/>
    <mergeCell ref="B135:D135"/>
    <mergeCell ref="B94:D94"/>
    <mergeCell ref="B95:D95"/>
    <mergeCell ref="B96:D96"/>
    <mergeCell ref="B103:C103"/>
    <mergeCell ref="B104:D104"/>
    <mergeCell ref="B105:D105"/>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K156"/>
  <sheetViews>
    <sheetView showGridLines="0" zoomScaleNormal="100" zoomScaleSheetLayoutView="80" workbookViewId="0">
      <selection activeCell="K18" sqref="K18"/>
    </sheetView>
  </sheetViews>
  <sheetFormatPr defaultRowHeight="18" customHeight="1"/>
  <cols>
    <col min="1" max="1" width="8.28515625" style="146" customWidth="1"/>
    <col min="2" max="2" width="55.42578125" style="147" bestFit="1" customWidth="1"/>
    <col min="3" max="3" width="9.5703125" style="147" customWidth="1"/>
    <col min="4" max="4" width="9.140625" style="147"/>
    <col min="5" max="5" width="12.42578125" style="147" customWidth="1"/>
    <col min="6" max="6" width="18.5703125" style="147" customWidth="1"/>
    <col min="7" max="7" width="23.5703125" style="147" customWidth="1"/>
    <col min="8" max="8" width="17.140625" style="147" customWidth="1"/>
    <col min="9" max="9" width="21.140625" style="147" customWidth="1"/>
    <col min="10" max="10" width="19.85546875" style="147" customWidth="1"/>
    <col min="11" max="11" width="17.5703125" style="147" customWidth="1"/>
    <col min="12" max="16384" width="9.140625" style="147"/>
  </cols>
  <sheetData>
    <row r="1" spans="1:11" ht="18" customHeight="1">
      <c r="C1" s="148"/>
      <c r="D1" s="149"/>
      <c r="E1" s="148"/>
      <c r="F1" s="148"/>
      <c r="G1" s="148"/>
      <c r="H1" s="148"/>
      <c r="I1" s="148"/>
      <c r="J1" s="148"/>
      <c r="K1" s="148"/>
    </row>
    <row r="2" spans="1:11" ht="18" customHeight="1">
      <c r="D2" s="910" t="s">
        <v>713</v>
      </c>
      <c r="E2" s="911"/>
      <c r="F2" s="911"/>
      <c r="G2" s="911"/>
      <c r="H2" s="911"/>
    </row>
    <row r="3" spans="1:11" ht="18" customHeight="1">
      <c r="B3" s="150" t="s">
        <v>0</v>
      </c>
    </row>
    <row r="5" spans="1:11" ht="18" customHeight="1">
      <c r="B5" s="151" t="s">
        <v>40</v>
      </c>
      <c r="C5" s="912" t="s">
        <v>518</v>
      </c>
      <c r="D5" s="918"/>
      <c r="E5" s="918"/>
      <c r="F5" s="918"/>
      <c r="G5" s="919"/>
    </row>
    <row r="6" spans="1:11" ht="18" customHeight="1">
      <c r="B6" s="151" t="s">
        <v>3</v>
      </c>
      <c r="C6" s="929" t="s">
        <v>519</v>
      </c>
      <c r="D6" s="921"/>
      <c r="E6" s="921"/>
      <c r="F6" s="921"/>
      <c r="G6" s="922"/>
    </row>
    <row r="7" spans="1:11" ht="18" customHeight="1">
      <c r="B7" s="151" t="s">
        <v>4</v>
      </c>
      <c r="C7" s="923" t="s">
        <v>766</v>
      </c>
      <c r="D7" s="924"/>
      <c r="E7" s="924"/>
      <c r="F7" s="924"/>
      <c r="G7" s="925"/>
    </row>
    <row r="9" spans="1:11" ht="18" customHeight="1">
      <c r="B9" s="151" t="s">
        <v>1</v>
      </c>
      <c r="C9" s="912" t="s">
        <v>520</v>
      </c>
      <c r="D9" s="918"/>
      <c r="E9" s="918"/>
      <c r="F9" s="918"/>
      <c r="G9" s="919"/>
    </row>
    <row r="10" spans="1:11" ht="18" customHeight="1">
      <c r="B10" s="151" t="s">
        <v>2</v>
      </c>
      <c r="C10" s="926" t="s">
        <v>521</v>
      </c>
      <c r="D10" s="927"/>
      <c r="E10" s="927"/>
      <c r="F10" s="927"/>
      <c r="G10" s="928"/>
    </row>
    <row r="11" spans="1:11" ht="18" customHeight="1">
      <c r="B11" s="151" t="s">
        <v>32</v>
      </c>
      <c r="C11" s="912" t="s">
        <v>522</v>
      </c>
      <c r="D11" s="913"/>
      <c r="E11" s="913"/>
      <c r="F11" s="913"/>
      <c r="G11" s="913"/>
    </row>
    <row r="12" spans="1:11" ht="18" customHeight="1">
      <c r="B12" s="151"/>
      <c r="C12" s="151"/>
      <c r="D12" s="151"/>
      <c r="E12" s="151"/>
      <c r="F12" s="151"/>
      <c r="G12" s="151"/>
    </row>
    <row r="13" spans="1:11" ht="24.6" customHeight="1">
      <c r="B13" s="914"/>
      <c r="C13" s="915"/>
      <c r="D13" s="915"/>
      <c r="E13" s="915"/>
      <c r="F13" s="915"/>
      <c r="G13" s="915"/>
      <c r="H13" s="916"/>
      <c r="I13" s="148"/>
    </row>
    <row r="14" spans="1:11" ht="18" customHeight="1">
      <c r="B14" s="152"/>
    </row>
    <row r="15" spans="1:11" ht="18" customHeight="1">
      <c r="B15" s="152"/>
    </row>
    <row r="16" spans="1:11" ht="45" customHeight="1">
      <c r="A16" s="149" t="s">
        <v>181</v>
      </c>
      <c r="B16" s="148"/>
      <c r="C16" s="148"/>
      <c r="D16" s="148"/>
      <c r="E16" s="148"/>
      <c r="F16" s="153" t="s">
        <v>9</v>
      </c>
      <c r="G16" s="153" t="s">
        <v>37</v>
      </c>
      <c r="H16" s="153" t="s">
        <v>29</v>
      </c>
      <c r="I16" s="153" t="s">
        <v>30</v>
      </c>
      <c r="J16" s="153" t="s">
        <v>33</v>
      </c>
      <c r="K16" s="153" t="s">
        <v>34</v>
      </c>
    </row>
    <row r="17" spans="1:11" ht="18" customHeight="1">
      <c r="A17" s="154" t="s">
        <v>184</v>
      </c>
      <c r="B17" s="150" t="s">
        <v>182</v>
      </c>
    </row>
    <row r="18" spans="1:11" ht="18" customHeight="1">
      <c r="A18" s="151" t="s">
        <v>185</v>
      </c>
      <c r="B18" s="155" t="s">
        <v>183</v>
      </c>
      <c r="F18" s="156" t="s">
        <v>73</v>
      </c>
      <c r="G18" s="156" t="s">
        <v>73</v>
      </c>
      <c r="H18" s="157">
        <v>12584815</v>
      </c>
      <c r="I18" s="158">
        <v>0</v>
      </c>
      <c r="J18" s="157">
        <v>10761590</v>
      </c>
      <c r="K18" s="159">
        <f>(H18+I18)-J18</f>
        <v>1823225</v>
      </c>
    </row>
    <row r="19" spans="1:11" ht="45" customHeight="1">
      <c r="A19" s="149" t="s">
        <v>8</v>
      </c>
      <c r="B19" s="148"/>
      <c r="C19" s="148"/>
      <c r="D19" s="148"/>
      <c r="E19" s="148"/>
      <c r="F19" s="153" t="s">
        <v>9</v>
      </c>
      <c r="G19" s="153" t="s">
        <v>37</v>
      </c>
      <c r="H19" s="153" t="s">
        <v>29</v>
      </c>
      <c r="I19" s="153" t="s">
        <v>30</v>
      </c>
      <c r="J19" s="153" t="s">
        <v>33</v>
      </c>
      <c r="K19" s="153" t="s">
        <v>34</v>
      </c>
    </row>
    <row r="20" spans="1:11" ht="18" customHeight="1">
      <c r="A20" s="154" t="s">
        <v>74</v>
      </c>
      <c r="B20" s="150" t="s">
        <v>41</v>
      </c>
    </row>
    <row r="21" spans="1:11" ht="18" customHeight="1">
      <c r="A21" s="151" t="s">
        <v>75</v>
      </c>
      <c r="B21" s="155" t="s">
        <v>42</v>
      </c>
      <c r="F21" s="156">
        <v>45823</v>
      </c>
      <c r="G21" s="156">
        <v>4051</v>
      </c>
      <c r="H21" s="157">
        <v>1844507</v>
      </c>
      <c r="I21" s="158">
        <v>1243198</v>
      </c>
      <c r="J21" s="157">
        <v>140763</v>
      </c>
      <c r="K21" s="159">
        <f t="shared" ref="K21:K34" si="0">(H21+I21)-J21</f>
        <v>2946942</v>
      </c>
    </row>
    <row r="22" spans="1:11" ht="18" customHeight="1">
      <c r="A22" s="151" t="s">
        <v>76</v>
      </c>
      <c r="B22" s="147" t="s">
        <v>6</v>
      </c>
      <c r="F22" s="156">
        <v>4872</v>
      </c>
      <c r="G22" s="156">
        <v>1068</v>
      </c>
      <c r="H22" s="157">
        <v>311782</v>
      </c>
      <c r="I22" s="158">
        <f t="shared" ref="I22:I34" si="1">H22*F$114</f>
        <v>210141.068</v>
      </c>
      <c r="J22" s="157"/>
      <c r="K22" s="159">
        <f t="shared" si="0"/>
        <v>521923.06799999997</v>
      </c>
    </row>
    <row r="23" spans="1:11" ht="18" customHeight="1">
      <c r="A23" s="151" t="s">
        <v>77</v>
      </c>
      <c r="B23" s="147" t="s">
        <v>43</v>
      </c>
      <c r="F23" s="156"/>
      <c r="G23" s="156"/>
      <c r="H23" s="157"/>
      <c r="I23" s="158">
        <f t="shared" si="1"/>
        <v>0</v>
      </c>
      <c r="J23" s="157"/>
      <c r="K23" s="159">
        <f t="shared" si="0"/>
        <v>0</v>
      </c>
    </row>
    <row r="24" spans="1:11" ht="18" customHeight="1">
      <c r="A24" s="151" t="s">
        <v>78</v>
      </c>
      <c r="B24" s="147" t="s">
        <v>44</v>
      </c>
      <c r="F24" s="156"/>
      <c r="G24" s="156"/>
      <c r="H24" s="157"/>
      <c r="I24" s="158">
        <f t="shared" si="1"/>
        <v>0</v>
      </c>
      <c r="J24" s="157"/>
      <c r="K24" s="159">
        <f t="shared" si="0"/>
        <v>0</v>
      </c>
    </row>
    <row r="25" spans="1:11" ht="18" customHeight="1">
      <c r="A25" s="151" t="s">
        <v>79</v>
      </c>
      <c r="B25" s="147" t="s">
        <v>5</v>
      </c>
      <c r="F25" s="156"/>
      <c r="G25" s="156"/>
      <c r="H25" s="157"/>
      <c r="I25" s="158">
        <f t="shared" si="1"/>
        <v>0</v>
      </c>
      <c r="J25" s="157"/>
      <c r="K25" s="159">
        <f t="shared" si="0"/>
        <v>0</v>
      </c>
    </row>
    <row r="26" spans="1:11" ht="18" customHeight="1">
      <c r="A26" s="151" t="s">
        <v>80</v>
      </c>
      <c r="B26" s="147" t="s">
        <v>45</v>
      </c>
      <c r="F26" s="156"/>
      <c r="G26" s="156"/>
      <c r="H26" s="157"/>
      <c r="I26" s="158">
        <f t="shared" si="1"/>
        <v>0</v>
      </c>
      <c r="J26" s="157"/>
      <c r="K26" s="159">
        <f t="shared" si="0"/>
        <v>0</v>
      </c>
    </row>
    <row r="27" spans="1:11" ht="18" customHeight="1">
      <c r="A27" s="151" t="s">
        <v>81</v>
      </c>
      <c r="B27" s="147" t="s">
        <v>46</v>
      </c>
      <c r="F27" s="156"/>
      <c r="G27" s="156"/>
      <c r="H27" s="157"/>
      <c r="I27" s="158">
        <f t="shared" si="1"/>
        <v>0</v>
      </c>
      <c r="J27" s="157"/>
      <c r="K27" s="159">
        <f t="shared" si="0"/>
        <v>0</v>
      </c>
    </row>
    <row r="28" spans="1:11" ht="18" customHeight="1">
      <c r="A28" s="151" t="s">
        <v>82</v>
      </c>
      <c r="B28" s="147" t="s">
        <v>47</v>
      </c>
      <c r="F28" s="156"/>
      <c r="G28" s="156"/>
      <c r="H28" s="157"/>
      <c r="I28" s="158">
        <f t="shared" si="1"/>
        <v>0</v>
      </c>
      <c r="J28" s="157"/>
      <c r="K28" s="159">
        <f t="shared" si="0"/>
        <v>0</v>
      </c>
    </row>
    <row r="29" spans="1:11" ht="18" customHeight="1">
      <c r="A29" s="151" t="s">
        <v>83</v>
      </c>
      <c r="B29" s="147" t="s">
        <v>48</v>
      </c>
      <c r="F29" s="156">
        <v>2084</v>
      </c>
      <c r="G29" s="156">
        <v>150</v>
      </c>
      <c r="H29" s="157">
        <v>1383180</v>
      </c>
      <c r="I29" s="158">
        <f t="shared" si="1"/>
        <v>932263.32000000007</v>
      </c>
      <c r="J29" s="157"/>
      <c r="K29" s="159">
        <f t="shared" si="0"/>
        <v>2315443.3200000003</v>
      </c>
    </row>
    <row r="30" spans="1:11" ht="18" customHeight="1">
      <c r="A30" s="151" t="s">
        <v>84</v>
      </c>
      <c r="B30" s="898" t="s">
        <v>767</v>
      </c>
      <c r="C30" s="899"/>
      <c r="D30" s="900"/>
      <c r="F30" s="156">
        <v>96</v>
      </c>
      <c r="G30" s="156">
        <v>22529</v>
      </c>
      <c r="H30" s="157">
        <v>319423</v>
      </c>
      <c r="I30" s="158">
        <f t="shared" si="1"/>
        <v>215291.10200000001</v>
      </c>
      <c r="J30" s="157"/>
      <c r="K30" s="159">
        <f t="shared" si="0"/>
        <v>534714.10199999996</v>
      </c>
    </row>
    <row r="31" spans="1:11" ht="18" customHeight="1">
      <c r="A31" s="151" t="s">
        <v>133</v>
      </c>
      <c r="B31" s="898" t="s">
        <v>768</v>
      </c>
      <c r="C31" s="899"/>
      <c r="D31" s="900"/>
      <c r="F31" s="156"/>
      <c r="G31" s="156">
        <v>24000</v>
      </c>
      <c r="H31" s="157">
        <v>1014782</v>
      </c>
      <c r="I31" s="158">
        <f t="shared" si="1"/>
        <v>683963.06800000009</v>
      </c>
      <c r="J31" s="157"/>
      <c r="K31" s="159">
        <f t="shared" si="0"/>
        <v>1698745.068</v>
      </c>
    </row>
    <row r="32" spans="1:11" ht="18" customHeight="1">
      <c r="A32" s="151" t="s">
        <v>134</v>
      </c>
      <c r="B32" s="393"/>
      <c r="C32" s="394"/>
      <c r="D32" s="395"/>
      <c r="F32" s="156"/>
      <c r="G32" s="160" t="s">
        <v>85</v>
      </c>
      <c r="H32" s="157"/>
      <c r="I32" s="158">
        <f t="shared" si="1"/>
        <v>0</v>
      </c>
      <c r="J32" s="157"/>
      <c r="K32" s="159">
        <f t="shared" si="0"/>
        <v>0</v>
      </c>
    </row>
    <row r="33" spans="1:11" ht="18" customHeight="1">
      <c r="A33" s="151" t="s">
        <v>135</v>
      </c>
      <c r="B33" s="393"/>
      <c r="C33" s="394"/>
      <c r="D33" s="395"/>
      <c r="F33" s="156"/>
      <c r="G33" s="160" t="s">
        <v>85</v>
      </c>
      <c r="H33" s="157"/>
      <c r="I33" s="158">
        <f t="shared" si="1"/>
        <v>0</v>
      </c>
      <c r="J33" s="157"/>
      <c r="K33" s="159">
        <f t="shared" si="0"/>
        <v>0</v>
      </c>
    </row>
    <row r="34" spans="1:11" ht="18" customHeight="1">
      <c r="A34" s="151" t="s">
        <v>136</v>
      </c>
      <c r="B34" s="898"/>
      <c r="C34" s="899"/>
      <c r="D34" s="900"/>
      <c r="F34" s="156"/>
      <c r="G34" s="160" t="s">
        <v>85</v>
      </c>
      <c r="H34" s="157"/>
      <c r="I34" s="158">
        <f t="shared" si="1"/>
        <v>0</v>
      </c>
      <c r="J34" s="157"/>
      <c r="K34" s="159">
        <f t="shared" si="0"/>
        <v>0</v>
      </c>
    </row>
    <row r="35" spans="1:11" ht="18" customHeight="1">
      <c r="K35" s="161"/>
    </row>
    <row r="36" spans="1:11" ht="18" customHeight="1">
      <c r="A36" s="154" t="s">
        <v>137</v>
      </c>
      <c r="B36" s="150" t="s">
        <v>138</v>
      </c>
      <c r="E36" s="150" t="s">
        <v>7</v>
      </c>
      <c r="F36" s="162">
        <f t="shared" ref="F36:K36" si="2">SUM(F21:F34)</f>
        <v>52875</v>
      </c>
      <c r="G36" s="162">
        <f t="shared" si="2"/>
        <v>51798</v>
      </c>
      <c r="H36" s="162">
        <f t="shared" si="2"/>
        <v>4873674</v>
      </c>
      <c r="I36" s="159">
        <f t="shared" si="2"/>
        <v>3284856.5580000002</v>
      </c>
      <c r="J36" s="159">
        <f t="shared" si="2"/>
        <v>140763</v>
      </c>
      <c r="K36" s="159">
        <f t="shared" si="2"/>
        <v>8017767.5580000002</v>
      </c>
    </row>
    <row r="37" spans="1:11" ht="18" customHeight="1" thickBot="1">
      <c r="B37" s="150"/>
      <c r="F37" s="163"/>
      <c r="G37" s="163"/>
      <c r="H37" s="164"/>
      <c r="I37" s="164"/>
      <c r="J37" s="164"/>
      <c r="K37" s="165"/>
    </row>
    <row r="38" spans="1:11" ht="42.75" customHeight="1">
      <c r="F38" s="153" t="s">
        <v>9</v>
      </c>
      <c r="G38" s="153" t="s">
        <v>37</v>
      </c>
      <c r="H38" s="153" t="s">
        <v>29</v>
      </c>
      <c r="I38" s="153" t="s">
        <v>30</v>
      </c>
      <c r="J38" s="153" t="s">
        <v>33</v>
      </c>
      <c r="K38" s="153" t="s">
        <v>34</v>
      </c>
    </row>
    <row r="39" spans="1:11" ht="18.75" customHeight="1">
      <c r="A39" s="154" t="s">
        <v>86</v>
      </c>
      <c r="B39" s="150" t="s">
        <v>49</v>
      </c>
    </row>
    <row r="40" spans="1:11" ht="18" customHeight="1">
      <c r="A40" s="151" t="s">
        <v>87</v>
      </c>
      <c r="B40" s="147" t="s">
        <v>31</v>
      </c>
      <c r="F40" s="156">
        <v>57243</v>
      </c>
      <c r="G40" s="156"/>
      <c r="H40" s="157">
        <v>8024860</v>
      </c>
      <c r="I40" s="158">
        <f t="shared" ref="I40:I47" si="3">H40*F$114</f>
        <v>5408755.6400000006</v>
      </c>
      <c r="J40" s="157">
        <v>300000</v>
      </c>
      <c r="K40" s="159">
        <f t="shared" ref="K40:K47" si="4">(H40+I40)-J40</f>
        <v>13133615.640000001</v>
      </c>
    </row>
    <row r="41" spans="1:11" ht="18" customHeight="1">
      <c r="A41" s="151" t="s">
        <v>88</v>
      </c>
      <c r="B41" s="904" t="s">
        <v>50</v>
      </c>
      <c r="C41" s="907"/>
      <c r="F41" s="156"/>
      <c r="G41" s="156"/>
      <c r="H41" s="157"/>
      <c r="I41" s="158">
        <f t="shared" si="3"/>
        <v>0</v>
      </c>
      <c r="J41" s="157"/>
      <c r="K41" s="159">
        <f t="shared" si="4"/>
        <v>0</v>
      </c>
    </row>
    <row r="42" spans="1:11" ht="18" customHeight="1">
      <c r="A42" s="151" t="s">
        <v>89</v>
      </c>
      <c r="B42" s="155" t="s">
        <v>11</v>
      </c>
      <c r="F42" s="156">
        <v>832</v>
      </c>
      <c r="G42" s="156"/>
      <c r="H42" s="157">
        <v>136392</v>
      </c>
      <c r="I42" s="158">
        <f t="shared" si="3"/>
        <v>91928.207999999999</v>
      </c>
      <c r="J42" s="157"/>
      <c r="K42" s="159">
        <f t="shared" si="4"/>
        <v>228320.20799999998</v>
      </c>
    </row>
    <row r="43" spans="1:11" ht="18" customHeight="1">
      <c r="A43" s="151" t="s">
        <v>90</v>
      </c>
      <c r="B43" s="166" t="s">
        <v>10</v>
      </c>
      <c r="C43" s="167"/>
      <c r="D43" s="167"/>
      <c r="F43" s="156"/>
      <c r="G43" s="156"/>
      <c r="H43" s="157"/>
      <c r="I43" s="158">
        <f t="shared" si="3"/>
        <v>0</v>
      </c>
      <c r="J43" s="157"/>
      <c r="K43" s="159">
        <f t="shared" si="4"/>
        <v>0</v>
      </c>
    </row>
    <row r="44" spans="1:11" ht="18" customHeight="1">
      <c r="A44" s="151" t="s">
        <v>91</v>
      </c>
      <c r="B44" s="898" t="s">
        <v>769</v>
      </c>
      <c r="C44" s="899"/>
      <c r="D44" s="900"/>
      <c r="F44" s="168">
        <v>5209</v>
      </c>
      <c r="G44" s="168"/>
      <c r="H44" s="168">
        <v>370595</v>
      </c>
      <c r="I44" s="158">
        <f t="shared" si="3"/>
        <v>249781.03000000003</v>
      </c>
      <c r="J44" s="168"/>
      <c r="K44" s="170">
        <f t="shared" si="4"/>
        <v>620376.03</v>
      </c>
    </row>
    <row r="45" spans="1:11" ht="18" customHeight="1">
      <c r="A45" s="151" t="s">
        <v>139</v>
      </c>
      <c r="B45" s="898"/>
      <c r="C45" s="899"/>
      <c r="D45" s="900"/>
      <c r="F45" s="156"/>
      <c r="G45" s="156"/>
      <c r="H45" s="157"/>
      <c r="I45" s="158">
        <f t="shared" si="3"/>
        <v>0</v>
      </c>
      <c r="J45" s="157"/>
      <c r="K45" s="159">
        <f t="shared" si="4"/>
        <v>0</v>
      </c>
    </row>
    <row r="46" spans="1:11" ht="18" customHeight="1">
      <c r="A46" s="151" t="s">
        <v>140</v>
      </c>
      <c r="B46" s="898"/>
      <c r="C46" s="899"/>
      <c r="D46" s="900"/>
      <c r="F46" s="156"/>
      <c r="G46" s="156"/>
      <c r="H46" s="157"/>
      <c r="I46" s="158">
        <f t="shared" si="3"/>
        <v>0</v>
      </c>
      <c r="J46" s="157"/>
      <c r="K46" s="159">
        <f t="shared" si="4"/>
        <v>0</v>
      </c>
    </row>
    <row r="47" spans="1:11" ht="18" customHeight="1">
      <c r="A47" s="151" t="s">
        <v>141</v>
      </c>
      <c r="B47" s="898"/>
      <c r="C47" s="899"/>
      <c r="D47" s="900"/>
      <c r="F47" s="156"/>
      <c r="G47" s="156"/>
      <c r="H47" s="157"/>
      <c r="I47" s="158">
        <f t="shared" si="3"/>
        <v>0</v>
      </c>
      <c r="J47" s="157"/>
      <c r="K47" s="159">
        <f t="shared" si="4"/>
        <v>0</v>
      </c>
    </row>
    <row r="49" spans="1:11" ht="18" customHeight="1">
      <c r="A49" s="154" t="s">
        <v>142</v>
      </c>
      <c r="B49" s="150" t="s">
        <v>143</v>
      </c>
      <c r="E49" s="150" t="s">
        <v>7</v>
      </c>
      <c r="F49" s="171">
        <f t="shared" ref="F49:K49" si="5">SUM(F40:F47)</f>
        <v>63284</v>
      </c>
      <c r="G49" s="171">
        <f t="shared" si="5"/>
        <v>0</v>
      </c>
      <c r="H49" s="159">
        <f t="shared" si="5"/>
        <v>8531847</v>
      </c>
      <c r="I49" s="159">
        <f t="shared" si="5"/>
        <v>5750464.8780000005</v>
      </c>
      <c r="J49" s="159">
        <f t="shared" si="5"/>
        <v>300000</v>
      </c>
      <c r="K49" s="159">
        <f t="shared" si="5"/>
        <v>13982311.878</v>
      </c>
    </row>
    <row r="50" spans="1:11" ht="18" customHeight="1" thickBot="1">
      <c r="G50" s="172"/>
      <c r="H50" s="172"/>
      <c r="I50" s="172"/>
      <c r="J50" s="172"/>
      <c r="K50" s="172"/>
    </row>
    <row r="51" spans="1:11" ht="42.75" customHeight="1">
      <c r="F51" s="153" t="s">
        <v>9</v>
      </c>
      <c r="G51" s="153" t="s">
        <v>37</v>
      </c>
      <c r="H51" s="153" t="s">
        <v>29</v>
      </c>
      <c r="I51" s="153" t="s">
        <v>30</v>
      </c>
      <c r="J51" s="153" t="s">
        <v>33</v>
      </c>
      <c r="K51" s="153" t="s">
        <v>34</v>
      </c>
    </row>
    <row r="52" spans="1:11" ht="18" customHeight="1">
      <c r="A52" s="154" t="s">
        <v>92</v>
      </c>
      <c r="B52" s="905" t="s">
        <v>38</v>
      </c>
      <c r="C52" s="906"/>
    </row>
    <row r="53" spans="1:11" ht="18" customHeight="1">
      <c r="A53" s="151" t="s">
        <v>51</v>
      </c>
      <c r="B53" s="908" t="s">
        <v>770</v>
      </c>
      <c r="C53" s="909"/>
      <c r="D53" s="903"/>
      <c r="F53" s="156"/>
      <c r="G53" s="156">
        <v>40280</v>
      </c>
      <c r="H53" s="157">
        <v>2013996</v>
      </c>
      <c r="I53" s="158">
        <f t="shared" ref="I53:I62" si="6">H53*F$114</f>
        <v>1357433.304</v>
      </c>
      <c r="J53" s="157"/>
      <c r="K53" s="159">
        <f t="shared" ref="K53:K62" si="7">(H53+I53)-J53</f>
        <v>3371429.304</v>
      </c>
    </row>
    <row r="54" spans="1:11" ht="18" customHeight="1">
      <c r="A54" s="151" t="s">
        <v>93</v>
      </c>
      <c r="B54" s="396" t="s">
        <v>771</v>
      </c>
      <c r="C54" s="397"/>
      <c r="D54" s="392"/>
      <c r="F54" s="156">
        <v>7159</v>
      </c>
      <c r="G54" s="156"/>
      <c r="H54" s="157">
        <v>2029691</v>
      </c>
      <c r="I54" s="158">
        <f t="shared" si="6"/>
        <v>1368011.7340000002</v>
      </c>
      <c r="J54" s="157"/>
      <c r="K54" s="159">
        <f t="shared" si="7"/>
        <v>3397702.7340000002</v>
      </c>
    </row>
    <row r="55" spans="1:11" ht="18" customHeight="1">
      <c r="A55" s="151" t="s">
        <v>94</v>
      </c>
      <c r="B55" s="901" t="s">
        <v>523</v>
      </c>
      <c r="C55" s="902"/>
      <c r="D55" s="903"/>
      <c r="F55" s="156"/>
      <c r="G55" s="156"/>
      <c r="H55" s="157">
        <v>1484022</v>
      </c>
      <c r="I55" s="158">
        <f t="shared" si="6"/>
        <v>1000230.8280000001</v>
      </c>
      <c r="J55" s="157"/>
      <c r="K55" s="159">
        <f t="shared" si="7"/>
        <v>2484252.8280000002</v>
      </c>
    </row>
    <row r="56" spans="1:11" ht="18" customHeight="1">
      <c r="A56" s="151" t="s">
        <v>95</v>
      </c>
      <c r="B56" s="901" t="s">
        <v>772</v>
      </c>
      <c r="C56" s="902"/>
      <c r="D56" s="903"/>
      <c r="F56" s="156">
        <v>8330</v>
      </c>
      <c r="G56" s="156"/>
      <c r="H56" s="157">
        <v>916326</v>
      </c>
      <c r="I56" s="158">
        <f t="shared" si="6"/>
        <v>617603.72400000005</v>
      </c>
      <c r="J56" s="157"/>
      <c r="K56" s="159">
        <f t="shared" si="7"/>
        <v>1533929.7239999999</v>
      </c>
    </row>
    <row r="57" spans="1:11" ht="18" customHeight="1">
      <c r="A57" s="151" t="s">
        <v>96</v>
      </c>
      <c r="B57" s="901" t="s">
        <v>524</v>
      </c>
      <c r="C57" s="902"/>
      <c r="D57" s="903"/>
      <c r="F57" s="156">
        <v>16988</v>
      </c>
      <c r="G57" s="156">
        <v>2427</v>
      </c>
      <c r="H57" s="157">
        <v>1076021</v>
      </c>
      <c r="I57" s="158">
        <f t="shared" si="6"/>
        <v>725238.1540000001</v>
      </c>
      <c r="J57" s="157">
        <v>866629</v>
      </c>
      <c r="K57" s="159">
        <f t="shared" si="7"/>
        <v>934630.1540000001</v>
      </c>
    </row>
    <row r="58" spans="1:11" ht="18" customHeight="1">
      <c r="A58" s="151" t="s">
        <v>97</v>
      </c>
      <c r="B58" s="396" t="s">
        <v>525</v>
      </c>
      <c r="C58" s="397"/>
      <c r="D58" s="392"/>
      <c r="F58" s="156">
        <v>4504</v>
      </c>
      <c r="G58" s="156">
        <v>394</v>
      </c>
      <c r="H58" s="157">
        <v>399225</v>
      </c>
      <c r="I58" s="158">
        <f t="shared" si="6"/>
        <v>269077.65000000002</v>
      </c>
      <c r="J58" s="157">
        <v>222553</v>
      </c>
      <c r="K58" s="159">
        <f t="shared" si="7"/>
        <v>445749.65</v>
      </c>
    </row>
    <row r="59" spans="1:11" ht="18" customHeight="1">
      <c r="A59" s="151" t="s">
        <v>98</v>
      </c>
      <c r="B59" s="901" t="s">
        <v>773</v>
      </c>
      <c r="C59" s="902"/>
      <c r="D59" s="903"/>
      <c r="F59" s="156">
        <v>840</v>
      </c>
      <c r="G59" s="156"/>
      <c r="H59" s="157">
        <v>117600</v>
      </c>
      <c r="I59" s="158">
        <f t="shared" si="6"/>
        <v>79262.400000000009</v>
      </c>
      <c r="J59" s="157"/>
      <c r="K59" s="159">
        <f t="shared" si="7"/>
        <v>196862.40000000002</v>
      </c>
    </row>
    <row r="60" spans="1:11" ht="18" customHeight="1">
      <c r="A60" s="151" t="s">
        <v>99</v>
      </c>
      <c r="B60" s="396" t="s">
        <v>774</v>
      </c>
      <c r="C60" s="397"/>
      <c r="D60" s="392"/>
      <c r="F60" s="156">
        <v>25271</v>
      </c>
      <c r="G60" s="156">
        <v>1005</v>
      </c>
      <c r="H60" s="157">
        <v>352771</v>
      </c>
      <c r="I60" s="158">
        <f t="shared" si="6"/>
        <v>237767.65400000001</v>
      </c>
      <c r="J60" s="157"/>
      <c r="K60" s="159">
        <f t="shared" si="7"/>
        <v>590538.65399999998</v>
      </c>
    </row>
    <row r="61" spans="1:11" ht="18" customHeight="1">
      <c r="A61" s="151" t="s">
        <v>100</v>
      </c>
      <c r="B61" s="396" t="s">
        <v>775</v>
      </c>
      <c r="C61" s="397"/>
      <c r="D61" s="392"/>
      <c r="F61" s="156">
        <v>1931</v>
      </c>
      <c r="G61" s="156">
        <v>277</v>
      </c>
      <c r="H61" s="157">
        <v>180297</v>
      </c>
      <c r="I61" s="158">
        <f t="shared" si="6"/>
        <v>121520.17800000001</v>
      </c>
      <c r="J61" s="157"/>
      <c r="K61" s="159">
        <f t="shared" si="7"/>
        <v>301817.17800000001</v>
      </c>
    </row>
    <row r="62" spans="1:11" ht="18" customHeight="1">
      <c r="A62" s="151" t="s">
        <v>101</v>
      </c>
      <c r="B62" s="901"/>
      <c r="C62" s="902"/>
      <c r="D62" s="903"/>
      <c r="F62" s="156"/>
      <c r="G62" s="156"/>
      <c r="H62" s="157"/>
      <c r="I62" s="158">
        <f t="shared" si="6"/>
        <v>0</v>
      </c>
      <c r="J62" s="157"/>
      <c r="K62" s="159">
        <f t="shared" si="7"/>
        <v>0</v>
      </c>
    </row>
    <row r="63" spans="1:11" ht="18" customHeight="1">
      <c r="A63" s="151"/>
      <c r="I63" s="173"/>
    </row>
    <row r="64" spans="1:11" ht="18" customHeight="1">
      <c r="A64" s="151" t="s">
        <v>144</v>
      </c>
      <c r="B64" s="150" t="s">
        <v>145</v>
      </c>
      <c r="E64" s="150" t="s">
        <v>7</v>
      </c>
      <c r="F64" s="162">
        <f t="shared" ref="F64:K64" si="8">SUM(F53:F62)</f>
        <v>65023</v>
      </c>
      <c r="G64" s="162">
        <f t="shared" si="8"/>
        <v>44383</v>
      </c>
      <c r="H64" s="159">
        <f t="shared" si="8"/>
        <v>8569949</v>
      </c>
      <c r="I64" s="159">
        <f t="shared" si="8"/>
        <v>5776145.626000002</v>
      </c>
      <c r="J64" s="159">
        <f t="shared" si="8"/>
        <v>1089182</v>
      </c>
      <c r="K64" s="159">
        <f t="shared" si="8"/>
        <v>13256912.625999998</v>
      </c>
    </row>
    <row r="65" spans="1:11" ht="18" customHeight="1">
      <c r="F65" s="174"/>
      <c r="G65" s="174"/>
      <c r="H65" s="174"/>
      <c r="I65" s="174"/>
      <c r="J65" s="174"/>
      <c r="K65" s="174"/>
    </row>
    <row r="66" spans="1:11" ht="42.75" customHeight="1">
      <c r="F66" s="175" t="s">
        <v>9</v>
      </c>
      <c r="G66" s="175" t="s">
        <v>37</v>
      </c>
      <c r="H66" s="175" t="s">
        <v>29</v>
      </c>
      <c r="I66" s="175" t="s">
        <v>30</v>
      </c>
      <c r="J66" s="175" t="s">
        <v>33</v>
      </c>
      <c r="K66" s="175" t="s">
        <v>34</v>
      </c>
    </row>
    <row r="67" spans="1:11" ht="18" customHeight="1">
      <c r="A67" s="154" t="s">
        <v>102</v>
      </c>
      <c r="B67" s="150" t="s">
        <v>12</v>
      </c>
      <c r="F67" s="176"/>
      <c r="G67" s="176"/>
      <c r="H67" s="176"/>
      <c r="I67" s="177"/>
      <c r="J67" s="176"/>
      <c r="K67" s="178"/>
    </row>
    <row r="68" spans="1:11" ht="18" customHeight="1">
      <c r="A68" s="151" t="s">
        <v>103</v>
      </c>
      <c r="B68" s="147" t="s">
        <v>52</v>
      </c>
      <c r="F68" s="179">
        <v>10390</v>
      </c>
      <c r="G68" s="179">
        <v>1630</v>
      </c>
      <c r="H68" s="179">
        <v>806962</v>
      </c>
      <c r="I68" s="158">
        <f>H68*F$114</f>
        <v>543892.38800000004</v>
      </c>
      <c r="J68" s="179"/>
      <c r="K68" s="159">
        <f>(H68+I68)-J68</f>
        <v>1350854.388</v>
      </c>
    </row>
    <row r="69" spans="1:11" ht="18" customHeight="1">
      <c r="A69" s="151" t="s">
        <v>104</v>
      </c>
      <c r="B69" s="155" t="s">
        <v>53</v>
      </c>
      <c r="F69" s="179"/>
      <c r="G69" s="179"/>
      <c r="H69" s="179"/>
      <c r="I69" s="158">
        <f>H69*F$114</f>
        <v>0</v>
      </c>
      <c r="J69" s="179"/>
      <c r="K69" s="159">
        <f>(H69+I69)-J69</f>
        <v>0</v>
      </c>
    </row>
    <row r="70" spans="1:11" ht="18" customHeight="1">
      <c r="A70" s="151" t="s">
        <v>178</v>
      </c>
      <c r="B70" s="396"/>
      <c r="C70" s="397"/>
      <c r="D70" s="392"/>
      <c r="E70" s="150"/>
      <c r="F70" s="180"/>
      <c r="G70" s="180"/>
      <c r="H70" s="181"/>
      <c r="I70" s="158">
        <f>H70*F$114</f>
        <v>0</v>
      </c>
      <c r="J70" s="181"/>
      <c r="K70" s="159">
        <f>(H70+I70)-J70</f>
        <v>0</v>
      </c>
    </row>
    <row r="71" spans="1:11" ht="18" customHeight="1">
      <c r="A71" s="151" t="s">
        <v>179</v>
      </c>
      <c r="B71" s="396"/>
      <c r="C71" s="397"/>
      <c r="D71" s="392"/>
      <c r="E71" s="150"/>
      <c r="F71" s="180"/>
      <c r="G71" s="180"/>
      <c r="H71" s="181"/>
      <c r="I71" s="158">
        <f>H71*F$114</f>
        <v>0</v>
      </c>
      <c r="J71" s="181"/>
      <c r="K71" s="159">
        <f>(H71+I71)-J71</f>
        <v>0</v>
      </c>
    </row>
    <row r="72" spans="1:11" ht="18" customHeight="1">
      <c r="A72" s="151" t="s">
        <v>180</v>
      </c>
      <c r="B72" s="390"/>
      <c r="C72" s="391"/>
      <c r="D72" s="182"/>
      <c r="E72" s="150"/>
      <c r="F72" s="156"/>
      <c r="G72" s="156"/>
      <c r="H72" s="157"/>
      <c r="I72" s="158">
        <f>H72*F$114</f>
        <v>0</v>
      </c>
      <c r="J72" s="157"/>
      <c r="K72" s="159">
        <f>(H72+I72)-J72</f>
        <v>0</v>
      </c>
    </row>
    <row r="73" spans="1:11" ht="18" customHeight="1">
      <c r="A73" s="151"/>
      <c r="B73" s="155"/>
      <c r="E73" s="150"/>
      <c r="F73" s="183"/>
      <c r="G73" s="183"/>
      <c r="H73" s="184"/>
      <c r="I73" s="177"/>
      <c r="J73" s="184"/>
      <c r="K73" s="178"/>
    </row>
    <row r="74" spans="1:11" ht="18" customHeight="1">
      <c r="A74" s="154" t="s">
        <v>146</v>
      </c>
      <c r="B74" s="150" t="s">
        <v>147</v>
      </c>
      <c r="E74" s="150" t="s">
        <v>7</v>
      </c>
      <c r="F74" s="185">
        <f t="shared" ref="F74:K74" si="9">SUM(F68:F72)</f>
        <v>10390</v>
      </c>
      <c r="G74" s="185">
        <f t="shared" si="9"/>
        <v>1630</v>
      </c>
      <c r="H74" s="185">
        <f t="shared" si="9"/>
        <v>806962</v>
      </c>
      <c r="I74" s="186">
        <f t="shared" si="9"/>
        <v>543892.38800000004</v>
      </c>
      <c r="J74" s="185">
        <f t="shared" si="9"/>
        <v>0</v>
      </c>
      <c r="K74" s="187">
        <f t="shared" si="9"/>
        <v>1350854.388</v>
      </c>
    </row>
    <row r="75" spans="1:11" ht="42.75" customHeight="1">
      <c r="F75" s="153" t="s">
        <v>9</v>
      </c>
      <c r="G75" s="153" t="s">
        <v>37</v>
      </c>
      <c r="H75" s="153" t="s">
        <v>29</v>
      </c>
      <c r="I75" s="153" t="s">
        <v>30</v>
      </c>
      <c r="J75" s="153" t="s">
        <v>33</v>
      </c>
      <c r="K75" s="153" t="s">
        <v>34</v>
      </c>
    </row>
    <row r="76" spans="1:11" ht="18" customHeight="1">
      <c r="A76" s="154" t="s">
        <v>105</v>
      </c>
      <c r="B76" s="150" t="s">
        <v>106</v>
      </c>
    </row>
    <row r="77" spans="1:11" ht="18" customHeight="1">
      <c r="A77" s="151" t="s">
        <v>107</v>
      </c>
      <c r="B77" s="155" t="s">
        <v>54</v>
      </c>
      <c r="F77" s="156"/>
      <c r="G77" s="156"/>
      <c r="H77" s="157">
        <v>1484426</v>
      </c>
      <c r="I77" s="158">
        <f>H77*0.005</f>
        <v>7422.13</v>
      </c>
      <c r="J77" s="157"/>
      <c r="K77" s="159">
        <f>(H77+I77)-J77</f>
        <v>1491848.13</v>
      </c>
    </row>
    <row r="78" spans="1:11" ht="18" customHeight="1">
      <c r="A78" s="151" t="s">
        <v>108</v>
      </c>
      <c r="B78" s="155" t="s">
        <v>55</v>
      </c>
      <c r="F78" s="156"/>
      <c r="G78" s="156"/>
      <c r="H78" s="157"/>
      <c r="I78" s="158">
        <v>0</v>
      </c>
      <c r="J78" s="157"/>
      <c r="K78" s="159">
        <f>(H78+I78)-J78</f>
        <v>0</v>
      </c>
    </row>
    <row r="79" spans="1:11" ht="18" customHeight="1">
      <c r="A79" s="151" t="s">
        <v>109</v>
      </c>
      <c r="B79" s="155" t="s">
        <v>13</v>
      </c>
      <c r="F79" s="156">
        <v>3327</v>
      </c>
      <c r="G79" s="156">
        <v>690</v>
      </c>
      <c r="H79" s="157">
        <v>185842</v>
      </c>
      <c r="I79" s="158">
        <f>H79*F$114</f>
        <v>125257.508</v>
      </c>
      <c r="J79" s="157"/>
      <c r="K79" s="159">
        <f>(H79+I79)-J79</f>
        <v>311099.50800000003</v>
      </c>
    </row>
    <row r="80" spans="1:11" ht="18" customHeight="1">
      <c r="A80" s="151" t="s">
        <v>110</v>
      </c>
      <c r="B80" s="155" t="s">
        <v>56</v>
      </c>
      <c r="F80" s="156"/>
      <c r="G80" s="156"/>
      <c r="H80" s="157"/>
      <c r="I80" s="158">
        <v>0</v>
      </c>
      <c r="J80" s="157"/>
      <c r="K80" s="159">
        <f>(H80+I80)-J80</f>
        <v>0</v>
      </c>
    </row>
    <row r="81" spans="1:11" ht="18" customHeight="1">
      <c r="A81" s="151"/>
      <c r="K81" s="188"/>
    </row>
    <row r="82" spans="1:11" ht="18" customHeight="1">
      <c r="A82" s="151" t="s">
        <v>148</v>
      </c>
      <c r="B82" s="150" t="s">
        <v>149</v>
      </c>
      <c r="E82" s="150" t="s">
        <v>7</v>
      </c>
      <c r="F82" s="185">
        <f t="shared" ref="F82:K82" si="10">SUM(F77:F80)</f>
        <v>3327</v>
      </c>
      <c r="G82" s="185">
        <f t="shared" si="10"/>
        <v>690</v>
      </c>
      <c r="H82" s="187">
        <f t="shared" si="10"/>
        <v>1670268</v>
      </c>
      <c r="I82" s="187">
        <f t="shared" si="10"/>
        <v>132679.63800000001</v>
      </c>
      <c r="J82" s="187">
        <f t="shared" si="10"/>
        <v>0</v>
      </c>
      <c r="K82" s="187">
        <f t="shared" si="10"/>
        <v>1802947.6379999998</v>
      </c>
    </row>
    <row r="83" spans="1:11" ht="18" customHeight="1" thickBot="1">
      <c r="A83" s="151"/>
      <c r="F83" s="172"/>
      <c r="G83" s="172"/>
      <c r="H83" s="172"/>
      <c r="I83" s="172"/>
      <c r="J83" s="172"/>
      <c r="K83" s="172"/>
    </row>
    <row r="84" spans="1:11" ht="42.75" customHeight="1">
      <c r="F84" s="153" t="s">
        <v>9</v>
      </c>
      <c r="G84" s="153" t="s">
        <v>37</v>
      </c>
      <c r="H84" s="153" t="s">
        <v>29</v>
      </c>
      <c r="I84" s="153" t="s">
        <v>30</v>
      </c>
      <c r="J84" s="153" t="s">
        <v>33</v>
      </c>
      <c r="K84" s="153" t="s">
        <v>34</v>
      </c>
    </row>
    <row r="85" spans="1:11" ht="18" customHeight="1">
      <c r="A85" s="154" t="s">
        <v>111</v>
      </c>
      <c r="B85" s="150" t="s">
        <v>57</v>
      </c>
    </row>
    <row r="86" spans="1:11" ht="18" customHeight="1">
      <c r="A86" s="151" t="s">
        <v>112</v>
      </c>
      <c r="B86" s="155" t="s">
        <v>113</v>
      </c>
      <c r="F86" s="156"/>
      <c r="G86" s="156"/>
      <c r="H86" s="157">
        <v>18620</v>
      </c>
      <c r="I86" s="158">
        <f t="shared" ref="I86:I96" si="11">H86*F$114</f>
        <v>12549.880000000001</v>
      </c>
      <c r="J86" s="157"/>
      <c r="K86" s="159">
        <f t="shared" ref="K86:K96" si="12">(H86+I86)-J86</f>
        <v>31169.88</v>
      </c>
    </row>
    <row r="87" spans="1:11" ht="18" customHeight="1">
      <c r="A87" s="151" t="s">
        <v>114</v>
      </c>
      <c r="B87" s="155" t="s">
        <v>14</v>
      </c>
      <c r="F87" s="156">
        <v>12053</v>
      </c>
      <c r="G87" s="156">
        <v>629</v>
      </c>
      <c r="H87" s="157">
        <v>316959</v>
      </c>
      <c r="I87" s="158">
        <f t="shared" si="11"/>
        <v>213630.36600000001</v>
      </c>
      <c r="J87" s="157">
        <v>245831</v>
      </c>
      <c r="K87" s="159">
        <f t="shared" si="12"/>
        <v>284758.36600000004</v>
      </c>
    </row>
    <row r="88" spans="1:11" ht="18" customHeight="1">
      <c r="A88" s="151" t="s">
        <v>115</v>
      </c>
      <c r="B88" s="155" t="s">
        <v>116</v>
      </c>
      <c r="F88" s="156">
        <v>1165</v>
      </c>
      <c r="G88" s="156">
        <v>1</v>
      </c>
      <c r="H88" s="157">
        <v>61126</v>
      </c>
      <c r="I88" s="158">
        <f t="shared" si="11"/>
        <v>41198.923999999999</v>
      </c>
      <c r="J88" s="157"/>
      <c r="K88" s="159">
        <f t="shared" si="12"/>
        <v>102324.924</v>
      </c>
    </row>
    <row r="89" spans="1:11" ht="18" customHeight="1">
      <c r="A89" s="151" t="s">
        <v>117</v>
      </c>
      <c r="B89" s="155" t="s">
        <v>58</v>
      </c>
      <c r="F89" s="156"/>
      <c r="G89" s="156"/>
      <c r="H89" s="157"/>
      <c r="I89" s="158">
        <f t="shared" si="11"/>
        <v>0</v>
      </c>
      <c r="J89" s="157"/>
      <c r="K89" s="159">
        <f t="shared" si="12"/>
        <v>0</v>
      </c>
    </row>
    <row r="90" spans="1:11" ht="18" customHeight="1">
      <c r="A90" s="151" t="s">
        <v>118</v>
      </c>
      <c r="B90" s="904" t="s">
        <v>59</v>
      </c>
      <c r="C90" s="907"/>
      <c r="F90" s="156">
        <v>4338</v>
      </c>
      <c r="G90" s="156">
        <v>82</v>
      </c>
      <c r="H90" s="157">
        <v>149190</v>
      </c>
      <c r="I90" s="158">
        <f t="shared" si="11"/>
        <v>100554.06000000001</v>
      </c>
      <c r="J90" s="157"/>
      <c r="K90" s="159">
        <f t="shared" si="12"/>
        <v>249744.06</v>
      </c>
    </row>
    <row r="91" spans="1:11" ht="18" customHeight="1">
      <c r="A91" s="151" t="s">
        <v>119</v>
      </c>
      <c r="B91" s="155" t="s">
        <v>60</v>
      </c>
      <c r="F91" s="156"/>
      <c r="G91" s="156"/>
      <c r="H91" s="157"/>
      <c r="I91" s="158">
        <f t="shared" si="11"/>
        <v>0</v>
      </c>
      <c r="J91" s="157"/>
      <c r="K91" s="159">
        <f t="shared" si="12"/>
        <v>0</v>
      </c>
    </row>
    <row r="92" spans="1:11" ht="18" customHeight="1">
      <c r="A92" s="151" t="s">
        <v>120</v>
      </c>
      <c r="B92" s="155" t="s">
        <v>121</v>
      </c>
      <c r="F92" s="189"/>
      <c r="G92" s="189"/>
      <c r="H92" s="190"/>
      <c r="I92" s="158">
        <f t="shared" si="11"/>
        <v>0</v>
      </c>
      <c r="J92" s="190"/>
      <c r="K92" s="159">
        <f t="shared" si="12"/>
        <v>0</v>
      </c>
    </row>
    <row r="93" spans="1:11" ht="18" customHeight="1">
      <c r="A93" s="151" t="s">
        <v>122</v>
      </c>
      <c r="B93" s="155" t="s">
        <v>123</v>
      </c>
      <c r="F93" s="156">
        <v>1001</v>
      </c>
      <c r="G93" s="156"/>
      <c r="H93" s="157">
        <v>170029</v>
      </c>
      <c r="I93" s="158">
        <f t="shared" si="11"/>
        <v>114599.546</v>
      </c>
      <c r="J93" s="157"/>
      <c r="K93" s="159">
        <f t="shared" si="12"/>
        <v>284628.54599999997</v>
      </c>
    </row>
    <row r="94" spans="1:11" ht="18" customHeight="1">
      <c r="A94" s="151" t="s">
        <v>124</v>
      </c>
      <c r="B94" s="901"/>
      <c r="C94" s="902"/>
      <c r="D94" s="903"/>
      <c r="F94" s="156"/>
      <c r="G94" s="156"/>
      <c r="H94" s="157"/>
      <c r="I94" s="158">
        <f t="shared" si="11"/>
        <v>0</v>
      </c>
      <c r="J94" s="157"/>
      <c r="K94" s="159">
        <f t="shared" si="12"/>
        <v>0</v>
      </c>
    </row>
    <row r="95" spans="1:11" ht="18" customHeight="1">
      <c r="A95" s="151" t="s">
        <v>125</v>
      </c>
      <c r="B95" s="901"/>
      <c r="C95" s="902"/>
      <c r="D95" s="903"/>
      <c r="F95" s="156"/>
      <c r="G95" s="156"/>
      <c r="H95" s="157"/>
      <c r="I95" s="158">
        <f t="shared" si="11"/>
        <v>0</v>
      </c>
      <c r="J95" s="157"/>
      <c r="K95" s="159">
        <f t="shared" si="12"/>
        <v>0</v>
      </c>
    </row>
    <row r="96" spans="1:11" ht="18" customHeight="1">
      <c r="A96" s="151" t="s">
        <v>126</v>
      </c>
      <c r="B96" s="901"/>
      <c r="C96" s="902"/>
      <c r="D96" s="903"/>
      <c r="F96" s="156"/>
      <c r="G96" s="156"/>
      <c r="H96" s="157"/>
      <c r="I96" s="158">
        <f t="shared" si="11"/>
        <v>0</v>
      </c>
      <c r="J96" s="157"/>
      <c r="K96" s="159">
        <f t="shared" si="12"/>
        <v>0</v>
      </c>
    </row>
    <row r="97" spans="1:11" ht="18" customHeight="1">
      <c r="A97" s="151"/>
      <c r="B97" s="155"/>
    </row>
    <row r="98" spans="1:11" ht="18" customHeight="1">
      <c r="A98" s="154" t="s">
        <v>150</v>
      </c>
      <c r="B98" s="150" t="s">
        <v>151</v>
      </c>
      <c r="E98" s="150" t="s">
        <v>7</v>
      </c>
      <c r="F98" s="162">
        <f t="shared" ref="F98:K98" si="13">SUM(F86:F96)</f>
        <v>18557</v>
      </c>
      <c r="G98" s="162">
        <f t="shared" si="13"/>
        <v>712</v>
      </c>
      <c r="H98" s="162">
        <f t="shared" si="13"/>
        <v>715924</v>
      </c>
      <c r="I98" s="162">
        <f t="shared" si="13"/>
        <v>482532.77600000007</v>
      </c>
      <c r="J98" s="162">
        <f t="shared" si="13"/>
        <v>245831</v>
      </c>
      <c r="K98" s="162">
        <f t="shared" si="13"/>
        <v>952625.77599999995</v>
      </c>
    </row>
    <row r="99" spans="1:11" ht="18" customHeight="1" thickBot="1">
      <c r="B99" s="150"/>
      <c r="F99" s="172"/>
      <c r="G99" s="172"/>
      <c r="H99" s="172"/>
      <c r="I99" s="172"/>
      <c r="J99" s="172"/>
      <c r="K99" s="172"/>
    </row>
    <row r="100" spans="1:11" ht="42.75" customHeight="1">
      <c r="F100" s="153" t="s">
        <v>9</v>
      </c>
      <c r="G100" s="153" t="s">
        <v>37</v>
      </c>
      <c r="H100" s="153" t="s">
        <v>29</v>
      </c>
      <c r="I100" s="153" t="s">
        <v>30</v>
      </c>
      <c r="J100" s="153" t="s">
        <v>33</v>
      </c>
      <c r="K100" s="153" t="s">
        <v>34</v>
      </c>
    </row>
    <row r="101" spans="1:11" ht="18" customHeight="1">
      <c r="A101" s="154" t="s">
        <v>130</v>
      </c>
      <c r="B101" s="150" t="s">
        <v>63</v>
      </c>
    </row>
    <row r="102" spans="1:11" ht="18" customHeight="1">
      <c r="A102" s="151" t="s">
        <v>131</v>
      </c>
      <c r="B102" s="155" t="s">
        <v>152</v>
      </c>
      <c r="F102" s="156">
        <v>2554</v>
      </c>
      <c r="G102" s="156"/>
      <c r="H102" s="157">
        <v>129257</v>
      </c>
      <c r="I102" s="158">
        <f>H102*F$114</f>
        <v>87119.218000000008</v>
      </c>
      <c r="J102" s="157"/>
      <c r="K102" s="159">
        <f>(H102+I102)-J102</f>
        <v>216376.21799999999</v>
      </c>
    </row>
    <row r="103" spans="1:11" ht="18" customHeight="1">
      <c r="A103" s="151" t="s">
        <v>132</v>
      </c>
      <c r="B103" s="904" t="s">
        <v>62</v>
      </c>
      <c r="C103" s="904"/>
      <c r="F103" s="156"/>
      <c r="G103" s="156"/>
      <c r="H103" s="157"/>
      <c r="I103" s="158">
        <f>H103*F$114</f>
        <v>0</v>
      </c>
      <c r="J103" s="157"/>
      <c r="K103" s="159">
        <f>(H103+I103)-J103</f>
        <v>0</v>
      </c>
    </row>
    <row r="104" spans="1:11" ht="18" customHeight="1">
      <c r="A104" s="151" t="s">
        <v>128</v>
      </c>
      <c r="B104" s="901"/>
      <c r="C104" s="902"/>
      <c r="D104" s="903"/>
      <c r="F104" s="156"/>
      <c r="G104" s="156"/>
      <c r="H104" s="157"/>
      <c r="I104" s="158">
        <f>H104*F$114</f>
        <v>0</v>
      </c>
      <c r="J104" s="157"/>
      <c r="K104" s="159">
        <f>(H104+I104)-J104</f>
        <v>0</v>
      </c>
    </row>
    <row r="105" spans="1:11" ht="18" customHeight="1">
      <c r="A105" s="151" t="s">
        <v>127</v>
      </c>
      <c r="B105" s="901"/>
      <c r="C105" s="902"/>
      <c r="D105" s="903"/>
      <c r="F105" s="156"/>
      <c r="G105" s="156"/>
      <c r="H105" s="157"/>
      <c r="I105" s="158">
        <f>H105*F$114</f>
        <v>0</v>
      </c>
      <c r="J105" s="157"/>
      <c r="K105" s="159">
        <f>(H105+I105)-J105</f>
        <v>0</v>
      </c>
    </row>
    <row r="106" spans="1:11" ht="18" customHeight="1">
      <c r="A106" s="151" t="s">
        <v>129</v>
      </c>
      <c r="B106" s="901"/>
      <c r="C106" s="902"/>
      <c r="D106" s="903"/>
      <c r="F106" s="156"/>
      <c r="G106" s="156"/>
      <c r="H106" s="157"/>
      <c r="I106" s="158">
        <f>H106*F$114</f>
        <v>0</v>
      </c>
      <c r="J106" s="157"/>
      <c r="K106" s="159">
        <f>(H106+I106)-J106</f>
        <v>0</v>
      </c>
    </row>
    <row r="107" spans="1:11" ht="18" customHeight="1">
      <c r="B107" s="150"/>
    </row>
    <row r="108" spans="1:11" s="167" customFormat="1" ht="18" customHeight="1">
      <c r="A108" s="154" t="s">
        <v>153</v>
      </c>
      <c r="B108" s="191" t="s">
        <v>154</v>
      </c>
      <c r="C108" s="147"/>
      <c r="D108" s="147"/>
      <c r="E108" s="150" t="s">
        <v>7</v>
      </c>
      <c r="F108" s="162">
        <f t="shared" ref="F108:K108" si="14">SUM(F102:F106)</f>
        <v>2554</v>
      </c>
      <c r="G108" s="162">
        <f t="shared" si="14"/>
        <v>0</v>
      </c>
      <c r="H108" s="159">
        <f t="shared" si="14"/>
        <v>129257</v>
      </c>
      <c r="I108" s="159">
        <f t="shared" si="14"/>
        <v>87119.218000000008</v>
      </c>
      <c r="J108" s="159">
        <f t="shared" si="14"/>
        <v>0</v>
      </c>
      <c r="K108" s="159">
        <f t="shared" si="14"/>
        <v>216376.21799999999</v>
      </c>
    </row>
    <row r="109" spans="1:11" s="167" customFormat="1" ht="18" customHeight="1" thickBot="1">
      <c r="A109" s="192"/>
      <c r="B109" s="193"/>
      <c r="C109" s="194"/>
      <c r="D109" s="194"/>
      <c r="E109" s="194"/>
      <c r="F109" s="172"/>
      <c r="G109" s="172"/>
      <c r="H109" s="172"/>
      <c r="I109" s="172"/>
      <c r="J109" s="172"/>
      <c r="K109" s="172"/>
    </row>
    <row r="110" spans="1:11" s="167" customFormat="1" ht="18" customHeight="1">
      <c r="A110" s="154" t="s">
        <v>156</v>
      </c>
      <c r="B110" s="150" t="s">
        <v>39</v>
      </c>
      <c r="C110" s="147"/>
      <c r="D110" s="147"/>
      <c r="E110" s="147"/>
      <c r="F110" s="147"/>
      <c r="G110" s="147"/>
      <c r="H110" s="147"/>
      <c r="I110" s="147"/>
      <c r="J110" s="147"/>
      <c r="K110" s="147"/>
    </row>
    <row r="111" spans="1:11" ht="18" customHeight="1">
      <c r="A111" s="154" t="s">
        <v>155</v>
      </c>
      <c r="B111" s="150" t="s">
        <v>164</v>
      </c>
      <c r="E111" s="150" t="s">
        <v>7</v>
      </c>
      <c r="F111" s="157">
        <v>17927395</v>
      </c>
    </row>
    <row r="112" spans="1:11" ht="18" customHeight="1">
      <c r="B112" s="150"/>
      <c r="E112" s="150"/>
      <c r="F112" s="195"/>
    </row>
    <row r="113" spans="1:6" ht="18" customHeight="1">
      <c r="A113" s="154"/>
      <c r="B113" s="150" t="s">
        <v>15</v>
      </c>
    </row>
    <row r="114" spans="1:6" ht="18" customHeight="1">
      <c r="A114" s="151" t="s">
        <v>171</v>
      </c>
      <c r="B114" s="155" t="s">
        <v>35</v>
      </c>
      <c r="F114" s="196">
        <v>0.67400000000000004</v>
      </c>
    </row>
    <row r="115" spans="1:6" ht="18" customHeight="1">
      <c r="A115" s="151"/>
      <c r="B115" s="150"/>
    </row>
    <row r="116" spans="1:6" ht="18" customHeight="1">
      <c r="A116" s="151" t="s">
        <v>170</v>
      </c>
      <c r="B116" s="150" t="s">
        <v>16</v>
      </c>
    </row>
    <row r="117" spans="1:6" ht="18" customHeight="1">
      <c r="A117" s="151" t="s">
        <v>172</v>
      </c>
      <c r="B117" s="155" t="s">
        <v>17</v>
      </c>
      <c r="F117" s="157">
        <v>422812500</v>
      </c>
    </row>
    <row r="118" spans="1:6" ht="18" customHeight="1">
      <c r="A118" s="151" t="s">
        <v>173</v>
      </c>
      <c r="B118" s="147" t="s">
        <v>18</v>
      </c>
      <c r="F118" s="157">
        <v>28444900</v>
      </c>
    </row>
    <row r="119" spans="1:6" ht="18" customHeight="1">
      <c r="A119" s="151" t="s">
        <v>174</v>
      </c>
      <c r="B119" s="150" t="s">
        <v>19</v>
      </c>
      <c r="F119" s="187">
        <f>SUM(F117:F118)</f>
        <v>451257400</v>
      </c>
    </row>
    <row r="120" spans="1:6" ht="18" customHeight="1">
      <c r="A120" s="151"/>
      <c r="B120" s="150"/>
    </row>
    <row r="121" spans="1:6" ht="18" customHeight="1">
      <c r="A121" s="151" t="s">
        <v>167</v>
      </c>
      <c r="B121" s="150" t="s">
        <v>36</v>
      </c>
      <c r="F121" s="157">
        <v>440636000</v>
      </c>
    </row>
    <row r="122" spans="1:6" ht="18" customHeight="1">
      <c r="A122" s="151"/>
    </row>
    <row r="123" spans="1:6" ht="18" customHeight="1">
      <c r="A123" s="151" t="s">
        <v>175</v>
      </c>
      <c r="B123" s="150" t="s">
        <v>20</v>
      </c>
      <c r="F123" s="157">
        <f>+F119-F121</f>
        <v>10621400</v>
      </c>
    </row>
    <row r="124" spans="1:6" ht="18" customHeight="1">
      <c r="A124" s="151"/>
    </row>
    <row r="125" spans="1:6" ht="18" customHeight="1">
      <c r="A125" s="151" t="s">
        <v>176</v>
      </c>
      <c r="B125" s="150" t="s">
        <v>21</v>
      </c>
      <c r="F125" s="157">
        <f>16544300-F123</f>
        <v>5922900</v>
      </c>
    </row>
    <row r="126" spans="1:6" ht="18" customHeight="1">
      <c r="A126" s="151"/>
    </row>
    <row r="127" spans="1:6" ht="18" customHeight="1">
      <c r="A127" s="151" t="s">
        <v>177</v>
      </c>
      <c r="B127" s="150" t="s">
        <v>22</v>
      </c>
      <c r="F127" s="157">
        <f>+F123+F125</f>
        <v>16544300</v>
      </c>
    </row>
    <row r="128" spans="1:6" ht="18" customHeight="1">
      <c r="A128" s="151"/>
    </row>
    <row r="129" spans="1:11" ht="42.75" customHeight="1">
      <c r="F129" s="153" t="s">
        <v>9</v>
      </c>
      <c r="G129" s="153" t="s">
        <v>37</v>
      </c>
      <c r="H129" s="153" t="s">
        <v>29</v>
      </c>
      <c r="I129" s="153" t="s">
        <v>30</v>
      </c>
      <c r="J129" s="153" t="s">
        <v>33</v>
      </c>
      <c r="K129" s="153" t="s">
        <v>34</v>
      </c>
    </row>
    <row r="130" spans="1:11" ht="18" customHeight="1">
      <c r="A130" s="154" t="s">
        <v>157</v>
      </c>
      <c r="B130" s="150" t="s">
        <v>23</v>
      </c>
    </row>
    <row r="131" spans="1:11" ht="18" customHeight="1">
      <c r="A131" s="151" t="s">
        <v>158</v>
      </c>
      <c r="B131" s="147" t="s">
        <v>24</v>
      </c>
      <c r="F131" s="156"/>
      <c r="G131" s="156"/>
      <c r="H131" s="157"/>
      <c r="I131" s="158">
        <v>0</v>
      </c>
      <c r="J131" s="157"/>
      <c r="K131" s="159">
        <f>(H131+I131)-J131</f>
        <v>0</v>
      </c>
    </row>
    <row r="132" spans="1:11" ht="18" customHeight="1">
      <c r="A132" s="151" t="s">
        <v>159</v>
      </c>
      <c r="B132" s="147" t="s">
        <v>25</v>
      </c>
      <c r="F132" s="156"/>
      <c r="G132" s="156"/>
      <c r="H132" s="157"/>
      <c r="I132" s="158">
        <v>0</v>
      </c>
      <c r="J132" s="157"/>
      <c r="K132" s="159">
        <f>(H132+I132)-J132</f>
        <v>0</v>
      </c>
    </row>
    <row r="133" spans="1:11" ht="18" customHeight="1">
      <c r="A133" s="151" t="s">
        <v>160</v>
      </c>
      <c r="B133" s="898"/>
      <c r="C133" s="899"/>
      <c r="D133" s="900"/>
      <c r="F133" s="156"/>
      <c r="G133" s="156"/>
      <c r="H133" s="157"/>
      <c r="I133" s="158">
        <v>0</v>
      </c>
      <c r="J133" s="157"/>
      <c r="K133" s="159">
        <f>(H133+I133)-J133</f>
        <v>0</v>
      </c>
    </row>
    <row r="134" spans="1:11" ht="18" customHeight="1">
      <c r="A134" s="151" t="s">
        <v>161</v>
      </c>
      <c r="B134" s="898"/>
      <c r="C134" s="899"/>
      <c r="D134" s="900"/>
      <c r="F134" s="156"/>
      <c r="G134" s="156"/>
      <c r="H134" s="157"/>
      <c r="I134" s="158">
        <v>0</v>
      </c>
      <c r="J134" s="157"/>
      <c r="K134" s="159">
        <f>(H134+I134)-J134</f>
        <v>0</v>
      </c>
    </row>
    <row r="135" spans="1:11" ht="18" customHeight="1">
      <c r="A135" s="151" t="s">
        <v>162</v>
      </c>
      <c r="B135" s="898"/>
      <c r="C135" s="899"/>
      <c r="D135" s="900"/>
      <c r="F135" s="156"/>
      <c r="G135" s="156"/>
      <c r="H135" s="157"/>
      <c r="I135" s="158">
        <v>0</v>
      </c>
      <c r="J135" s="157"/>
      <c r="K135" s="159">
        <f>(H135+I135)-J135</f>
        <v>0</v>
      </c>
    </row>
    <row r="136" spans="1:11" ht="18" customHeight="1">
      <c r="A136" s="154"/>
    </row>
    <row r="137" spans="1:11" ht="18" customHeight="1">
      <c r="A137" s="154" t="s">
        <v>163</v>
      </c>
      <c r="B137" s="150" t="s">
        <v>27</v>
      </c>
      <c r="F137" s="162">
        <f t="shared" ref="F137:K137" si="15">SUM(F131:F135)</f>
        <v>0</v>
      </c>
      <c r="G137" s="162">
        <f t="shared" si="15"/>
        <v>0</v>
      </c>
      <c r="H137" s="159">
        <f t="shared" si="15"/>
        <v>0</v>
      </c>
      <c r="I137" s="159">
        <f t="shared" si="15"/>
        <v>0</v>
      </c>
      <c r="J137" s="159">
        <f t="shared" si="15"/>
        <v>0</v>
      </c>
      <c r="K137" s="159">
        <f t="shared" si="15"/>
        <v>0</v>
      </c>
    </row>
    <row r="138" spans="1:11" ht="18" customHeight="1">
      <c r="A138" s="147"/>
    </row>
    <row r="139" spans="1:11" ht="42.75" customHeight="1">
      <c r="F139" s="153" t="s">
        <v>9</v>
      </c>
      <c r="G139" s="153" t="s">
        <v>37</v>
      </c>
      <c r="H139" s="153" t="s">
        <v>29</v>
      </c>
      <c r="I139" s="153" t="s">
        <v>30</v>
      </c>
      <c r="J139" s="153" t="s">
        <v>33</v>
      </c>
      <c r="K139" s="153" t="s">
        <v>34</v>
      </c>
    </row>
    <row r="140" spans="1:11" ht="18" customHeight="1">
      <c r="A140" s="154" t="s">
        <v>166</v>
      </c>
      <c r="B140" s="150" t="s">
        <v>26</v>
      </c>
    </row>
    <row r="141" spans="1:11" ht="18" customHeight="1">
      <c r="A141" s="151" t="s">
        <v>137</v>
      </c>
      <c r="B141" s="150" t="s">
        <v>64</v>
      </c>
      <c r="F141" s="197">
        <f t="shared" ref="F141:K141" si="16">F36</f>
        <v>52875</v>
      </c>
      <c r="G141" s="197">
        <f t="shared" si="16"/>
        <v>51798</v>
      </c>
      <c r="H141" s="197">
        <f t="shared" si="16"/>
        <v>4873674</v>
      </c>
      <c r="I141" s="197">
        <f t="shared" si="16"/>
        <v>3284856.5580000002</v>
      </c>
      <c r="J141" s="197">
        <f t="shared" si="16"/>
        <v>140763</v>
      </c>
      <c r="K141" s="197">
        <f t="shared" si="16"/>
        <v>8017767.5580000002</v>
      </c>
    </row>
    <row r="142" spans="1:11" ht="18" customHeight="1">
      <c r="A142" s="151" t="s">
        <v>142</v>
      </c>
      <c r="B142" s="150" t="s">
        <v>65</v>
      </c>
      <c r="F142" s="197">
        <f t="shared" ref="F142:K142" si="17">F49</f>
        <v>63284</v>
      </c>
      <c r="G142" s="197">
        <f t="shared" si="17"/>
        <v>0</v>
      </c>
      <c r="H142" s="197">
        <f t="shared" si="17"/>
        <v>8531847</v>
      </c>
      <c r="I142" s="197">
        <f t="shared" si="17"/>
        <v>5750464.8780000005</v>
      </c>
      <c r="J142" s="197">
        <f t="shared" si="17"/>
        <v>300000</v>
      </c>
      <c r="K142" s="197">
        <f t="shared" si="17"/>
        <v>13982311.878</v>
      </c>
    </row>
    <row r="143" spans="1:11" ht="18" customHeight="1">
      <c r="A143" s="151" t="s">
        <v>144</v>
      </c>
      <c r="B143" s="150" t="s">
        <v>66</v>
      </c>
      <c r="F143" s="197">
        <f t="shared" ref="F143:K143" si="18">F64</f>
        <v>65023</v>
      </c>
      <c r="G143" s="197">
        <f t="shared" si="18"/>
        <v>44383</v>
      </c>
      <c r="H143" s="197">
        <f t="shared" si="18"/>
        <v>8569949</v>
      </c>
      <c r="I143" s="197">
        <f t="shared" si="18"/>
        <v>5776145.626000002</v>
      </c>
      <c r="J143" s="197">
        <f t="shared" si="18"/>
        <v>1089182</v>
      </c>
      <c r="K143" s="197">
        <f t="shared" si="18"/>
        <v>13256912.625999998</v>
      </c>
    </row>
    <row r="144" spans="1:11" ht="18" customHeight="1">
      <c r="A144" s="151" t="s">
        <v>146</v>
      </c>
      <c r="B144" s="150" t="s">
        <v>67</v>
      </c>
      <c r="F144" s="197">
        <f t="shared" ref="F144:K144" si="19">F74</f>
        <v>10390</v>
      </c>
      <c r="G144" s="197">
        <f t="shared" si="19"/>
        <v>1630</v>
      </c>
      <c r="H144" s="197">
        <f t="shared" si="19"/>
        <v>806962</v>
      </c>
      <c r="I144" s="197">
        <f t="shared" si="19"/>
        <v>543892.38800000004</v>
      </c>
      <c r="J144" s="197">
        <f t="shared" si="19"/>
        <v>0</v>
      </c>
      <c r="K144" s="197">
        <f t="shared" si="19"/>
        <v>1350854.388</v>
      </c>
    </row>
    <row r="145" spans="1:11" ht="18" customHeight="1">
      <c r="A145" s="151" t="s">
        <v>148</v>
      </c>
      <c r="B145" s="150" t="s">
        <v>68</v>
      </c>
      <c r="F145" s="197">
        <f t="shared" ref="F145:K145" si="20">F82</f>
        <v>3327</v>
      </c>
      <c r="G145" s="197">
        <f t="shared" si="20"/>
        <v>690</v>
      </c>
      <c r="H145" s="197">
        <f t="shared" si="20"/>
        <v>1670268</v>
      </c>
      <c r="I145" s="197">
        <f t="shared" si="20"/>
        <v>132679.63800000001</v>
      </c>
      <c r="J145" s="197">
        <f t="shared" si="20"/>
        <v>0</v>
      </c>
      <c r="K145" s="197">
        <f t="shared" si="20"/>
        <v>1802947.6379999998</v>
      </c>
    </row>
    <row r="146" spans="1:11" ht="18" customHeight="1">
      <c r="A146" s="151" t="s">
        <v>150</v>
      </c>
      <c r="B146" s="150" t="s">
        <v>69</v>
      </c>
      <c r="F146" s="197">
        <f t="shared" ref="F146:K146" si="21">F98</f>
        <v>18557</v>
      </c>
      <c r="G146" s="197">
        <f t="shared" si="21"/>
        <v>712</v>
      </c>
      <c r="H146" s="197">
        <f t="shared" si="21"/>
        <v>715924</v>
      </c>
      <c r="I146" s="197">
        <f t="shared" si="21"/>
        <v>482532.77600000007</v>
      </c>
      <c r="J146" s="197">
        <f t="shared" si="21"/>
        <v>245831</v>
      </c>
      <c r="K146" s="197">
        <f t="shared" si="21"/>
        <v>952625.77599999995</v>
      </c>
    </row>
    <row r="147" spans="1:11" ht="18" customHeight="1">
      <c r="A147" s="151" t="s">
        <v>153</v>
      </c>
      <c r="B147" s="150" t="s">
        <v>61</v>
      </c>
      <c r="F147" s="162">
        <f t="shared" ref="F147:K147" si="22">F108</f>
        <v>2554</v>
      </c>
      <c r="G147" s="162">
        <f t="shared" si="22"/>
        <v>0</v>
      </c>
      <c r="H147" s="162">
        <f t="shared" si="22"/>
        <v>129257</v>
      </c>
      <c r="I147" s="162">
        <f t="shared" si="22"/>
        <v>87119.218000000008</v>
      </c>
      <c r="J147" s="162">
        <f t="shared" si="22"/>
        <v>0</v>
      </c>
      <c r="K147" s="162">
        <f t="shared" si="22"/>
        <v>216376.21799999999</v>
      </c>
    </row>
    <row r="148" spans="1:11" ht="18" customHeight="1">
      <c r="A148" s="151" t="s">
        <v>155</v>
      </c>
      <c r="B148" s="150" t="s">
        <v>70</v>
      </c>
      <c r="F148" s="198" t="s">
        <v>73</v>
      </c>
      <c r="G148" s="198" t="s">
        <v>73</v>
      </c>
      <c r="H148" s="199" t="s">
        <v>73</v>
      </c>
      <c r="I148" s="199" t="s">
        <v>73</v>
      </c>
      <c r="J148" s="199" t="s">
        <v>73</v>
      </c>
      <c r="K148" s="200">
        <f>F111</f>
        <v>17927395</v>
      </c>
    </row>
    <row r="149" spans="1:11" ht="18" customHeight="1">
      <c r="A149" s="151" t="s">
        <v>163</v>
      </c>
      <c r="B149" s="150" t="s">
        <v>71</v>
      </c>
      <c r="F149" s="162">
        <f t="shared" ref="F149:K149" si="23">F137</f>
        <v>0</v>
      </c>
      <c r="G149" s="162">
        <f t="shared" si="23"/>
        <v>0</v>
      </c>
      <c r="H149" s="162">
        <f t="shared" si="23"/>
        <v>0</v>
      </c>
      <c r="I149" s="162">
        <f t="shared" si="23"/>
        <v>0</v>
      </c>
      <c r="J149" s="162">
        <f t="shared" si="23"/>
        <v>0</v>
      </c>
      <c r="K149" s="162">
        <f t="shared" si="23"/>
        <v>0</v>
      </c>
    </row>
    <row r="150" spans="1:11" ht="18" customHeight="1">
      <c r="A150" s="151" t="s">
        <v>185</v>
      </c>
      <c r="B150" s="150" t="s">
        <v>186</v>
      </c>
      <c r="F150" s="198" t="s">
        <v>73</v>
      </c>
      <c r="G150" s="198" t="s">
        <v>73</v>
      </c>
      <c r="H150" s="162">
        <f>H18</f>
        <v>12584815</v>
      </c>
      <c r="I150" s="162">
        <f>I18</f>
        <v>0</v>
      </c>
      <c r="J150" s="162">
        <f>J18</f>
        <v>10761590</v>
      </c>
      <c r="K150" s="162">
        <f>K18</f>
        <v>1823225</v>
      </c>
    </row>
    <row r="151" spans="1:11" ht="18" customHeight="1">
      <c r="B151" s="150"/>
      <c r="F151" s="174"/>
      <c r="G151" s="174"/>
      <c r="H151" s="174"/>
      <c r="I151" s="174"/>
      <c r="J151" s="174"/>
      <c r="K151" s="174"/>
    </row>
    <row r="152" spans="1:11" ht="18" customHeight="1">
      <c r="A152" s="154" t="s">
        <v>165</v>
      </c>
      <c r="B152" s="150" t="s">
        <v>26</v>
      </c>
      <c r="F152" s="201">
        <f t="shared" ref="F152:K152" si="24">SUM(F141:F150)</f>
        <v>216010</v>
      </c>
      <c r="G152" s="201">
        <f t="shared" si="24"/>
        <v>99213</v>
      </c>
      <c r="H152" s="201">
        <f t="shared" si="24"/>
        <v>37882696</v>
      </c>
      <c r="I152" s="201">
        <f t="shared" si="24"/>
        <v>16057691.082000004</v>
      </c>
      <c r="J152" s="201">
        <f t="shared" si="24"/>
        <v>12537366</v>
      </c>
      <c r="K152" s="201">
        <f t="shared" si="24"/>
        <v>59330416.081999995</v>
      </c>
    </row>
    <row r="154" spans="1:11" ht="18" customHeight="1">
      <c r="A154" s="154" t="s">
        <v>168</v>
      </c>
      <c r="B154" s="150" t="s">
        <v>28</v>
      </c>
      <c r="F154" s="53">
        <f>K152/F121</f>
        <v>0.13464722828366268</v>
      </c>
    </row>
    <row r="155" spans="1:11" ht="18" customHeight="1">
      <c r="A155" s="154" t="s">
        <v>169</v>
      </c>
      <c r="B155" s="150" t="s">
        <v>72</v>
      </c>
      <c r="F155" s="53">
        <f>K152/F127</f>
        <v>3.5861545113422748</v>
      </c>
      <c r="G155" s="150"/>
    </row>
    <row r="156" spans="1:11" ht="18" customHeight="1">
      <c r="G156" s="150"/>
    </row>
  </sheetData>
  <sheetProtection algorithmName="SHA-512" hashValue="iVvdvBFvLJrCQayOzWBOnlmmkvSOlg0vsuWfxw4ykvUWsRMIU69Eos4F9LU4n3blGdfrud4L5z60Zw6vfmvLvQ==" saltValue="dNfDTr1s26G+Dg2uXX89nw==" spinCount="100000" sheet="1" objects="1" scenarios="1"/>
  <mergeCells count="34">
    <mergeCell ref="B41:C41"/>
    <mergeCell ref="D2:H2"/>
    <mergeCell ref="C5:G5"/>
    <mergeCell ref="C6:G6"/>
    <mergeCell ref="C7:G7"/>
    <mergeCell ref="C9:G9"/>
    <mergeCell ref="C10:G10"/>
    <mergeCell ref="C11:G11"/>
    <mergeCell ref="B13:H13"/>
    <mergeCell ref="B30:D30"/>
    <mergeCell ref="B31:D31"/>
    <mergeCell ref="B34:D34"/>
    <mergeCell ref="B90:C90"/>
    <mergeCell ref="B44:D44"/>
    <mergeCell ref="B45:D45"/>
    <mergeCell ref="B46:D46"/>
    <mergeCell ref="B47:D47"/>
    <mergeCell ref="B52:C52"/>
    <mergeCell ref="B53:D53"/>
    <mergeCell ref="B55:D55"/>
    <mergeCell ref="B56:D56"/>
    <mergeCell ref="B57:D57"/>
    <mergeCell ref="B59:D59"/>
    <mergeCell ref="B62:D62"/>
    <mergeCell ref="B106:D106"/>
    <mergeCell ref="B133:D133"/>
    <mergeCell ref="B134:D134"/>
    <mergeCell ref="B135:D135"/>
    <mergeCell ref="B94:D94"/>
    <mergeCell ref="B95:D95"/>
    <mergeCell ref="B96:D96"/>
    <mergeCell ref="B103:C103"/>
    <mergeCell ref="B104:D104"/>
    <mergeCell ref="B105:D105"/>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K156"/>
  <sheetViews>
    <sheetView showGridLines="0" topLeftCell="A3" zoomScaleNormal="100" zoomScaleSheetLayoutView="80" workbookViewId="0">
      <selection activeCell="K18" sqref="K18"/>
    </sheetView>
  </sheetViews>
  <sheetFormatPr defaultColWidth="9" defaultRowHeight="18" customHeight="1"/>
  <cols>
    <col min="1" max="1" width="8.28515625" style="146" customWidth="1"/>
    <col min="2" max="2" width="55.42578125" style="147" bestFit="1" customWidth="1"/>
    <col min="3" max="3" width="9.5703125" style="147" customWidth="1"/>
    <col min="4" max="4" width="9" style="147"/>
    <col min="5" max="5" width="12.42578125" style="147" customWidth="1"/>
    <col min="6" max="6" width="18.5703125" style="147" customWidth="1"/>
    <col min="7" max="7" width="23.5703125" style="147" customWidth="1"/>
    <col min="8" max="8" width="17.140625" style="147" customWidth="1"/>
    <col min="9" max="9" width="21.140625" style="147" customWidth="1"/>
    <col min="10" max="10" width="19.85546875" style="147" customWidth="1"/>
    <col min="11" max="11" width="17.5703125" style="147" customWidth="1"/>
    <col min="12" max="16384" width="9" style="147"/>
  </cols>
  <sheetData>
    <row r="1" spans="1:11" ht="18" customHeight="1">
      <c r="C1" s="263"/>
      <c r="D1" s="402"/>
      <c r="E1" s="263"/>
      <c r="F1" s="263"/>
      <c r="G1" s="263"/>
      <c r="H1" s="263"/>
      <c r="I1" s="263"/>
      <c r="J1" s="263"/>
      <c r="K1" s="263"/>
    </row>
    <row r="2" spans="1:11" ht="18" customHeight="1">
      <c r="D2" s="910" t="s">
        <v>776</v>
      </c>
      <c r="E2" s="910"/>
      <c r="F2" s="910"/>
      <c r="G2" s="910"/>
      <c r="H2" s="910"/>
    </row>
    <row r="3" spans="1:11" ht="18" customHeight="1">
      <c r="B3" s="150" t="s">
        <v>0</v>
      </c>
    </row>
    <row r="5" spans="1:11" ht="18" customHeight="1">
      <c r="B5" s="151" t="s">
        <v>40</v>
      </c>
      <c r="C5" s="912" t="s">
        <v>460</v>
      </c>
      <c r="D5" s="913"/>
      <c r="E5" s="913"/>
      <c r="F5" s="913"/>
      <c r="G5" s="966"/>
    </row>
    <row r="6" spans="1:11" ht="18" customHeight="1">
      <c r="B6" s="151" t="s">
        <v>3</v>
      </c>
      <c r="C6" s="929" t="s">
        <v>461</v>
      </c>
      <c r="D6" s="967"/>
      <c r="E6" s="967"/>
      <c r="F6" s="967"/>
      <c r="G6" s="968"/>
    </row>
    <row r="7" spans="1:11" ht="18" customHeight="1">
      <c r="B7" s="151" t="s">
        <v>4</v>
      </c>
      <c r="C7" s="930"/>
      <c r="D7" s="969"/>
      <c r="E7" s="969"/>
      <c r="F7" s="969"/>
      <c r="G7" s="970"/>
    </row>
    <row r="9" spans="1:11" ht="18" customHeight="1">
      <c r="B9" s="151" t="s">
        <v>1</v>
      </c>
      <c r="C9" s="912" t="s">
        <v>462</v>
      </c>
      <c r="D9" s="913"/>
      <c r="E9" s="913"/>
      <c r="F9" s="913"/>
      <c r="G9" s="966"/>
    </row>
    <row r="10" spans="1:11" ht="18" customHeight="1">
      <c r="B10" s="151" t="s">
        <v>2</v>
      </c>
      <c r="C10" s="926" t="s">
        <v>463</v>
      </c>
      <c r="D10" s="964"/>
      <c r="E10" s="964"/>
      <c r="F10" s="964"/>
      <c r="G10" s="965"/>
    </row>
    <row r="11" spans="1:11" ht="18" customHeight="1">
      <c r="B11" s="151" t="s">
        <v>32</v>
      </c>
      <c r="C11" s="962" t="s">
        <v>464</v>
      </c>
      <c r="D11" s="963"/>
      <c r="E11" s="963"/>
      <c r="F11" s="963"/>
      <c r="G11" s="963"/>
    </row>
    <row r="12" spans="1:11" ht="18" customHeight="1">
      <c r="B12" s="151"/>
      <c r="C12" s="151"/>
      <c r="D12" s="151"/>
      <c r="E12" s="151"/>
      <c r="F12" s="151"/>
      <c r="G12" s="151"/>
    </row>
    <row r="13" spans="1:11" ht="24.6" customHeight="1">
      <c r="B13" s="914"/>
      <c r="C13" s="914"/>
      <c r="D13" s="914"/>
      <c r="E13" s="914"/>
      <c r="F13" s="914"/>
      <c r="G13" s="914"/>
      <c r="H13" s="914"/>
      <c r="I13" s="263"/>
    </row>
    <row r="14" spans="1:11" ht="18" customHeight="1">
      <c r="B14" s="152"/>
    </row>
    <row r="15" spans="1:11" ht="18" customHeight="1">
      <c r="B15" s="152"/>
    </row>
    <row r="16" spans="1:11" ht="45" customHeight="1">
      <c r="A16" s="402" t="s">
        <v>181</v>
      </c>
      <c r="B16" s="263"/>
      <c r="C16" s="263"/>
      <c r="D16" s="263"/>
      <c r="E16" s="263"/>
      <c r="F16" s="153" t="s">
        <v>9</v>
      </c>
      <c r="G16" s="153" t="s">
        <v>37</v>
      </c>
      <c r="H16" s="153" t="s">
        <v>29</v>
      </c>
      <c r="I16" s="153" t="s">
        <v>30</v>
      </c>
      <c r="J16" s="153" t="s">
        <v>33</v>
      </c>
      <c r="K16" s="153" t="s">
        <v>34</v>
      </c>
    </row>
    <row r="17" spans="1:11" ht="18" customHeight="1">
      <c r="A17" s="154" t="s">
        <v>184</v>
      </c>
      <c r="B17" s="150" t="s">
        <v>182</v>
      </c>
    </row>
    <row r="18" spans="1:11" ht="18" customHeight="1">
      <c r="A18" s="151" t="s">
        <v>185</v>
      </c>
      <c r="B18" s="155" t="s">
        <v>183</v>
      </c>
      <c r="F18" s="156" t="s">
        <v>73</v>
      </c>
      <c r="G18" s="156" t="s">
        <v>73</v>
      </c>
      <c r="H18" s="157">
        <v>53393595.015596919</v>
      </c>
      <c r="I18" s="157">
        <v>0</v>
      </c>
      <c r="J18" s="157">
        <v>45658199.701176785</v>
      </c>
      <c r="K18" s="159">
        <v>7735395.3144201338</v>
      </c>
    </row>
    <row r="19" spans="1:11" ht="45" customHeight="1">
      <c r="A19" s="402" t="s">
        <v>8</v>
      </c>
      <c r="B19" s="263"/>
      <c r="C19" s="263"/>
      <c r="D19" s="263"/>
      <c r="E19" s="263"/>
      <c r="F19" s="153" t="s">
        <v>9</v>
      </c>
      <c r="G19" s="153" t="s">
        <v>37</v>
      </c>
      <c r="H19" s="153" t="s">
        <v>29</v>
      </c>
      <c r="I19" s="153" t="s">
        <v>30</v>
      </c>
      <c r="J19" s="153" t="s">
        <v>33</v>
      </c>
      <c r="K19" s="153" t="s">
        <v>34</v>
      </c>
    </row>
    <row r="20" spans="1:11" ht="18" customHeight="1">
      <c r="A20" s="154" t="s">
        <v>74</v>
      </c>
      <c r="B20" s="150" t="s">
        <v>41</v>
      </c>
    </row>
    <row r="21" spans="1:11" ht="18" customHeight="1">
      <c r="A21" s="151" t="s">
        <v>75</v>
      </c>
      <c r="B21" s="155" t="s">
        <v>42</v>
      </c>
      <c r="F21" s="156">
        <v>6129</v>
      </c>
      <c r="G21" s="156">
        <v>333732</v>
      </c>
      <c r="H21" s="157">
        <v>537873.5</v>
      </c>
      <c r="I21" s="157">
        <v>235104.50684999998</v>
      </c>
      <c r="J21" s="157">
        <v>0</v>
      </c>
      <c r="K21" s="159">
        <v>772978.00685000001</v>
      </c>
    </row>
    <row r="22" spans="1:11" ht="18" customHeight="1">
      <c r="A22" s="151" t="s">
        <v>76</v>
      </c>
      <c r="B22" s="147" t="s">
        <v>6</v>
      </c>
      <c r="F22" s="156">
        <v>1409</v>
      </c>
      <c r="G22" s="156">
        <v>2431</v>
      </c>
      <c r="H22" s="157">
        <v>72510.040000000008</v>
      </c>
      <c r="I22" s="157">
        <v>31694.138483999999</v>
      </c>
      <c r="J22" s="157">
        <v>0</v>
      </c>
      <c r="K22" s="159">
        <v>104204.178484</v>
      </c>
    </row>
    <row r="23" spans="1:11" ht="18" customHeight="1">
      <c r="A23" s="151" t="s">
        <v>77</v>
      </c>
      <c r="B23" s="147" t="s">
        <v>43</v>
      </c>
      <c r="F23" s="156">
        <v>0</v>
      </c>
      <c r="G23" s="156">
        <v>0</v>
      </c>
      <c r="H23" s="157">
        <v>0</v>
      </c>
      <c r="I23" s="157">
        <v>0</v>
      </c>
      <c r="J23" s="157">
        <v>0</v>
      </c>
      <c r="K23" s="159">
        <v>0</v>
      </c>
    </row>
    <row r="24" spans="1:11" ht="18" customHeight="1">
      <c r="A24" s="151" t="s">
        <v>78</v>
      </c>
      <c r="B24" s="147" t="s">
        <v>44</v>
      </c>
      <c r="F24" s="156">
        <v>1263</v>
      </c>
      <c r="G24" s="156">
        <v>3599</v>
      </c>
      <c r="H24" s="157">
        <v>338554.46</v>
      </c>
      <c r="I24" s="157">
        <v>147982.15446600001</v>
      </c>
      <c r="J24" s="157">
        <v>60000</v>
      </c>
      <c r="K24" s="159">
        <v>426536.614466</v>
      </c>
    </row>
    <row r="25" spans="1:11" ht="18" customHeight="1">
      <c r="A25" s="151" t="s">
        <v>79</v>
      </c>
      <c r="B25" s="147" t="s">
        <v>5</v>
      </c>
      <c r="F25" s="156">
        <v>63</v>
      </c>
      <c r="G25" s="156">
        <v>115</v>
      </c>
      <c r="H25" s="157">
        <v>3948</v>
      </c>
      <c r="I25" s="157">
        <v>1725.6707999999999</v>
      </c>
      <c r="J25" s="157">
        <v>0</v>
      </c>
      <c r="K25" s="159">
        <v>5673.6707999999999</v>
      </c>
    </row>
    <row r="26" spans="1:11" ht="18" customHeight="1">
      <c r="A26" s="151" t="s">
        <v>80</v>
      </c>
      <c r="B26" s="147" t="s">
        <v>45</v>
      </c>
      <c r="F26" s="156">
        <v>0</v>
      </c>
      <c r="G26" s="156">
        <v>0</v>
      </c>
      <c r="H26" s="157">
        <v>0</v>
      </c>
      <c r="I26" s="157">
        <v>0</v>
      </c>
      <c r="J26" s="157">
        <v>0</v>
      </c>
      <c r="K26" s="159">
        <v>0</v>
      </c>
    </row>
    <row r="27" spans="1:11" ht="18" customHeight="1">
      <c r="A27" s="151" t="s">
        <v>81</v>
      </c>
      <c r="B27" s="147" t="s">
        <v>46</v>
      </c>
      <c r="F27" s="156">
        <v>0</v>
      </c>
      <c r="G27" s="156">
        <v>0</v>
      </c>
      <c r="H27" s="157">
        <v>0</v>
      </c>
      <c r="I27" s="157">
        <v>0</v>
      </c>
      <c r="J27" s="157">
        <v>0</v>
      </c>
      <c r="K27" s="159">
        <v>0</v>
      </c>
    </row>
    <row r="28" spans="1:11" ht="18" customHeight="1">
      <c r="A28" s="151" t="s">
        <v>82</v>
      </c>
      <c r="B28" s="147" t="s">
        <v>47</v>
      </c>
      <c r="F28" s="156">
        <v>17133</v>
      </c>
      <c r="G28" s="156">
        <v>5043</v>
      </c>
      <c r="H28" s="157">
        <v>646327.92000000004</v>
      </c>
      <c r="I28" s="157">
        <v>282509.93383200001</v>
      </c>
      <c r="J28" s="157">
        <v>928838</v>
      </c>
      <c r="K28" s="159">
        <v>-0.14616799994837493</v>
      </c>
    </row>
    <row r="29" spans="1:11" ht="18" customHeight="1">
      <c r="A29" s="151" t="s">
        <v>83</v>
      </c>
      <c r="B29" s="147" t="s">
        <v>48</v>
      </c>
      <c r="F29" s="156">
        <v>43974</v>
      </c>
      <c r="G29" s="156">
        <v>41611</v>
      </c>
      <c r="H29" s="157">
        <v>6030708.46</v>
      </c>
      <c r="I29" s="157">
        <v>2037641.5098660004</v>
      </c>
      <c r="J29" s="157">
        <v>251876</v>
      </c>
      <c r="K29" s="159">
        <v>7816473.9698660001</v>
      </c>
    </row>
    <row r="30" spans="1:11" ht="18" customHeight="1">
      <c r="A30" s="151" t="s">
        <v>84</v>
      </c>
      <c r="B30" s="898" t="s">
        <v>465</v>
      </c>
      <c r="C30" s="899"/>
      <c r="D30" s="900"/>
      <c r="F30" s="156">
        <v>10181</v>
      </c>
      <c r="G30" s="156">
        <v>23070</v>
      </c>
      <c r="H30" s="157">
        <v>1053744.96</v>
      </c>
      <c r="I30" s="157">
        <v>460591.92201599997</v>
      </c>
      <c r="J30" s="157">
        <v>0</v>
      </c>
      <c r="K30" s="159">
        <v>1514336.8820159999</v>
      </c>
    </row>
    <row r="31" spans="1:11" ht="18" customHeight="1">
      <c r="A31" s="151" t="s">
        <v>133</v>
      </c>
      <c r="B31" s="898"/>
      <c r="C31" s="899"/>
      <c r="D31" s="900"/>
      <c r="F31" s="156">
        <v>0</v>
      </c>
      <c r="G31" s="156">
        <v>0</v>
      </c>
      <c r="H31" s="157">
        <v>0</v>
      </c>
      <c r="I31" s="157">
        <v>0</v>
      </c>
      <c r="J31" s="157">
        <v>0</v>
      </c>
      <c r="K31" s="159">
        <v>0</v>
      </c>
    </row>
    <row r="32" spans="1:11" ht="18" customHeight="1">
      <c r="A32" s="151" t="s">
        <v>134</v>
      </c>
      <c r="B32" s="393"/>
      <c r="C32" s="394"/>
      <c r="D32" s="395"/>
      <c r="F32" s="156">
        <v>0</v>
      </c>
      <c r="G32" s="156">
        <v>0</v>
      </c>
      <c r="H32" s="157">
        <v>0</v>
      </c>
      <c r="I32" s="157">
        <v>0</v>
      </c>
      <c r="J32" s="157">
        <v>0</v>
      </c>
      <c r="K32" s="159">
        <v>0</v>
      </c>
    </row>
    <row r="33" spans="1:11" ht="18" customHeight="1">
      <c r="A33" s="151" t="s">
        <v>135</v>
      </c>
      <c r="B33" s="393"/>
      <c r="C33" s="394"/>
      <c r="D33" s="395"/>
      <c r="F33" s="156">
        <v>0</v>
      </c>
      <c r="G33" s="156">
        <v>0</v>
      </c>
      <c r="H33" s="157">
        <v>0</v>
      </c>
      <c r="I33" s="157">
        <v>0</v>
      </c>
      <c r="J33" s="157">
        <v>0</v>
      </c>
      <c r="K33" s="159">
        <v>0</v>
      </c>
    </row>
    <row r="34" spans="1:11" ht="18" customHeight="1">
      <c r="A34" s="151" t="s">
        <v>136</v>
      </c>
      <c r="B34" s="898"/>
      <c r="C34" s="899"/>
      <c r="D34" s="900"/>
      <c r="F34" s="156">
        <v>0</v>
      </c>
      <c r="G34" s="156">
        <v>0</v>
      </c>
      <c r="H34" s="157">
        <v>0</v>
      </c>
      <c r="I34" s="157">
        <v>0</v>
      </c>
      <c r="J34" s="157">
        <v>0</v>
      </c>
      <c r="K34" s="159">
        <v>0</v>
      </c>
    </row>
    <row r="35" spans="1:11" ht="18" customHeight="1">
      <c r="K35" s="161"/>
    </row>
    <row r="36" spans="1:11" ht="18" customHeight="1">
      <c r="A36" s="154" t="s">
        <v>137</v>
      </c>
      <c r="B36" s="150" t="s">
        <v>138</v>
      </c>
      <c r="E36" s="150" t="s">
        <v>7</v>
      </c>
      <c r="F36" s="162">
        <v>80152</v>
      </c>
      <c r="G36" s="162">
        <v>409601</v>
      </c>
      <c r="H36" s="159">
        <v>8683667.3399999999</v>
      </c>
      <c r="I36" s="159">
        <v>3197249.8363140007</v>
      </c>
      <c r="J36" s="159">
        <v>1240714</v>
      </c>
      <c r="K36" s="159">
        <v>10640203.176314</v>
      </c>
    </row>
    <row r="37" spans="1:11" ht="18" customHeight="1" thickBot="1">
      <c r="B37" s="150"/>
      <c r="F37" s="163"/>
      <c r="G37" s="163"/>
      <c r="H37" s="164"/>
      <c r="I37" s="164"/>
      <c r="J37" s="164"/>
      <c r="K37" s="165"/>
    </row>
    <row r="38" spans="1:11" ht="42.75" customHeight="1">
      <c r="F38" s="153" t="s">
        <v>9</v>
      </c>
      <c r="G38" s="153" t="s">
        <v>37</v>
      </c>
      <c r="H38" s="153" t="s">
        <v>29</v>
      </c>
      <c r="I38" s="153" t="s">
        <v>30</v>
      </c>
      <c r="J38" s="153" t="s">
        <v>33</v>
      </c>
      <c r="K38" s="153" t="s">
        <v>34</v>
      </c>
    </row>
    <row r="39" spans="1:11" ht="18.75" customHeight="1">
      <c r="A39" s="154" t="s">
        <v>86</v>
      </c>
      <c r="B39" s="150" t="s">
        <v>49</v>
      </c>
    </row>
    <row r="40" spans="1:11" ht="18" customHeight="1">
      <c r="A40" s="151" t="s">
        <v>87</v>
      </c>
      <c r="B40" s="147" t="s">
        <v>31</v>
      </c>
      <c r="F40" s="156">
        <v>1909312</v>
      </c>
      <c r="G40" s="156">
        <v>917.9</v>
      </c>
      <c r="H40" s="157">
        <v>110117694.40000001</v>
      </c>
      <c r="I40" s="157">
        <v>0</v>
      </c>
      <c r="J40" s="157">
        <v>0</v>
      </c>
      <c r="K40" s="159">
        <v>110117694.40000001</v>
      </c>
    </row>
    <row r="41" spans="1:11" ht="18" customHeight="1">
      <c r="A41" s="151" t="s">
        <v>88</v>
      </c>
      <c r="B41" s="904" t="s">
        <v>50</v>
      </c>
      <c r="C41" s="904"/>
      <c r="F41" s="156">
        <v>50923</v>
      </c>
      <c r="G41" s="156">
        <v>386</v>
      </c>
      <c r="H41" s="157">
        <v>2956656</v>
      </c>
      <c r="I41" s="157">
        <v>0</v>
      </c>
      <c r="J41" s="157">
        <v>0</v>
      </c>
      <c r="K41" s="159">
        <v>2956656</v>
      </c>
    </row>
    <row r="42" spans="1:11" ht="18" customHeight="1">
      <c r="A42" s="151" t="s">
        <v>89</v>
      </c>
      <c r="B42" s="155" t="s">
        <v>11</v>
      </c>
      <c r="F42" s="156">
        <v>84706.8</v>
      </c>
      <c r="G42" s="156">
        <v>533</v>
      </c>
      <c r="H42" s="157">
        <v>3467470.64</v>
      </c>
      <c r="I42" s="157">
        <v>0</v>
      </c>
      <c r="J42" s="157">
        <v>0</v>
      </c>
      <c r="K42" s="159">
        <v>3467470.64</v>
      </c>
    </row>
    <row r="43" spans="1:11" ht="18" customHeight="1">
      <c r="A43" s="151" t="s">
        <v>90</v>
      </c>
      <c r="B43" s="166" t="s">
        <v>10</v>
      </c>
      <c r="C43" s="167"/>
      <c r="D43" s="167"/>
      <c r="F43" s="156">
        <v>20</v>
      </c>
      <c r="G43" s="156">
        <v>8</v>
      </c>
      <c r="H43" s="157">
        <v>2210394</v>
      </c>
      <c r="I43" s="157">
        <v>0</v>
      </c>
      <c r="J43" s="157">
        <v>0</v>
      </c>
      <c r="K43" s="159">
        <v>2210394</v>
      </c>
    </row>
    <row r="44" spans="1:11" ht="18" customHeight="1">
      <c r="A44" s="151" t="s">
        <v>91</v>
      </c>
      <c r="B44" s="898" t="s">
        <v>466</v>
      </c>
      <c r="C44" s="899"/>
      <c r="D44" s="900"/>
      <c r="F44" s="156">
        <v>59189</v>
      </c>
      <c r="G44" s="156">
        <v>689</v>
      </c>
      <c r="H44" s="157">
        <v>2431556.4</v>
      </c>
      <c r="I44" s="157">
        <v>0</v>
      </c>
      <c r="J44" s="157">
        <v>29100</v>
      </c>
      <c r="K44" s="170">
        <v>2402456.4</v>
      </c>
    </row>
    <row r="45" spans="1:11" ht="18" customHeight="1">
      <c r="A45" s="151" t="s">
        <v>139</v>
      </c>
      <c r="B45" s="898"/>
      <c r="C45" s="899"/>
      <c r="D45" s="900"/>
      <c r="F45" s="156">
        <v>0</v>
      </c>
      <c r="G45" s="156">
        <v>0</v>
      </c>
      <c r="H45" s="157">
        <v>0</v>
      </c>
      <c r="I45" s="157">
        <v>0</v>
      </c>
      <c r="J45" s="157">
        <v>0</v>
      </c>
      <c r="K45" s="159">
        <v>0</v>
      </c>
    </row>
    <row r="46" spans="1:11" ht="18" customHeight="1">
      <c r="A46" s="151" t="s">
        <v>140</v>
      </c>
      <c r="B46" s="898"/>
      <c r="C46" s="899"/>
      <c r="D46" s="900"/>
      <c r="F46" s="156">
        <v>0</v>
      </c>
      <c r="G46" s="156">
        <v>0</v>
      </c>
      <c r="H46" s="157">
        <v>0</v>
      </c>
      <c r="I46" s="157">
        <v>0</v>
      </c>
      <c r="J46" s="157">
        <v>0</v>
      </c>
      <c r="K46" s="159">
        <v>0</v>
      </c>
    </row>
    <row r="47" spans="1:11" ht="18" customHeight="1">
      <c r="A47" s="151" t="s">
        <v>141</v>
      </c>
      <c r="B47" s="898"/>
      <c r="C47" s="899"/>
      <c r="D47" s="900"/>
      <c r="F47" s="156">
        <v>0</v>
      </c>
      <c r="G47" s="156">
        <v>0</v>
      </c>
      <c r="H47" s="157">
        <v>0</v>
      </c>
      <c r="I47" s="157">
        <v>0</v>
      </c>
      <c r="J47" s="157">
        <v>0</v>
      </c>
      <c r="K47" s="159">
        <v>0</v>
      </c>
    </row>
    <row r="49" spans="1:11" ht="18" customHeight="1">
      <c r="A49" s="154" t="s">
        <v>142</v>
      </c>
      <c r="B49" s="150" t="s">
        <v>143</v>
      </c>
      <c r="E49" s="150" t="s">
        <v>7</v>
      </c>
      <c r="F49" s="162">
        <v>2104150.7999999998</v>
      </c>
      <c r="G49" s="162">
        <v>2533.9</v>
      </c>
      <c r="H49" s="159">
        <v>121183771.44000001</v>
      </c>
      <c r="I49" s="159">
        <v>0</v>
      </c>
      <c r="J49" s="159">
        <v>29100</v>
      </c>
      <c r="K49" s="159">
        <v>121154671.44000001</v>
      </c>
    </row>
    <row r="50" spans="1:11" ht="18" customHeight="1" thickBot="1">
      <c r="G50" s="172"/>
      <c r="H50" s="172"/>
      <c r="I50" s="172"/>
      <c r="J50" s="172"/>
      <c r="K50" s="172"/>
    </row>
    <row r="51" spans="1:11" ht="42.75" customHeight="1">
      <c r="F51" s="153" t="s">
        <v>9</v>
      </c>
      <c r="G51" s="153" t="s">
        <v>37</v>
      </c>
      <c r="H51" s="153" t="s">
        <v>29</v>
      </c>
      <c r="I51" s="153" t="s">
        <v>30</v>
      </c>
      <c r="J51" s="153" t="s">
        <v>33</v>
      </c>
      <c r="K51" s="153" t="s">
        <v>34</v>
      </c>
    </row>
    <row r="52" spans="1:11" ht="18" customHeight="1">
      <c r="A52" s="154" t="s">
        <v>92</v>
      </c>
      <c r="B52" s="905" t="s">
        <v>38</v>
      </c>
      <c r="C52" s="905"/>
    </row>
    <row r="53" spans="1:11" ht="18" customHeight="1">
      <c r="A53" s="151" t="s">
        <v>51</v>
      </c>
      <c r="B53" s="901" t="s">
        <v>467</v>
      </c>
      <c r="C53" s="902"/>
      <c r="D53" s="903"/>
      <c r="F53" s="156">
        <v>3812</v>
      </c>
      <c r="G53" s="156">
        <v>598</v>
      </c>
      <c r="H53" s="157">
        <v>150991.12</v>
      </c>
      <c r="I53" s="157">
        <v>0</v>
      </c>
      <c r="J53" s="157">
        <v>62790</v>
      </c>
      <c r="K53" s="159">
        <v>88201.12</v>
      </c>
    </row>
    <row r="54" spans="1:11" ht="18" customHeight="1">
      <c r="A54" s="151" t="s">
        <v>93</v>
      </c>
      <c r="B54" s="901" t="s">
        <v>468</v>
      </c>
      <c r="C54" s="902"/>
      <c r="D54" s="903"/>
      <c r="F54" s="156">
        <v>5716</v>
      </c>
      <c r="G54" s="156">
        <v>2087</v>
      </c>
      <c r="H54" s="157">
        <v>297467.2</v>
      </c>
      <c r="I54" s="157">
        <v>0</v>
      </c>
      <c r="J54" s="157">
        <v>137217</v>
      </c>
      <c r="K54" s="159">
        <v>160250.20000000001</v>
      </c>
    </row>
    <row r="55" spans="1:11" ht="18" customHeight="1">
      <c r="A55" s="151" t="s">
        <v>94</v>
      </c>
      <c r="B55" s="901" t="s">
        <v>469</v>
      </c>
      <c r="C55" s="902"/>
      <c r="D55" s="903"/>
      <c r="F55" s="156">
        <v>5512</v>
      </c>
      <c r="G55" s="156">
        <v>3821</v>
      </c>
      <c r="H55" s="157">
        <v>278243.74</v>
      </c>
      <c r="I55" s="157">
        <v>0</v>
      </c>
      <c r="J55" s="157">
        <v>241560</v>
      </c>
      <c r="K55" s="159">
        <v>36683.739999999991</v>
      </c>
    </row>
    <row r="56" spans="1:11" ht="18" customHeight="1">
      <c r="A56" s="151" t="s">
        <v>95</v>
      </c>
      <c r="B56" s="901" t="s">
        <v>458</v>
      </c>
      <c r="C56" s="902"/>
      <c r="D56" s="903"/>
      <c r="F56" s="156">
        <v>589</v>
      </c>
      <c r="G56" s="156">
        <v>0</v>
      </c>
      <c r="H56" s="157">
        <v>32826</v>
      </c>
      <c r="I56" s="157">
        <v>0</v>
      </c>
      <c r="J56" s="157">
        <v>0</v>
      </c>
      <c r="K56" s="159">
        <v>32826</v>
      </c>
    </row>
    <row r="57" spans="1:11" ht="18" customHeight="1">
      <c r="A57" s="151" t="s">
        <v>96</v>
      </c>
      <c r="B57" s="901" t="s">
        <v>470</v>
      </c>
      <c r="C57" s="902"/>
      <c r="D57" s="903"/>
      <c r="F57" s="156">
        <v>0</v>
      </c>
      <c r="G57" s="156">
        <v>0</v>
      </c>
      <c r="H57" s="157">
        <v>3100037</v>
      </c>
      <c r="I57" s="157">
        <v>0</v>
      </c>
      <c r="J57" s="157">
        <v>0</v>
      </c>
      <c r="K57" s="159">
        <v>3100037</v>
      </c>
    </row>
    <row r="58" spans="1:11" ht="18" customHeight="1">
      <c r="A58" s="151" t="s">
        <v>97</v>
      </c>
      <c r="B58" s="959" t="s">
        <v>471</v>
      </c>
      <c r="C58" s="960"/>
      <c r="D58" s="961"/>
      <c r="F58" s="156">
        <v>118</v>
      </c>
      <c r="G58" s="156">
        <v>1130</v>
      </c>
      <c r="H58" s="157">
        <v>92760.320000000007</v>
      </c>
      <c r="I58" s="157">
        <v>0</v>
      </c>
      <c r="J58" s="157">
        <v>8725</v>
      </c>
      <c r="K58" s="159">
        <v>84035.32</v>
      </c>
    </row>
    <row r="59" spans="1:11" ht="18" customHeight="1">
      <c r="A59" s="151" t="s">
        <v>98</v>
      </c>
      <c r="B59" s="901" t="s">
        <v>472</v>
      </c>
      <c r="C59" s="902"/>
      <c r="D59" s="903"/>
      <c r="F59" s="156">
        <v>0</v>
      </c>
      <c r="G59" s="156">
        <v>1298</v>
      </c>
      <c r="H59" s="157">
        <v>234976</v>
      </c>
      <c r="I59" s="157">
        <v>0</v>
      </c>
      <c r="J59" s="157">
        <v>0</v>
      </c>
      <c r="K59" s="159">
        <v>234976</v>
      </c>
    </row>
    <row r="60" spans="1:11" ht="18" customHeight="1">
      <c r="A60" s="151" t="s">
        <v>99</v>
      </c>
      <c r="B60" s="959" t="s">
        <v>473</v>
      </c>
      <c r="C60" s="960"/>
      <c r="D60" s="961"/>
      <c r="F60" s="156">
        <v>0</v>
      </c>
      <c r="G60" s="156">
        <v>14642</v>
      </c>
      <c r="H60" s="157">
        <v>622089</v>
      </c>
      <c r="I60" s="157">
        <v>0</v>
      </c>
      <c r="J60" s="157">
        <v>0</v>
      </c>
      <c r="K60" s="159">
        <v>622089</v>
      </c>
    </row>
    <row r="61" spans="1:11" ht="18" customHeight="1">
      <c r="A61" s="151" t="s">
        <v>100</v>
      </c>
      <c r="B61" s="901" t="s">
        <v>474</v>
      </c>
      <c r="C61" s="902"/>
      <c r="D61" s="903"/>
      <c r="F61" s="156">
        <v>0</v>
      </c>
      <c r="G61" s="156">
        <v>814</v>
      </c>
      <c r="H61" s="157">
        <v>63072</v>
      </c>
      <c r="I61" s="157">
        <v>0</v>
      </c>
      <c r="J61" s="157">
        <v>3900</v>
      </c>
      <c r="K61" s="159">
        <v>59172</v>
      </c>
    </row>
    <row r="62" spans="1:11" ht="18" customHeight="1">
      <c r="A62" s="151" t="s">
        <v>101</v>
      </c>
      <c r="B62" s="901" t="s">
        <v>475</v>
      </c>
      <c r="C62" s="902"/>
      <c r="D62" s="903"/>
      <c r="F62" s="156">
        <v>3411</v>
      </c>
      <c r="G62" s="156">
        <v>879</v>
      </c>
      <c r="H62" s="157">
        <v>11680052.163490139</v>
      </c>
      <c r="I62" s="157">
        <v>0</v>
      </c>
      <c r="J62" s="157">
        <v>472937.8</v>
      </c>
      <c r="K62" s="159">
        <v>11207114.363490138</v>
      </c>
    </row>
    <row r="63" spans="1:11" ht="18" customHeight="1">
      <c r="A63" s="151"/>
      <c r="I63" s="173"/>
    </row>
    <row r="64" spans="1:11" ht="18" customHeight="1">
      <c r="A64" s="151" t="s">
        <v>144</v>
      </c>
      <c r="B64" s="150" t="s">
        <v>145</v>
      </c>
      <c r="E64" s="150" t="s">
        <v>7</v>
      </c>
      <c r="F64" s="162">
        <v>19158</v>
      </c>
      <c r="G64" s="162">
        <v>25269</v>
      </c>
      <c r="H64" s="159">
        <v>16552514.543490138</v>
      </c>
      <c r="I64" s="159">
        <v>0</v>
      </c>
      <c r="J64" s="159">
        <v>927129.8</v>
      </c>
      <c r="K64" s="159">
        <v>15625384.743490137</v>
      </c>
    </row>
    <row r="65" spans="1:11" ht="18" customHeight="1">
      <c r="F65" s="174"/>
      <c r="G65" s="174"/>
      <c r="H65" s="174"/>
      <c r="I65" s="174"/>
      <c r="J65" s="174"/>
      <c r="K65" s="174"/>
    </row>
    <row r="66" spans="1:11" ht="42.75" customHeight="1">
      <c r="F66" s="175" t="s">
        <v>9</v>
      </c>
      <c r="G66" s="175" t="s">
        <v>37</v>
      </c>
      <c r="H66" s="175" t="s">
        <v>29</v>
      </c>
      <c r="I66" s="175" t="s">
        <v>30</v>
      </c>
      <c r="J66" s="175" t="s">
        <v>33</v>
      </c>
      <c r="K66" s="175" t="s">
        <v>34</v>
      </c>
    </row>
    <row r="67" spans="1:11" ht="18" customHeight="1">
      <c r="A67" s="154" t="s">
        <v>102</v>
      </c>
      <c r="B67" s="150" t="s">
        <v>12</v>
      </c>
      <c r="F67" s="176"/>
      <c r="G67" s="176"/>
      <c r="H67" s="176"/>
      <c r="I67" s="177"/>
      <c r="J67" s="176"/>
      <c r="K67" s="178"/>
    </row>
    <row r="68" spans="1:11" ht="18" customHeight="1">
      <c r="A68" s="151" t="s">
        <v>103</v>
      </c>
      <c r="B68" s="147" t="s">
        <v>52</v>
      </c>
      <c r="F68" s="156">
        <v>0</v>
      </c>
      <c r="G68" s="156">
        <v>0</v>
      </c>
      <c r="H68" s="157">
        <v>0</v>
      </c>
      <c r="I68" s="157">
        <v>0</v>
      </c>
      <c r="J68" s="157">
        <v>0</v>
      </c>
      <c r="K68" s="159">
        <v>0</v>
      </c>
    </row>
    <row r="69" spans="1:11" ht="18" customHeight="1">
      <c r="A69" s="151" t="s">
        <v>104</v>
      </c>
      <c r="B69" s="155" t="s">
        <v>53</v>
      </c>
      <c r="F69" s="156">
        <v>13</v>
      </c>
      <c r="G69" s="156">
        <v>105</v>
      </c>
      <c r="H69" s="157">
        <v>76375.199999999997</v>
      </c>
      <c r="I69" s="157">
        <v>0</v>
      </c>
      <c r="J69" s="157">
        <v>0</v>
      </c>
      <c r="K69" s="159">
        <v>76375.199999999997</v>
      </c>
    </row>
    <row r="70" spans="1:11" ht="18" customHeight="1">
      <c r="A70" s="151" t="s">
        <v>178</v>
      </c>
      <c r="B70" s="396" t="s">
        <v>459</v>
      </c>
      <c r="C70" s="397"/>
      <c r="D70" s="392"/>
      <c r="E70" s="150"/>
      <c r="F70" s="156">
        <v>20371</v>
      </c>
      <c r="G70" s="156">
        <v>0</v>
      </c>
      <c r="H70" s="157">
        <v>868792.12</v>
      </c>
      <c r="I70" s="157">
        <v>0</v>
      </c>
      <c r="J70" s="157">
        <v>0</v>
      </c>
      <c r="K70" s="159">
        <v>868792.12</v>
      </c>
    </row>
    <row r="71" spans="1:11" ht="18" customHeight="1">
      <c r="A71" s="151" t="s">
        <v>179</v>
      </c>
      <c r="B71" s="396"/>
      <c r="C71" s="397"/>
      <c r="D71" s="392"/>
      <c r="E71" s="150"/>
      <c r="F71" s="156">
        <v>0</v>
      </c>
      <c r="G71" s="156">
        <v>0</v>
      </c>
      <c r="H71" s="157">
        <v>0</v>
      </c>
      <c r="I71" s="157">
        <v>0</v>
      </c>
      <c r="J71" s="157">
        <v>0</v>
      </c>
      <c r="K71" s="159">
        <v>0</v>
      </c>
    </row>
    <row r="72" spans="1:11" ht="18" customHeight="1">
      <c r="A72" s="151" t="s">
        <v>180</v>
      </c>
      <c r="B72" s="390"/>
      <c r="C72" s="391"/>
      <c r="D72" s="182"/>
      <c r="E72" s="150"/>
      <c r="F72" s="156">
        <v>0</v>
      </c>
      <c r="G72" s="156">
        <v>0</v>
      </c>
      <c r="H72" s="157">
        <v>0</v>
      </c>
      <c r="I72" s="157">
        <v>0</v>
      </c>
      <c r="J72" s="157">
        <v>0</v>
      </c>
      <c r="K72" s="159">
        <v>0</v>
      </c>
    </row>
    <row r="73" spans="1:11" ht="18" customHeight="1">
      <c r="A73" s="151"/>
      <c r="B73" s="155"/>
      <c r="E73" s="150"/>
      <c r="F73" s="183"/>
      <c r="G73" s="183"/>
      <c r="H73" s="184"/>
      <c r="I73" s="177"/>
      <c r="J73" s="184"/>
      <c r="K73" s="178"/>
    </row>
    <row r="74" spans="1:11" ht="18" customHeight="1">
      <c r="A74" s="154" t="s">
        <v>146</v>
      </c>
      <c r="B74" s="150" t="s">
        <v>147</v>
      </c>
      <c r="E74" s="150" t="s">
        <v>7</v>
      </c>
      <c r="F74" s="185">
        <v>20384</v>
      </c>
      <c r="G74" s="185">
        <v>105</v>
      </c>
      <c r="H74" s="187">
        <v>945167.32</v>
      </c>
      <c r="I74" s="186">
        <v>0</v>
      </c>
      <c r="J74" s="185">
        <v>0</v>
      </c>
      <c r="K74" s="187">
        <v>945167.32</v>
      </c>
    </row>
    <row r="75" spans="1:11" ht="42.75" customHeight="1">
      <c r="F75" s="153" t="s">
        <v>9</v>
      </c>
      <c r="G75" s="153" t="s">
        <v>37</v>
      </c>
      <c r="H75" s="153" t="s">
        <v>29</v>
      </c>
      <c r="I75" s="153" t="s">
        <v>30</v>
      </c>
      <c r="J75" s="153" t="s">
        <v>33</v>
      </c>
      <c r="K75" s="153" t="s">
        <v>34</v>
      </c>
    </row>
    <row r="76" spans="1:11" ht="18" customHeight="1">
      <c r="A76" s="154" t="s">
        <v>105</v>
      </c>
      <c r="B76" s="150" t="s">
        <v>106</v>
      </c>
    </row>
    <row r="77" spans="1:11" ht="18" customHeight="1">
      <c r="A77" s="151" t="s">
        <v>107</v>
      </c>
      <c r="B77" s="155" t="s">
        <v>54</v>
      </c>
      <c r="F77" s="156">
        <v>65</v>
      </c>
      <c r="G77" s="156">
        <v>2780</v>
      </c>
      <c r="H77" s="157">
        <v>2338424.8574999999</v>
      </c>
      <c r="I77" s="157">
        <v>0</v>
      </c>
      <c r="J77" s="157">
        <v>67620</v>
      </c>
      <c r="K77" s="159">
        <v>2270804.8574999999</v>
      </c>
    </row>
    <row r="78" spans="1:11" ht="18" customHeight="1">
      <c r="A78" s="151" t="s">
        <v>108</v>
      </c>
      <c r="B78" s="155" t="s">
        <v>55</v>
      </c>
      <c r="F78" s="156">
        <v>0</v>
      </c>
      <c r="G78" s="156">
        <v>0</v>
      </c>
      <c r="H78" s="157">
        <v>0</v>
      </c>
      <c r="I78" s="157">
        <v>0</v>
      </c>
      <c r="J78" s="157">
        <v>0</v>
      </c>
      <c r="K78" s="159">
        <v>0</v>
      </c>
    </row>
    <row r="79" spans="1:11" ht="18" customHeight="1">
      <c r="A79" s="151" t="s">
        <v>109</v>
      </c>
      <c r="B79" s="155" t="s">
        <v>13</v>
      </c>
      <c r="F79" s="156">
        <v>5536</v>
      </c>
      <c r="G79" s="156">
        <v>2819</v>
      </c>
      <c r="H79" s="157">
        <v>428395.18</v>
      </c>
      <c r="I79" s="157">
        <v>0</v>
      </c>
      <c r="J79" s="157">
        <v>36663</v>
      </c>
      <c r="K79" s="159">
        <v>391732.18</v>
      </c>
    </row>
    <row r="80" spans="1:11" ht="18" customHeight="1">
      <c r="A80" s="151" t="s">
        <v>110</v>
      </c>
      <c r="B80" s="155" t="s">
        <v>56</v>
      </c>
      <c r="F80" s="156">
        <v>634</v>
      </c>
      <c r="G80" s="156">
        <v>512</v>
      </c>
      <c r="H80" s="157">
        <v>34327.339999999997</v>
      </c>
      <c r="I80" s="157">
        <v>5238.352084000001</v>
      </c>
      <c r="J80" s="157">
        <v>0</v>
      </c>
      <c r="K80" s="159">
        <v>39565.692083999995</v>
      </c>
    </row>
    <row r="81" spans="1:11" ht="18" customHeight="1">
      <c r="A81" s="151"/>
      <c r="K81" s="188"/>
    </row>
    <row r="82" spans="1:11" ht="18" customHeight="1">
      <c r="A82" s="151" t="s">
        <v>148</v>
      </c>
      <c r="B82" s="150" t="s">
        <v>149</v>
      </c>
      <c r="E82" s="150" t="s">
        <v>7</v>
      </c>
      <c r="F82" s="264">
        <v>6235</v>
      </c>
      <c r="G82" s="264">
        <v>6111</v>
      </c>
      <c r="H82" s="187">
        <v>2801147.3774999999</v>
      </c>
      <c r="I82" s="187">
        <v>5238.352084000001</v>
      </c>
      <c r="J82" s="187">
        <v>104283</v>
      </c>
      <c r="K82" s="187">
        <v>2702102.7295840001</v>
      </c>
    </row>
    <row r="83" spans="1:11" ht="18" customHeight="1" thickBot="1">
      <c r="A83" s="151"/>
      <c r="F83" s="172"/>
      <c r="G83" s="172"/>
      <c r="H83" s="172"/>
      <c r="I83" s="172"/>
      <c r="J83" s="172"/>
      <c r="K83" s="172"/>
    </row>
    <row r="84" spans="1:11" ht="42.75" customHeight="1">
      <c r="F84" s="153" t="s">
        <v>9</v>
      </c>
      <c r="G84" s="153" t="s">
        <v>37</v>
      </c>
      <c r="H84" s="153" t="s">
        <v>29</v>
      </c>
      <c r="I84" s="153" t="s">
        <v>30</v>
      </c>
      <c r="J84" s="153" t="s">
        <v>33</v>
      </c>
      <c r="K84" s="153" t="s">
        <v>34</v>
      </c>
    </row>
    <row r="85" spans="1:11" ht="18" customHeight="1">
      <c r="A85" s="154" t="s">
        <v>111</v>
      </c>
      <c r="B85" s="150" t="s">
        <v>57</v>
      </c>
    </row>
    <row r="86" spans="1:11" ht="18" customHeight="1">
      <c r="A86" s="151" t="s">
        <v>112</v>
      </c>
      <c r="B86" s="155" t="s">
        <v>113</v>
      </c>
      <c r="F86" s="156">
        <v>0</v>
      </c>
      <c r="G86" s="156">
        <v>0</v>
      </c>
      <c r="H86" s="157">
        <v>10003</v>
      </c>
      <c r="I86" s="157">
        <v>4372.3113000000003</v>
      </c>
      <c r="J86" s="157">
        <v>0</v>
      </c>
      <c r="K86" s="159">
        <v>14375.311300000001</v>
      </c>
    </row>
    <row r="87" spans="1:11" ht="18" customHeight="1">
      <c r="A87" s="151" t="s">
        <v>114</v>
      </c>
      <c r="B87" s="155" t="s">
        <v>14</v>
      </c>
      <c r="F87" s="156">
        <v>946</v>
      </c>
      <c r="G87" s="156">
        <v>1</v>
      </c>
      <c r="H87" s="157">
        <v>109037.68</v>
      </c>
      <c r="I87" s="157">
        <v>47660.369928</v>
      </c>
      <c r="J87" s="157">
        <v>0</v>
      </c>
      <c r="K87" s="159">
        <v>156698.04992799999</v>
      </c>
    </row>
    <row r="88" spans="1:11" ht="18" customHeight="1">
      <c r="A88" s="151" t="s">
        <v>115</v>
      </c>
      <c r="B88" s="155" t="s">
        <v>116</v>
      </c>
      <c r="F88" s="156">
        <v>21062</v>
      </c>
      <c r="G88" s="156">
        <v>2725</v>
      </c>
      <c r="H88" s="157">
        <v>1240874.8399999999</v>
      </c>
      <c r="I88" s="157">
        <v>542386.39256399986</v>
      </c>
      <c r="J88" s="157">
        <v>1950</v>
      </c>
      <c r="K88" s="159">
        <v>1781311.2325639997</v>
      </c>
    </row>
    <row r="89" spans="1:11" ht="18" customHeight="1">
      <c r="A89" s="151" t="s">
        <v>117</v>
      </c>
      <c r="B89" s="155" t="s">
        <v>58</v>
      </c>
      <c r="F89" s="156">
        <v>8361</v>
      </c>
      <c r="G89" s="156">
        <v>1</v>
      </c>
      <c r="H89" s="157">
        <v>299771.3</v>
      </c>
      <c r="I89" s="157">
        <v>131030.03523000001</v>
      </c>
      <c r="J89" s="157">
        <v>21370</v>
      </c>
      <c r="K89" s="159">
        <v>409431.33522999997</v>
      </c>
    </row>
    <row r="90" spans="1:11" ht="18" customHeight="1">
      <c r="A90" s="151" t="s">
        <v>118</v>
      </c>
      <c r="B90" s="904" t="s">
        <v>59</v>
      </c>
      <c r="C90" s="904"/>
      <c r="F90" s="156">
        <v>0</v>
      </c>
      <c r="G90" s="156">
        <v>0</v>
      </c>
      <c r="H90" s="157">
        <v>0</v>
      </c>
      <c r="I90" s="157">
        <v>0</v>
      </c>
      <c r="J90" s="157">
        <v>0</v>
      </c>
      <c r="K90" s="159">
        <v>0</v>
      </c>
    </row>
    <row r="91" spans="1:11" ht="18" customHeight="1">
      <c r="A91" s="151" t="s">
        <v>119</v>
      </c>
      <c r="B91" s="155" t="s">
        <v>60</v>
      </c>
      <c r="F91" s="156">
        <v>2152</v>
      </c>
      <c r="G91" s="156">
        <v>0</v>
      </c>
      <c r="H91" s="157">
        <v>173877</v>
      </c>
      <c r="I91" s="157">
        <v>76001.636700000003</v>
      </c>
      <c r="J91" s="157">
        <v>0</v>
      </c>
      <c r="K91" s="159">
        <v>249878.6367</v>
      </c>
    </row>
    <row r="92" spans="1:11" ht="18" customHeight="1">
      <c r="A92" s="151" t="s">
        <v>120</v>
      </c>
      <c r="B92" s="155" t="s">
        <v>121</v>
      </c>
      <c r="F92" s="156">
        <v>6304.5</v>
      </c>
      <c r="G92" s="156">
        <v>12</v>
      </c>
      <c r="H92" s="157">
        <v>433791.20400000003</v>
      </c>
      <c r="I92" s="157">
        <v>189610.13526840002</v>
      </c>
      <c r="J92" s="157">
        <v>0</v>
      </c>
      <c r="K92" s="159">
        <v>623401.3392684001</v>
      </c>
    </row>
    <row r="93" spans="1:11" ht="18" customHeight="1">
      <c r="A93" s="151" t="s">
        <v>122</v>
      </c>
      <c r="B93" s="155" t="s">
        <v>123</v>
      </c>
      <c r="F93" s="156">
        <v>4241</v>
      </c>
      <c r="G93" s="156">
        <v>8538</v>
      </c>
      <c r="H93" s="157">
        <v>175931.32</v>
      </c>
      <c r="I93" s="157">
        <v>76899.579971999978</v>
      </c>
      <c r="J93" s="157">
        <v>36312</v>
      </c>
      <c r="K93" s="159">
        <v>216518.89997199998</v>
      </c>
    </row>
    <row r="94" spans="1:11" ht="18" customHeight="1">
      <c r="A94" s="151" t="s">
        <v>124</v>
      </c>
      <c r="B94" s="901" t="s">
        <v>476</v>
      </c>
      <c r="C94" s="902"/>
      <c r="D94" s="903"/>
      <c r="F94" s="156">
        <v>1147</v>
      </c>
      <c r="G94" s="156">
        <v>13852</v>
      </c>
      <c r="H94" s="157">
        <v>171911.56</v>
      </c>
      <c r="I94" s="157">
        <v>75142.542876000007</v>
      </c>
      <c r="J94" s="157">
        <v>23090</v>
      </c>
      <c r="K94" s="159">
        <v>223964.10287599999</v>
      </c>
    </row>
    <row r="95" spans="1:11" ht="18" customHeight="1">
      <c r="A95" s="151" t="s">
        <v>125</v>
      </c>
      <c r="B95" s="901"/>
      <c r="C95" s="902"/>
      <c r="D95" s="903"/>
      <c r="F95" s="156">
        <v>0</v>
      </c>
      <c r="G95" s="156">
        <v>0</v>
      </c>
      <c r="H95" s="157">
        <v>0</v>
      </c>
      <c r="I95" s="157">
        <v>0</v>
      </c>
      <c r="J95" s="157">
        <v>0</v>
      </c>
      <c r="K95" s="159">
        <v>0</v>
      </c>
    </row>
    <row r="96" spans="1:11" ht="18" customHeight="1">
      <c r="A96" s="151" t="s">
        <v>126</v>
      </c>
      <c r="B96" s="901"/>
      <c r="C96" s="902"/>
      <c r="D96" s="903"/>
      <c r="F96" s="156">
        <v>0</v>
      </c>
      <c r="G96" s="156">
        <v>0</v>
      </c>
      <c r="H96" s="157">
        <v>0</v>
      </c>
      <c r="I96" s="157">
        <v>0</v>
      </c>
      <c r="J96" s="157">
        <v>0</v>
      </c>
      <c r="K96" s="159">
        <v>0</v>
      </c>
    </row>
    <row r="97" spans="1:11" ht="18" customHeight="1">
      <c r="A97" s="151"/>
      <c r="B97" s="155"/>
    </row>
    <row r="98" spans="1:11" ht="18" customHeight="1">
      <c r="A98" s="154" t="s">
        <v>150</v>
      </c>
      <c r="B98" s="150" t="s">
        <v>151</v>
      </c>
      <c r="E98" s="150" t="s">
        <v>7</v>
      </c>
      <c r="F98" s="162">
        <v>44213.5</v>
      </c>
      <c r="G98" s="162">
        <v>25129</v>
      </c>
      <c r="H98" s="159">
        <v>2615197.9039999996</v>
      </c>
      <c r="I98" s="159">
        <v>1143103.0038383999</v>
      </c>
      <c r="J98" s="159">
        <v>82722</v>
      </c>
      <c r="K98" s="159">
        <v>3675578.9078384005</v>
      </c>
    </row>
    <row r="99" spans="1:11" ht="18" customHeight="1" thickBot="1">
      <c r="B99" s="150"/>
      <c r="F99" s="172"/>
      <c r="G99" s="172"/>
      <c r="H99" s="172"/>
      <c r="I99" s="172"/>
      <c r="J99" s="172"/>
      <c r="K99" s="172"/>
    </row>
    <row r="100" spans="1:11" ht="42.75" customHeight="1">
      <c r="F100" s="153" t="s">
        <v>9</v>
      </c>
      <c r="G100" s="153" t="s">
        <v>37</v>
      </c>
      <c r="H100" s="153" t="s">
        <v>29</v>
      </c>
      <c r="I100" s="153" t="s">
        <v>30</v>
      </c>
      <c r="J100" s="153" t="s">
        <v>33</v>
      </c>
      <c r="K100" s="153" t="s">
        <v>34</v>
      </c>
    </row>
    <row r="101" spans="1:11" ht="18" customHeight="1">
      <c r="A101" s="154" t="s">
        <v>130</v>
      </c>
      <c r="B101" s="150" t="s">
        <v>63</v>
      </c>
    </row>
    <row r="102" spans="1:11" ht="18" customHeight="1">
      <c r="A102" s="151" t="s">
        <v>131</v>
      </c>
      <c r="B102" s="155" t="s">
        <v>152</v>
      </c>
      <c r="F102" s="156">
        <v>6955.5</v>
      </c>
      <c r="G102" s="156">
        <v>0</v>
      </c>
      <c r="H102" s="157">
        <v>365461.90959999996</v>
      </c>
      <c r="I102" s="157">
        <v>159743.40068616002</v>
      </c>
      <c r="J102" s="157">
        <v>0</v>
      </c>
      <c r="K102" s="159">
        <v>525205.31028615998</v>
      </c>
    </row>
    <row r="103" spans="1:11" ht="18" customHeight="1">
      <c r="A103" s="151" t="s">
        <v>132</v>
      </c>
      <c r="B103" s="958" t="s">
        <v>62</v>
      </c>
      <c r="C103" s="958"/>
      <c r="F103" s="156">
        <v>678</v>
      </c>
      <c r="G103" s="156">
        <v>0</v>
      </c>
      <c r="H103" s="157">
        <v>87713.959999999992</v>
      </c>
      <c r="I103" s="157">
        <v>38339.771915999998</v>
      </c>
      <c r="J103" s="157">
        <v>0</v>
      </c>
      <c r="K103" s="159">
        <v>126053.73191599999</v>
      </c>
    </row>
    <row r="104" spans="1:11" ht="18" customHeight="1">
      <c r="A104" s="151" t="s">
        <v>128</v>
      </c>
      <c r="B104" s="901" t="s">
        <v>477</v>
      </c>
      <c r="C104" s="902"/>
      <c r="D104" s="903"/>
      <c r="F104" s="156">
        <v>0</v>
      </c>
      <c r="G104" s="156">
        <v>0</v>
      </c>
      <c r="H104" s="157">
        <v>44094.912400000132</v>
      </c>
      <c r="I104" s="157">
        <v>19273.886210040058</v>
      </c>
      <c r="J104" s="157">
        <v>0</v>
      </c>
      <c r="K104" s="159">
        <v>63368.79861004019</v>
      </c>
    </row>
    <row r="105" spans="1:11" ht="18" customHeight="1">
      <c r="A105" s="151" t="s">
        <v>127</v>
      </c>
      <c r="B105" s="901"/>
      <c r="C105" s="902"/>
      <c r="D105" s="903"/>
      <c r="F105" s="156">
        <v>0</v>
      </c>
      <c r="G105" s="156">
        <v>0</v>
      </c>
      <c r="H105" s="157">
        <v>0</v>
      </c>
      <c r="I105" s="157">
        <v>0</v>
      </c>
      <c r="J105" s="157">
        <v>0</v>
      </c>
      <c r="K105" s="159">
        <v>0</v>
      </c>
    </row>
    <row r="106" spans="1:11" ht="18" customHeight="1">
      <c r="A106" s="151" t="s">
        <v>129</v>
      </c>
      <c r="B106" s="901"/>
      <c r="C106" s="902"/>
      <c r="D106" s="903"/>
      <c r="F106" s="156">
        <v>0</v>
      </c>
      <c r="G106" s="156">
        <v>0</v>
      </c>
      <c r="H106" s="157">
        <v>0</v>
      </c>
      <c r="I106" s="157">
        <v>0</v>
      </c>
      <c r="J106" s="157">
        <v>0</v>
      </c>
      <c r="K106" s="159">
        <v>0</v>
      </c>
    </row>
    <row r="107" spans="1:11" ht="18" customHeight="1">
      <c r="B107" s="150"/>
    </row>
    <row r="108" spans="1:11" s="167" customFormat="1" ht="18" customHeight="1">
      <c r="A108" s="154" t="s">
        <v>153</v>
      </c>
      <c r="B108" s="191" t="s">
        <v>154</v>
      </c>
      <c r="C108" s="147"/>
      <c r="D108" s="147"/>
      <c r="E108" s="150" t="s">
        <v>7</v>
      </c>
      <c r="F108" s="162">
        <v>7633.5</v>
      </c>
      <c r="G108" s="162">
        <v>0</v>
      </c>
      <c r="H108" s="159">
        <v>497270.78200000012</v>
      </c>
      <c r="I108" s="159">
        <v>217357.05881220009</v>
      </c>
      <c r="J108" s="159">
        <v>0</v>
      </c>
      <c r="K108" s="159">
        <v>714627.84081220021</v>
      </c>
    </row>
    <row r="109" spans="1:11" s="167" customFormat="1" ht="18" customHeight="1" thickBot="1">
      <c r="A109" s="192"/>
      <c r="B109" s="193"/>
      <c r="C109" s="194"/>
      <c r="D109" s="194"/>
      <c r="E109" s="194"/>
      <c r="F109" s="172"/>
      <c r="G109" s="172"/>
      <c r="H109" s="172"/>
      <c r="I109" s="172"/>
      <c r="J109" s="172"/>
      <c r="K109" s="172"/>
    </row>
    <row r="110" spans="1:11" s="167" customFormat="1" ht="18" customHeight="1">
      <c r="A110" s="154" t="s">
        <v>156</v>
      </c>
      <c r="B110" s="150" t="s">
        <v>39</v>
      </c>
      <c r="C110" s="147"/>
      <c r="D110" s="147"/>
      <c r="E110" s="147"/>
      <c r="F110" s="147"/>
      <c r="G110" s="147"/>
      <c r="H110" s="147"/>
      <c r="I110" s="147"/>
      <c r="J110" s="147"/>
      <c r="K110" s="147"/>
    </row>
    <row r="111" spans="1:11" ht="18" customHeight="1">
      <c r="A111" s="154" t="s">
        <v>155</v>
      </c>
      <c r="B111" s="150" t="s">
        <v>164</v>
      </c>
      <c r="E111" s="150" t="s">
        <v>7</v>
      </c>
      <c r="F111" s="157">
        <v>30276000</v>
      </c>
    </row>
    <row r="112" spans="1:11" ht="18" customHeight="1">
      <c r="B112" s="150"/>
      <c r="E112" s="150"/>
      <c r="F112" s="195"/>
    </row>
    <row r="113" spans="1:6" ht="18" customHeight="1">
      <c r="A113" s="154"/>
      <c r="B113" s="150" t="s">
        <v>15</v>
      </c>
    </row>
    <row r="114" spans="1:6" ht="18" customHeight="1">
      <c r="A114" s="151" t="s">
        <v>171</v>
      </c>
      <c r="B114" s="155" t="s">
        <v>35</v>
      </c>
      <c r="F114" s="196">
        <v>0.43708705293794126</v>
      </c>
    </row>
    <row r="115" spans="1:6" ht="18" customHeight="1">
      <c r="A115" s="151"/>
      <c r="B115" s="150"/>
    </row>
    <row r="116" spans="1:6" ht="18" customHeight="1">
      <c r="A116" s="151" t="s">
        <v>170</v>
      </c>
      <c r="B116" s="150" t="s">
        <v>16</v>
      </c>
    </row>
    <row r="117" spans="1:6" ht="18" customHeight="1">
      <c r="A117" s="151" t="s">
        <v>172</v>
      </c>
      <c r="B117" s="155" t="s">
        <v>17</v>
      </c>
      <c r="F117" s="157">
        <v>1860151000</v>
      </c>
    </row>
    <row r="118" spans="1:6" ht="18" customHeight="1">
      <c r="A118" s="151" t="s">
        <v>173</v>
      </c>
      <c r="B118" s="147" t="s">
        <v>18</v>
      </c>
      <c r="F118" s="157">
        <v>236578000</v>
      </c>
    </row>
    <row r="119" spans="1:6" ht="18" customHeight="1">
      <c r="A119" s="151" t="s">
        <v>174</v>
      </c>
      <c r="B119" s="150" t="s">
        <v>19</v>
      </c>
      <c r="F119" s="187">
        <v>2096729000</v>
      </c>
    </row>
    <row r="120" spans="1:6" ht="18" customHeight="1">
      <c r="A120" s="151"/>
      <c r="B120" s="150"/>
    </row>
    <row r="121" spans="1:6" ht="18" customHeight="1">
      <c r="A121" s="151" t="s">
        <v>167</v>
      </c>
      <c r="B121" s="150" t="s">
        <v>36</v>
      </c>
      <c r="F121" s="157">
        <v>2047447000</v>
      </c>
    </row>
    <row r="122" spans="1:6" ht="18" customHeight="1">
      <c r="A122" s="151"/>
    </row>
    <row r="123" spans="1:6" ht="18" customHeight="1">
      <c r="A123" s="151" t="s">
        <v>175</v>
      </c>
      <c r="B123" s="150" t="s">
        <v>20</v>
      </c>
      <c r="F123" s="157">
        <v>49282000</v>
      </c>
    </row>
    <row r="124" spans="1:6" ht="18" customHeight="1">
      <c r="A124" s="151"/>
    </row>
    <row r="125" spans="1:6" ht="18" customHeight="1">
      <c r="A125" s="151" t="s">
        <v>176</v>
      </c>
      <c r="B125" s="150" t="s">
        <v>21</v>
      </c>
      <c r="F125" s="492">
        <v>-38070000</v>
      </c>
    </row>
    <row r="126" spans="1:6" ht="18" customHeight="1">
      <c r="A126" s="151"/>
    </row>
    <row r="127" spans="1:6" ht="18" customHeight="1">
      <c r="A127" s="151" t="s">
        <v>177</v>
      </c>
      <c r="B127" s="150" t="s">
        <v>22</v>
      </c>
      <c r="F127" s="157">
        <v>11212000</v>
      </c>
    </row>
    <row r="128" spans="1:6" ht="18" customHeight="1">
      <c r="A128" s="151"/>
    </row>
    <row r="129" spans="1:11" ht="42.75" customHeight="1">
      <c r="F129" s="153" t="s">
        <v>9</v>
      </c>
      <c r="G129" s="153" t="s">
        <v>37</v>
      </c>
      <c r="H129" s="153" t="s">
        <v>29</v>
      </c>
      <c r="I129" s="153" t="s">
        <v>30</v>
      </c>
      <c r="J129" s="153" t="s">
        <v>33</v>
      </c>
      <c r="K129" s="153" t="s">
        <v>34</v>
      </c>
    </row>
    <row r="130" spans="1:11" ht="18" customHeight="1">
      <c r="A130" s="154" t="s">
        <v>157</v>
      </c>
      <c r="B130" s="150" t="s">
        <v>23</v>
      </c>
    </row>
    <row r="131" spans="1:11" ht="18" customHeight="1">
      <c r="A131" s="151" t="s">
        <v>158</v>
      </c>
      <c r="B131" s="147" t="s">
        <v>24</v>
      </c>
      <c r="F131" s="156">
        <v>0</v>
      </c>
      <c r="G131" s="156">
        <v>0</v>
      </c>
      <c r="H131" s="157">
        <v>0</v>
      </c>
      <c r="I131" s="158">
        <v>0</v>
      </c>
      <c r="J131" s="157">
        <v>0</v>
      </c>
      <c r="K131" s="159">
        <v>0</v>
      </c>
    </row>
    <row r="132" spans="1:11" ht="18" customHeight="1">
      <c r="A132" s="151" t="s">
        <v>159</v>
      </c>
      <c r="B132" s="147" t="s">
        <v>25</v>
      </c>
      <c r="F132" s="156">
        <v>0</v>
      </c>
      <c r="G132" s="156">
        <v>0</v>
      </c>
      <c r="H132" s="157">
        <v>0</v>
      </c>
      <c r="I132" s="158">
        <v>0</v>
      </c>
      <c r="J132" s="157">
        <v>0</v>
      </c>
      <c r="K132" s="159">
        <v>0</v>
      </c>
    </row>
    <row r="133" spans="1:11" ht="18" customHeight="1">
      <c r="A133" s="151" t="s">
        <v>160</v>
      </c>
      <c r="B133" s="898"/>
      <c r="C133" s="899"/>
      <c r="D133" s="900"/>
      <c r="F133" s="156">
        <v>0</v>
      </c>
      <c r="G133" s="156">
        <v>0</v>
      </c>
      <c r="H133" s="157">
        <v>0</v>
      </c>
      <c r="I133" s="158">
        <v>0</v>
      </c>
      <c r="J133" s="157">
        <v>0</v>
      </c>
      <c r="K133" s="159">
        <v>0</v>
      </c>
    </row>
    <row r="134" spans="1:11" ht="18" customHeight="1">
      <c r="A134" s="151" t="s">
        <v>161</v>
      </c>
      <c r="B134" s="898"/>
      <c r="C134" s="899"/>
      <c r="D134" s="900"/>
      <c r="F134" s="156">
        <v>0</v>
      </c>
      <c r="G134" s="156">
        <v>0</v>
      </c>
      <c r="H134" s="157">
        <v>0</v>
      </c>
      <c r="I134" s="158">
        <v>0</v>
      </c>
      <c r="J134" s="157">
        <v>0</v>
      </c>
      <c r="K134" s="159">
        <v>0</v>
      </c>
    </row>
    <row r="135" spans="1:11" ht="18" customHeight="1">
      <c r="A135" s="151" t="s">
        <v>162</v>
      </c>
      <c r="B135" s="898"/>
      <c r="C135" s="899"/>
      <c r="D135" s="900"/>
      <c r="F135" s="156">
        <v>0</v>
      </c>
      <c r="G135" s="156">
        <v>0</v>
      </c>
      <c r="H135" s="157">
        <v>0</v>
      </c>
      <c r="I135" s="158">
        <v>0</v>
      </c>
      <c r="J135" s="157">
        <v>0</v>
      </c>
      <c r="K135" s="159">
        <v>0</v>
      </c>
    </row>
    <row r="136" spans="1:11" ht="18" customHeight="1">
      <c r="A136" s="154"/>
    </row>
    <row r="137" spans="1:11" ht="18" customHeight="1">
      <c r="A137" s="154" t="s">
        <v>163</v>
      </c>
      <c r="B137" s="150" t="s">
        <v>27</v>
      </c>
      <c r="F137" s="162">
        <v>0</v>
      </c>
      <c r="G137" s="162">
        <v>0</v>
      </c>
      <c r="H137" s="159">
        <v>0</v>
      </c>
      <c r="I137" s="159">
        <v>0</v>
      </c>
      <c r="J137" s="159">
        <v>0</v>
      </c>
      <c r="K137" s="159">
        <v>0</v>
      </c>
    </row>
    <row r="138" spans="1:11" ht="18" customHeight="1">
      <c r="A138" s="147"/>
    </row>
    <row r="139" spans="1:11" ht="42.75" customHeight="1">
      <c r="F139" s="153" t="s">
        <v>9</v>
      </c>
      <c r="G139" s="153" t="s">
        <v>37</v>
      </c>
      <c r="H139" s="153" t="s">
        <v>29</v>
      </c>
      <c r="I139" s="153" t="s">
        <v>30</v>
      </c>
      <c r="J139" s="153" t="s">
        <v>33</v>
      </c>
      <c r="K139" s="153" t="s">
        <v>34</v>
      </c>
    </row>
    <row r="140" spans="1:11" ht="18" customHeight="1">
      <c r="A140" s="154" t="s">
        <v>166</v>
      </c>
      <c r="B140" s="150" t="s">
        <v>26</v>
      </c>
    </row>
    <row r="141" spans="1:11" ht="18" customHeight="1">
      <c r="A141" s="151" t="s">
        <v>137</v>
      </c>
      <c r="B141" s="150" t="s">
        <v>64</v>
      </c>
      <c r="F141" s="197">
        <v>80152</v>
      </c>
      <c r="G141" s="197">
        <v>409601</v>
      </c>
      <c r="H141" s="197">
        <v>8683667.3399999999</v>
      </c>
      <c r="I141" s="197">
        <v>3197249.8363140007</v>
      </c>
      <c r="J141" s="197">
        <v>1240714</v>
      </c>
      <c r="K141" s="197">
        <v>10640203.176314</v>
      </c>
    </row>
    <row r="142" spans="1:11" ht="18" customHeight="1">
      <c r="A142" s="151" t="s">
        <v>142</v>
      </c>
      <c r="B142" s="150" t="s">
        <v>65</v>
      </c>
      <c r="F142" s="197">
        <v>2104150.7999999998</v>
      </c>
      <c r="G142" s="197">
        <v>2533.9</v>
      </c>
      <c r="H142" s="197">
        <v>121183771.44000001</v>
      </c>
      <c r="I142" s="197">
        <v>0</v>
      </c>
      <c r="J142" s="197">
        <v>29100</v>
      </c>
      <c r="K142" s="197">
        <v>121154671.44000001</v>
      </c>
    </row>
    <row r="143" spans="1:11" ht="18" customHeight="1">
      <c r="A143" s="151" t="s">
        <v>144</v>
      </c>
      <c r="B143" s="150" t="s">
        <v>66</v>
      </c>
      <c r="F143" s="197">
        <v>19158</v>
      </c>
      <c r="G143" s="197">
        <v>25269</v>
      </c>
      <c r="H143" s="197">
        <v>16552514.543490138</v>
      </c>
      <c r="I143" s="197">
        <v>0</v>
      </c>
      <c r="J143" s="197">
        <v>927129.8</v>
      </c>
      <c r="K143" s="197">
        <v>15625384.743490137</v>
      </c>
    </row>
    <row r="144" spans="1:11" ht="18" customHeight="1">
      <c r="A144" s="151" t="s">
        <v>146</v>
      </c>
      <c r="B144" s="150" t="s">
        <v>67</v>
      </c>
      <c r="F144" s="197">
        <v>20384</v>
      </c>
      <c r="G144" s="197">
        <v>105</v>
      </c>
      <c r="H144" s="197">
        <v>945167.32</v>
      </c>
      <c r="I144" s="197">
        <v>0</v>
      </c>
      <c r="J144" s="197">
        <v>0</v>
      </c>
      <c r="K144" s="197">
        <v>945167.32</v>
      </c>
    </row>
    <row r="145" spans="1:11" ht="18" customHeight="1">
      <c r="A145" s="151" t="s">
        <v>148</v>
      </c>
      <c r="B145" s="150" t="s">
        <v>68</v>
      </c>
      <c r="F145" s="197">
        <v>6235</v>
      </c>
      <c r="G145" s="197">
        <v>6111</v>
      </c>
      <c r="H145" s="197">
        <v>2801147.3774999999</v>
      </c>
      <c r="I145" s="197">
        <v>5238.352084000001</v>
      </c>
      <c r="J145" s="197">
        <v>104283</v>
      </c>
      <c r="K145" s="197">
        <v>2702102.7295840001</v>
      </c>
    </row>
    <row r="146" spans="1:11" ht="18" customHeight="1">
      <c r="A146" s="151" t="s">
        <v>150</v>
      </c>
      <c r="B146" s="150" t="s">
        <v>69</v>
      </c>
      <c r="F146" s="197">
        <v>44213.5</v>
      </c>
      <c r="G146" s="197">
        <v>25129</v>
      </c>
      <c r="H146" s="197">
        <v>2615197.9039999996</v>
      </c>
      <c r="I146" s="197">
        <v>1143103.0038383999</v>
      </c>
      <c r="J146" s="197">
        <v>82722</v>
      </c>
      <c r="K146" s="197">
        <v>3675578.9078384005</v>
      </c>
    </row>
    <row r="147" spans="1:11" ht="18" customHeight="1">
      <c r="A147" s="151" t="s">
        <v>153</v>
      </c>
      <c r="B147" s="150" t="s">
        <v>61</v>
      </c>
      <c r="F147" s="162">
        <v>7633.5</v>
      </c>
      <c r="G147" s="162">
        <v>0</v>
      </c>
      <c r="H147" s="162">
        <v>497270.78200000012</v>
      </c>
      <c r="I147" s="162">
        <v>217357.05881220009</v>
      </c>
      <c r="J147" s="162">
        <v>0</v>
      </c>
      <c r="K147" s="162">
        <v>714627.84081220021</v>
      </c>
    </row>
    <row r="148" spans="1:11" ht="18" customHeight="1">
      <c r="A148" s="151" t="s">
        <v>155</v>
      </c>
      <c r="B148" s="150" t="s">
        <v>70</v>
      </c>
      <c r="F148" s="198" t="s">
        <v>73</v>
      </c>
      <c r="G148" s="198" t="s">
        <v>73</v>
      </c>
      <c r="H148" s="199" t="s">
        <v>73</v>
      </c>
      <c r="I148" s="199" t="s">
        <v>73</v>
      </c>
      <c r="J148" s="199" t="s">
        <v>73</v>
      </c>
      <c r="K148" s="268">
        <v>30276000</v>
      </c>
    </row>
    <row r="149" spans="1:11" ht="18" customHeight="1">
      <c r="A149" s="151" t="s">
        <v>163</v>
      </c>
      <c r="B149" s="150" t="s">
        <v>71</v>
      </c>
      <c r="F149" s="162">
        <v>0</v>
      </c>
      <c r="G149" s="162">
        <v>0</v>
      </c>
      <c r="H149" s="162">
        <v>0</v>
      </c>
      <c r="I149" s="162">
        <v>0</v>
      </c>
      <c r="J149" s="162">
        <v>0</v>
      </c>
      <c r="K149" s="162">
        <v>0</v>
      </c>
    </row>
    <row r="150" spans="1:11" ht="18" customHeight="1">
      <c r="A150" s="151" t="s">
        <v>185</v>
      </c>
      <c r="B150" s="150" t="s">
        <v>186</v>
      </c>
      <c r="F150" s="198" t="s">
        <v>73</v>
      </c>
      <c r="G150" s="198" t="s">
        <v>73</v>
      </c>
      <c r="H150" s="162">
        <v>53393595.015596919</v>
      </c>
      <c r="I150" s="162">
        <v>0</v>
      </c>
      <c r="J150" s="162">
        <v>45658199.701176785</v>
      </c>
      <c r="K150" s="162">
        <v>7735395.3144201338</v>
      </c>
    </row>
    <row r="151" spans="1:11" ht="18" customHeight="1">
      <c r="B151" s="150"/>
      <c r="F151" s="174"/>
      <c r="G151" s="174"/>
      <c r="H151" s="174"/>
      <c r="I151" s="174"/>
      <c r="J151" s="174"/>
      <c r="K151" s="174"/>
    </row>
    <row r="152" spans="1:11" ht="18" customHeight="1">
      <c r="A152" s="154" t="s">
        <v>165</v>
      </c>
      <c r="B152" s="150" t="s">
        <v>26</v>
      </c>
      <c r="F152" s="201">
        <v>2281926.7999999998</v>
      </c>
      <c r="G152" s="201">
        <v>468748.9</v>
      </c>
      <c r="H152" s="201">
        <v>206672331.72258708</v>
      </c>
      <c r="I152" s="201">
        <v>4562948.2510486012</v>
      </c>
      <c r="J152" s="201">
        <v>48042148.501176782</v>
      </c>
      <c r="K152" s="201">
        <v>193469131.4724589</v>
      </c>
    </row>
    <row r="154" spans="1:11" ht="18" customHeight="1">
      <c r="A154" s="154" t="s">
        <v>168</v>
      </c>
      <c r="B154" s="150" t="s">
        <v>28</v>
      </c>
      <c r="F154" s="269">
        <v>9.4492864270703414E-2</v>
      </c>
    </row>
    <row r="155" spans="1:11" ht="18" customHeight="1">
      <c r="A155" s="154" t="s">
        <v>169</v>
      </c>
      <c r="B155" s="150" t="s">
        <v>72</v>
      </c>
      <c r="F155" s="269">
        <v>17.255541515560015</v>
      </c>
      <c r="G155" s="150"/>
    </row>
    <row r="156" spans="1:11" ht="18" customHeight="1">
      <c r="G156" s="150"/>
    </row>
  </sheetData>
  <mergeCells count="38">
    <mergeCell ref="C10:G10"/>
    <mergeCell ref="D2:H2"/>
    <mergeCell ref="C5:G5"/>
    <mergeCell ref="C6:G6"/>
    <mergeCell ref="C7:G7"/>
    <mergeCell ref="C9:G9"/>
    <mergeCell ref="B53:D53"/>
    <mergeCell ref="C11:G11"/>
    <mergeCell ref="B13:H13"/>
    <mergeCell ref="B30:D30"/>
    <mergeCell ref="B31:D31"/>
    <mergeCell ref="B34:D34"/>
    <mergeCell ref="B41:C41"/>
    <mergeCell ref="B44:D44"/>
    <mergeCell ref="B45:D45"/>
    <mergeCell ref="B46:D46"/>
    <mergeCell ref="B47:D47"/>
    <mergeCell ref="B52:C52"/>
    <mergeCell ref="B95:D95"/>
    <mergeCell ref="B54:D54"/>
    <mergeCell ref="B55:D55"/>
    <mergeCell ref="B56:D56"/>
    <mergeCell ref="B57:D57"/>
    <mergeCell ref="B58:D58"/>
    <mergeCell ref="B59:D59"/>
    <mergeCell ref="B60:D60"/>
    <mergeCell ref="B61:D61"/>
    <mergeCell ref="B62:D62"/>
    <mergeCell ref="B90:C90"/>
    <mergeCell ref="B94:D94"/>
    <mergeCell ref="B134:D134"/>
    <mergeCell ref="B135:D135"/>
    <mergeCell ref="B96:D96"/>
    <mergeCell ref="B103:C103"/>
    <mergeCell ref="B104:D104"/>
    <mergeCell ref="B105:D105"/>
    <mergeCell ref="B106:D106"/>
    <mergeCell ref="B133:D133"/>
  </mergeCells>
  <hyperlinks>
    <hyperlink ref="C11" r:id="rId1"/>
  </hyperlinks>
  <printOptions headings="1" gridLines="1"/>
  <pageMargins left="0.17" right="0.16" top="0.35" bottom="0.32" header="0.17" footer="0.17"/>
  <pageSetup scale="59" fitToHeight="3" orientation="landscape" r:id="rId2"/>
  <headerFooter alignWithMargins="0">
    <oddFooter>&amp;L&amp;Z&amp;F.xls&amp;C&amp;P of &amp;N&amp;R&amp;D</oddFooter>
  </headerFooter>
  <rowBreaks count="3" manualBreakCount="3">
    <brk id="37" max="16383" man="1"/>
    <brk id="74" max="16383" man="1"/>
    <brk id="109"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K166"/>
  <sheetViews>
    <sheetView zoomScaleNormal="100" workbookViewId="0">
      <pane ySplit="12" topLeftCell="A13" activePane="bottomLeft" state="frozenSplit"/>
      <selection pane="bottomLeft" activeCell="K18" sqref="K18"/>
    </sheetView>
  </sheetViews>
  <sheetFormatPr defaultRowHeight="18" customHeight="1"/>
  <cols>
    <col min="1" max="1" width="8.28515625" style="281" customWidth="1"/>
    <col min="2" max="2" width="55.42578125" bestFit="1" customWidth="1"/>
    <col min="3" max="3" width="7.140625" customWidth="1"/>
    <col min="4" max="4" width="5.28515625" customWidth="1"/>
    <col min="5" max="5" width="12.42578125" customWidth="1"/>
    <col min="6" max="6" width="18.5703125" customWidth="1"/>
    <col min="7" max="7" width="23.5703125" customWidth="1"/>
    <col min="8" max="8" width="17.140625" style="654" customWidth="1"/>
    <col min="9" max="9" width="21.140625" style="654" customWidth="1"/>
    <col min="10" max="10" width="19.85546875" style="654" customWidth="1"/>
    <col min="11" max="11" width="17.5703125" style="654" customWidth="1"/>
  </cols>
  <sheetData>
    <row r="1" spans="1:11" ht="18" customHeight="1">
      <c r="C1" s="3"/>
      <c r="D1" s="2"/>
      <c r="E1" s="3"/>
      <c r="F1" s="3"/>
      <c r="G1" s="3"/>
      <c r="H1" s="653"/>
      <c r="I1" s="653"/>
      <c r="J1" s="653"/>
      <c r="K1" s="653"/>
    </row>
    <row r="2" spans="1:11" ht="18" customHeight="1">
      <c r="D2" s="940" t="s">
        <v>776</v>
      </c>
      <c r="E2" s="941"/>
      <c r="F2" s="941"/>
      <c r="G2" s="941"/>
      <c r="H2" s="941"/>
    </row>
    <row r="3" spans="1:11" ht="18" customHeight="1">
      <c r="B3" s="1" t="s">
        <v>0</v>
      </c>
    </row>
    <row r="5" spans="1:11" ht="18" customHeight="1">
      <c r="B5" s="4" t="s">
        <v>40</v>
      </c>
      <c r="C5" s="975" t="s">
        <v>871</v>
      </c>
      <c r="D5" s="943"/>
      <c r="E5" s="943"/>
      <c r="F5" s="943"/>
      <c r="G5" s="944"/>
    </row>
    <row r="6" spans="1:11" ht="18" customHeight="1">
      <c r="B6" s="4" t="s">
        <v>3</v>
      </c>
      <c r="C6" s="976">
        <v>210010</v>
      </c>
      <c r="D6" s="946"/>
      <c r="E6" s="946"/>
      <c r="F6" s="946"/>
      <c r="G6" s="947"/>
    </row>
    <row r="7" spans="1:11" ht="18" customHeight="1">
      <c r="B7" s="4" t="s">
        <v>4</v>
      </c>
      <c r="C7" s="977">
        <f>+'[11]DGH 2015'!D18</f>
        <v>649</v>
      </c>
      <c r="D7" s="978"/>
      <c r="E7" s="978"/>
      <c r="F7" s="978"/>
      <c r="G7" s="979"/>
    </row>
    <row r="9" spans="1:11" ht="18" customHeight="1">
      <c r="B9" s="4" t="s">
        <v>1</v>
      </c>
      <c r="C9" s="975" t="s">
        <v>872</v>
      </c>
      <c r="D9" s="943"/>
      <c r="E9" s="943"/>
      <c r="F9" s="943"/>
      <c r="G9" s="944"/>
    </row>
    <row r="10" spans="1:11" ht="18" customHeight="1">
      <c r="B10" s="4" t="s">
        <v>2</v>
      </c>
      <c r="C10" s="951" t="s">
        <v>562</v>
      </c>
      <c r="D10" s="952"/>
      <c r="E10" s="952"/>
      <c r="F10" s="952"/>
      <c r="G10" s="953"/>
    </row>
    <row r="11" spans="1:11" ht="18" customHeight="1">
      <c r="B11" s="4" t="s">
        <v>32</v>
      </c>
      <c r="C11" s="942" t="s">
        <v>870</v>
      </c>
      <c r="D11" s="954"/>
      <c r="E11" s="954"/>
      <c r="F11" s="954"/>
      <c r="G11" s="954"/>
    </row>
    <row r="12" spans="1:11" ht="18" customHeight="1">
      <c r="B12" s="4"/>
      <c r="C12" s="4"/>
      <c r="D12" s="4"/>
      <c r="E12" s="4"/>
      <c r="F12" s="4"/>
      <c r="G12" s="4"/>
    </row>
    <row r="13" spans="1:11" ht="24.6" customHeight="1">
      <c r="B13" s="955"/>
      <c r="C13" s="956"/>
      <c r="D13" s="956"/>
      <c r="E13" s="956"/>
      <c r="F13" s="956"/>
      <c r="G13" s="956"/>
      <c r="H13" s="957"/>
      <c r="I13" s="653"/>
    </row>
    <row r="14" spans="1:11" ht="18" customHeight="1">
      <c r="B14" s="6"/>
    </row>
    <row r="15" spans="1:11" ht="18" customHeight="1">
      <c r="B15" s="6"/>
    </row>
    <row r="16" spans="1:11" ht="45.2" customHeight="1">
      <c r="A16" s="282" t="s">
        <v>181</v>
      </c>
      <c r="B16" s="3"/>
      <c r="C16" s="3"/>
      <c r="D16" s="3"/>
      <c r="E16" s="3"/>
      <c r="F16" s="8" t="s">
        <v>9</v>
      </c>
      <c r="G16" s="8" t="s">
        <v>37</v>
      </c>
      <c r="H16" s="655" t="s">
        <v>29</v>
      </c>
      <c r="I16" s="655" t="s">
        <v>30</v>
      </c>
      <c r="J16" s="655" t="s">
        <v>33</v>
      </c>
      <c r="K16" s="655" t="s">
        <v>34</v>
      </c>
    </row>
    <row r="17" spans="1:11" ht="18" customHeight="1">
      <c r="A17" s="283" t="s">
        <v>184</v>
      </c>
      <c r="B17" s="1" t="s">
        <v>182</v>
      </c>
    </row>
    <row r="18" spans="1:11" ht="18" customHeight="1">
      <c r="A18" s="284" t="s">
        <v>185</v>
      </c>
      <c r="B18" s="257" t="s">
        <v>183</v>
      </c>
      <c r="F18" s="13" t="s">
        <v>73</v>
      </c>
      <c r="G18" s="13" t="s">
        <v>73</v>
      </c>
      <c r="H18" s="656">
        <v>1409919</v>
      </c>
      <c r="I18" s="657">
        <v>0</v>
      </c>
      <c r="J18" s="656">
        <v>1205657</v>
      </c>
      <c r="K18" s="658">
        <f>(H18+I18)-J18</f>
        <v>204262</v>
      </c>
    </row>
    <row r="19" spans="1:11" ht="45.2" customHeight="1">
      <c r="A19" s="282" t="s">
        <v>8</v>
      </c>
      <c r="B19" s="3"/>
      <c r="C19" s="3"/>
      <c r="D19" s="3"/>
      <c r="E19" s="3"/>
      <c r="F19" s="8" t="s">
        <v>9</v>
      </c>
      <c r="G19" s="8" t="s">
        <v>37</v>
      </c>
      <c r="H19" s="655" t="s">
        <v>29</v>
      </c>
      <c r="I19" s="655" t="s">
        <v>30</v>
      </c>
      <c r="J19" s="655" t="s">
        <v>33</v>
      </c>
      <c r="K19" s="655" t="s">
        <v>34</v>
      </c>
    </row>
    <row r="20" spans="1:11" ht="18" customHeight="1">
      <c r="A20" s="283" t="s">
        <v>74</v>
      </c>
      <c r="B20" s="1" t="s">
        <v>41</v>
      </c>
    </row>
    <row r="21" spans="1:11" ht="18" customHeight="1">
      <c r="A21" s="284" t="s">
        <v>75</v>
      </c>
      <c r="B21" s="257" t="s">
        <v>42</v>
      </c>
      <c r="F21" s="13">
        <f>+'[11]2015 CBR Initiatives'!E137</f>
        <v>36</v>
      </c>
      <c r="G21" s="13">
        <f>+'[11]2015 CBR Initiatives'!F137</f>
        <v>231</v>
      </c>
      <c r="H21" s="13">
        <f>+'[11]2015 CBR Initiatives'!G137</f>
        <v>1271.6745674658403</v>
      </c>
      <c r="I21" s="13">
        <f>+'[11]2015 CBR Initiatives'!H137</f>
        <v>728.44286361937327</v>
      </c>
      <c r="J21" s="13">
        <f>+'[11]2015 CBR Initiatives'!I137</f>
        <v>0</v>
      </c>
      <c r="K21" s="658">
        <f t="shared" ref="K21:K34" si="0">(H21+I21)-J21</f>
        <v>2000.1174310852134</v>
      </c>
    </row>
    <row r="22" spans="1:11" ht="18" customHeight="1">
      <c r="A22" s="284" t="s">
        <v>76</v>
      </c>
      <c r="B22" t="s">
        <v>6</v>
      </c>
      <c r="F22" s="13"/>
      <c r="G22" s="13"/>
      <c r="H22" s="656"/>
      <c r="I22" s="657">
        <f t="shared" ref="I22:I34" si="1">H22*F$114</f>
        <v>0</v>
      </c>
      <c r="J22" s="656"/>
      <c r="K22" s="658">
        <f t="shared" si="0"/>
        <v>0</v>
      </c>
    </row>
    <row r="23" spans="1:11" ht="18" customHeight="1">
      <c r="A23" s="284" t="s">
        <v>77</v>
      </c>
      <c r="B23" t="s">
        <v>43</v>
      </c>
      <c r="F23" s="13"/>
      <c r="G23" s="13"/>
      <c r="H23" s="656"/>
      <c r="I23" s="657">
        <f t="shared" si="1"/>
        <v>0</v>
      </c>
      <c r="J23" s="656"/>
      <c r="K23" s="658">
        <f t="shared" si="0"/>
        <v>0</v>
      </c>
    </row>
    <row r="24" spans="1:11" ht="18" customHeight="1">
      <c r="A24" s="284" t="s">
        <v>78</v>
      </c>
      <c r="B24" t="s">
        <v>44</v>
      </c>
      <c r="F24" s="13"/>
      <c r="G24" s="13"/>
      <c r="H24" s="656"/>
      <c r="I24" s="657">
        <f t="shared" si="1"/>
        <v>0</v>
      </c>
      <c r="J24" s="656"/>
      <c r="K24" s="658">
        <f t="shared" si="0"/>
        <v>0</v>
      </c>
    </row>
    <row r="25" spans="1:11" ht="18" customHeight="1">
      <c r="A25" s="284" t="s">
        <v>79</v>
      </c>
      <c r="B25" t="s">
        <v>5</v>
      </c>
      <c r="F25" s="13"/>
      <c r="G25" s="13"/>
      <c r="H25" s="656"/>
      <c r="I25" s="656"/>
      <c r="J25" s="656"/>
      <c r="K25" s="658">
        <f t="shared" si="0"/>
        <v>0</v>
      </c>
    </row>
    <row r="26" spans="1:11" ht="18" customHeight="1">
      <c r="A26" s="284" t="s">
        <v>80</v>
      </c>
      <c r="B26" t="s">
        <v>45</v>
      </c>
      <c r="F26" s="13"/>
      <c r="G26" s="13"/>
      <c r="H26" s="656"/>
      <c r="I26" s="657">
        <f t="shared" si="1"/>
        <v>0</v>
      </c>
      <c r="J26" s="656"/>
      <c r="K26" s="658">
        <f t="shared" si="0"/>
        <v>0</v>
      </c>
    </row>
    <row r="27" spans="1:11" ht="18" customHeight="1">
      <c r="A27" s="284" t="s">
        <v>81</v>
      </c>
      <c r="B27" t="s">
        <v>46</v>
      </c>
      <c r="F27" s="13"/>
      <c r="G27" s="13"/>
      <c r="H27" s="656"/>
      <c r="I27" s="657">
        <f t="shared" si="1"/>
        <v>0</v>
      </c>
      <c r="J27" s="656"/>
      <c r="K27" s="658">
        <f t="shared" si="0"/>
        <v>0</v>
      </c>
    </row>
    <row r="28" spans="1:11" ht="18" customHeight="1">
      <c r="A28" s="284" t="s">
        <v>82</v>
      </c>
      <c r="B28" t="s">
        <v>47</v>
      </c>
      <c r="F28" s="13"/>
      <c r="G28" s="13"/>
      <c r="H28" s="656"/>
      <c r="I28" s="657">
        <f t="shared" si="1"/>
        <v>0</v>
      </c>
      <c r="J28" s="656"/>
      <c r="K28" s="658">
        <f t="shared" si="0"/>
        <v>0</v>
      </c>
    </row>
    <row r="29" spans="1:11" ht="18" customHeight="1">
      <c r="A29" s="284" t="s">
        <v>83</v>
      </c>
      <c r="B29" t="s">
        <v>48</v>
      </c>
      <c r="F29" s="13">
        <f>+'[11]2015 CBR Initiatives'!E139</f>
        <v>0</v>
      </c>
      <c r="G29" s="13">
        <f>+'[11]2015 CBR Initiatives'!F139</f>
        <v>0</v>
      </c>
      <c r="H29" s="13">
        <f>+'[11]2015 CBR Initiatives'!G139</f>
        <v>0</v>
      </c>
      <c r="I29" s="13">
        <f>+'[11]2015 CBR Initiatives'!H139</f>
        <v>0</v>
      </c>
      <c r="J29" s="13">
        <f>+'[11]2015 CBR Initiatives'!I139</f>
        <v>0</v>
      </c>
      <c r="K29" s="658">
        <f t="shared" si="0"/>
        <v>0</v>
      </c>
    </row>
    <row r="30" spans="1:11" ht="18" customHeight="1">
      <c r="A30" s="284" t="s">
        <v>84</v>
      </c>
      <c r="B30" s="893"/>
      <c r="C30" s="894"/>
      <c r="D30" s="895"/>
      <c r="F30" s="13"/>
      <c r="G30" s="13"/>
      <c r="H30" s="656"/>
      <c r="I30" s="657">
        <f t="shared" si="1"/>
        <v>0</v>
      </c>
      <c r="J30" s="656"/>
      <c r="K30" s="658">
        <f t="shared" si="0"/>
        <v>0</v>
      </c>
    </row>
    <row r="31" spans="1:11" ht="18" customHeight="1">
      <c r="A31" s="284" t="s">
        <v>133</v>
      </c>
      <c r="B31" s="893"/>
      <c r="C31" s="894"/>
      <c r="D31" s="895"/>
      <c r="F31" s="13"/>
      <c r="G31" s="13"/>
      <c r="H31" s="656"/>
      <c r="I31" s="657">
        <f t="shared" si="1"/>
        <v>0</v>
      </c>
      <c r="J31" s="656"/>
      <c r="K31" s="658">
        <f t="shared" si="0"/>
        <v>0</v>
      </c>
    </row>
    <row r="32" spans="1:11" ht="18" customHeight="1">
      <c r="A32" s="284" t="s">
        <v>134</v>
      </c>
      <c r="B32" s="601"/>
      <c r="C32" s="602"/>
      <c r="D32" s="603"/>
      <c r="F32" s="13"/>
      <c r="G32" s="258" t="s">
        <v>85</v>
      </c>
      <c r="H32" s="656"/>
      <c r="I32" s="657">
        <f t="shared" si="1"/>
        <v>0</v>
      </c>
      <c r="J32" s="656"/>
      <c r="K32" s="658">
        <f t="shared" si="0"/>
        <v>0</v>
      </c>
    </row>
    <row r="33" spans="1:11" ht="18" customHeight="1">
      <c r="A33" s="284" t="s">
        <v>135</v>
      </c>
      <c r="B33" s="601"/>
      <c r="C33" s="602"/>
      <c r="D33" s="603"/>
      <c r="F33" s="13"/>
      <c r="G33" s="258" t="s">
        <v>85</v>
      </c>
      <c r="H33" s="656"/>
      <c r="I33" s="657">
        <f t="shared" si="1"/>
        <v>0</v>
      </c>
      <c r="J33" s="656"/>
      <c r="K33" s="658">
        <f t="shared" si="0"/>
        <v>0</v>
      </c>
    </row>
    <row r="34" spans="1:11" ht="18" customHeight="1">
      <c r="A34" s="284" t="s">
        <v>136</v>
      </c>
      <c r="B34" s="893"/>
      <c r="C34" s="894"/>
      <c r="D34" s="895"/>
      <c r="F34" s="13"/>
      <c r="G34" s="258" t="s">
        <v>85</v>
      </c>
      <c r="H34" s="656"/>
      <c r="I34" s="657">
        <f t="shared" si="1"/>
        <v>0</v>
      </c>
      <c r="J34" s="656"/>
      <c r="K34" s="658">
        <f t="shared" si="0"/>
        <v>0</v>
      </c>
    </row>
    <row r="35" spans="1:11" ht="18" customHeight="1">
      <c r="K35" s="659"/>
    </row>
    <row r="36" spans="1:11" ht="18" customHeight="1">
      <c r="A36" s="283" t="s">
        <v>137</v>
      </c>
      <c r="B36" s="1" t="s">
        <v>138</v>
      </c>
      <c r="E36" s="1" t="s">
        <v>7</v>
      </c>
      <c r="F36" s="17">
        <f t="shared" ref="F36:K36" si="2">SUM(F21:F34)</f>
        <v>36</v>
      </c>
      <c r="G36" s="17">
        <f t="shared" si="2"/>
        <v>231</v>
      </c>
      <c r="H36" s="658">
        <f t="shared" si="2"/>
        <v>1271.6745674658403</v>
      </c>
      <c r="I36" s="658">
        <f t="shared" si="2"/>
        <v>728.44286361937327</v>
      </c>
      <c r="J36" s="658">
        <f t="shared" si="2"/>
        <v>0</v>
      </c>
      <c r="K36" s="658">
        <f t="shared" si="2"/>
        <v>2000.1174310852134</v>
      </c>
    </row>
    <row r="37" spans="1:11" ht="18" customHeight="1" thickBot="1">
      <c r="B37" s="1"/>
      <c r="F37" s="18"/>
      <c r="G37" s="18"/>
      <c r="H37" s="660"/>
      <c r="I37" s="660"/>
      <c r="J37" s="660"/>
      <c r="K37" s="661"/>
    </row>
    <row r="38" spans="1:11" ht="42.75" customHeight="1">
      <c r="F38" s="8" t="s">
        <v>9</v>
      </c>
      <c r="G38" s="8" t="s">
        <v>37</v>
      </c>
      <c r="H38" s="655" t="s">
        <v>29</v>
      </c>
      <c r="I38" s="655" t="s">
        <v>30</v>
      </c>
      <c r="J38" s="655" t="s">
        <v>33</v>
      </c>
      <c r="K38" s="655" t="s">
        <v>34</v>
      </c>
    </row>
    <row r="39" spans="1:11" ht="18.75" customHeight="1">
      <c r="A39" s="283" t="s">
        <v>86</v>
      </c>
      <c r="B39" s="1" t="s">
        <v>49</v>
      </c>
    </row>
    <row r="40" spans="1:11" ht="18" customHeight="1">
      <c r="A40" s="284" t="s">
        <v>87</v>
      </c>
      <c r="B40" t="s">
        <v>31</v>
      </c>
      <c r="F40" s="13"/>
      <c r="G40" s="13"/>
      <c r="H40" s="656"/>
      <c r="I40" s="657">
        <v>0</v>
      </c>
      <c r="J40" s="656"/>
      <c r="K40" s="658">
        <f t="shared" ref="K40:K47" si="3">(H40+I40)-J40</f>
        <v>0</v>
      </c>
    </row>
    <row r="41" spans="1:11" ht="18" customHeight="1">
      <c r="A41" s="284" t="s">
        <v>88</v>
      </c>
      <c r="B41" s="931" t="s">
        <v>50</v>
      </c>
      <c r="C41" s="939"/>
      <c r="F41" s="13">
        <f>+'[11]DGH 2015'!G24</f>
        <v>3120</v>
      </c>
      <c r="G41" s="13">
        <f>+'[11]DGH 2015'!G25</f>
        <v>18</v>
      </c>
      <c r="H41" s="656">
        <f>+'[11]DGH 2015'!E24</f>
        <v>102600</v>
      </c>
      <c r="I41" s="657">
        <f>+'[11]DGH 2015'!E28</f>
        <v>18600.000000000007</v>
      </c>
      <c r="J41" s="656">
        <v>0</v>
      </c>
      <c r="K41" s="658">
        <f t="shared" si="3"/>
        <v>121200</v>
      </c>
    </row>
    <row r="42" spans="1:11" ht="18" customHeight="1">
      <c r="A42" s="284" t="s">
        <v>89</v>
      </c>
      <c r="B42" s="257" t="s">
        <v>11</v>
      </c>
      <c r="F42" s="13">
        <f>+'[11]2015 CBR Initiatives'!E143</f>
        <v>22</v>
      </c>
      <c r="G42" s="13">
        <f>+'[11]2015 CBR Initiatives'!F143</f>
        <v>78</v>
      </c>
      <c r="H42" s="13">
        <f>+'[11]2015 CBR Initiatives'!G143</f>
        <v>1149.7930134105172</v>
      </c>
      <c r="I42" s="13">
        <f>+'[11]2015 CBR Initiatives'!H143</f>
        <v>658.626457339137</v>
      </c>
      <c r="J42" s="13">
        <f>+'[11]2015 CBR Initiatives'!I143</f>
        <v>0</v>
      </c>
      <c r="K42" s="658">
        <f t="shared" si="3"/>
        <v>1808.4194707496542</v>
      </c>
    </row>
    <row r="43" spans="1:11" ht="18" customHeight="1">
      <c r="A43" s="284" t="s">
        <v>90</v>
      </c>
      <c r="B43" s="259" t="s">
        <v>10</v>
      </c>
      <c r="C43" s="9"/>
      <c r="D43" s="9"/>
      <c r="F43" s="13"/>
      <c r="G43" s="13"/>
      <c r="H43" s="656"/>
      <c r="I43" s="657">
        <v>0</v>
      </c>
      <c r="J43" s="656"/>
      <c r="K43" s="658">
        <f t="shared" si="3"/>
        <v>0</v>
      </c>
    </row>
    <row r="44" spans="1:11" ht="18" customHeight="1">
      <c r="A44" s="284" t="s">
        <v>91</v>
      </c>
      <c r="B44" s="893"/>
      <c r="C44" s="894"/>
      <c r="D44" s="895"/>
      <c r="F44" s="13"/>
      <c r="G44" s="13"/>
      <c r="H44" s="656"/>
      <c r="I44" s="657">
        <v>0</v>
      </c>
      <c r="J44" s="656"/>
      <c r="K44" s="662">
        <f t="shared" si="3"/>
        <v>0</v>
      </c>
    </row>
    <row r="45" spans="1:11" ht="18" customHeight="1">
      <c r="A45" s="284" t="s">
        <v>139</v>
      </c>
      <c r="B45" s="893"/>
      <c r="C45" s="894"/>
      <c r="D45" s="895"/>
      <c r="F45" s="13"/>
      <c r="G45" s="13"/>
      <c r="H45" s="656"/>
      <c r="I45" s="657">
        <v>0</v>
      </c>
      <c r="J45" s="656"/>
      <c r="K45" s="658">
        <f t="shared" si="3"/>
        <v>0</v>
      </c>
    </row>
    <row r="46" spans="1:11" ht="18" customHeight="1">
      <c r="A46" s="284" t="s">
        <v>140</v>
      </c>
      <c r="B46" s="893"/>
      <c r="C46" s="894"/>
      <c r="D46" s="895"/>
      <c r="F46" s="13"/>
      <c r="G46" s="13"/>
      <c r="H46" s="656"/>
      <c r="I46" s="657">
        <v>0</v>
      </c>
      <c r="J46" s="656"/>
      <c r="K46" s="658">
        <f t="shared" si="3"/>
        <v>0</v>
      </c>
    </row>
    <row r="47" spans="1:11" ht="18" customHeight="1">
      <c r="A47" s="284" t="s">
        <v>141</v>
      </c>
      <c r="B47" s="893"/>
      <c r="C47" s="894"/>
      <c r="D47" s="895"/>
      <c r="F47" s="13"/>
      <c r="G47" s="13"/>
      <c r="H47" s="656"/>
      <c r="I47" s="657">
        <v>0</v>
      </c>
      <c r="J47" s="656"/>
      <c r="K47" s="658">
        <f t="shared" si="3"/>
        <v>0</v>
      </c>
    </row>
    <row r="49" spans="1:11" ht="18" customHeight="1">
      <c r="A49" s="283" t="s">
        <v>142</v>
      </c>
      <c r="B49" s="1" t="s">
        <v>143</v>
      </c>
      <c r="E49" s="1" t="s">
        <v>7</v>
      </c>
      <c r="F49" s="22">
        <f t="shared" ref="F49:K49" si="4">SUM(F40:F47)</f>
        <v>3142</v>
      </c>
      <c r="G49" s="22">
        <f t="shared" si="4"/>
        <v>96</v>
      </c>
      <c r="H49" s="658">
        <f t="shared" si="4"/>
        <v>103749.79301341051</v>
      </c>
      <c r="I49" s="658">
        <f t="shared" si="4"/>
        <v>19258.626457339145</v>
      </c>
      <c r="J49" s="658">
        <f t="shared" si="4"/>
        <v>0</v>
      </c>
      <c r="K49" s="658">
        <f t="shared" si="4"/>
        <v>123008.41947074965</v>
      </c>
    </row>
    <row r="50" spans="1:11" ht="18" customHeight="1" thickBot="1">
      <c r="G50" s="23"/>
      <c r="H50" s="663"/>
      <c r="I50" s="663"/>
      <c r="J50" s="663"/>
      <c r="K50" s="663"/>
    </row>
    <row r="51" spans="1:11" ht="42.75" customHeight="1">
      <c r="F51" s="8" t="s">
        <v>9</v>
      </c>
      <c r="G51" s="8" t="s">
        <v>37</v>
      </c>
      <c r="H51" s="655" t="s">
        <v>29</v>
      </c>
      <c r="I51" s="655" t="s">
        <v>30</v>
      </c>
      <c r="J51" s="655" t="s">
        <v>33</v>
      </c>
      <c r="K51" s="655" t="s">
        <v>34</v>
      </c>
    </row>
    <row r="52" spans="1:11" ht="18" customHeight="1">
      <c r="A52" s="283" t="s">
        <v>92</v>
      </c>
      <c r="B52" s="935" t="s">
        <v>38</v>
      </c>
      <c r="C52" s="936"/>
    </row>
    <row r="53" spans="1:11" ht="18" customHeight="1">
      <c r="A53" s="284" t="s">
        <v>51</v>
      </c>
      <c r="B53" s="937" t="s">
        <v>577</v>
      </c>
      <c r="C53" s="938"/>
      <c r="D53" s="934"/>
      <c r="F53" s="13">
        <f>+'[11]DGH 2015'!O87</f>
        <v>286.5921721143489</v>
      </c>
      <c r="G53" s="13">
        <f>+'[11]DGH 2015'!O86</f>
        <v>382.12289615246522</v>
      </c>
      <c r="H53" s="656">
        <f>+'[11]DGH 2015'!I85</f>
        <v>240524.2</v>
      </c>
      <c r="I53" s="657">
        <v>0</v>
      </c>
      <c r="J53" s="656">
        <f>+'[11]DGH 2015'!I84</f>
        <v>0</v>
      </c>
      <c r="K53" s="658">
        <f t="shared" ref="K53:K62" si="5">(H53+I53)-J53</f>
        <v>240524.2</v>
      </c>
    </row>
    <row r="54" spans="1:11" ht="18" customHeight="1">
      <c r="A54" s="284" t="s">
        <v>93</v>
      </c>
      <c r="B54" s="932" t="s">
        <v>578</v>
      </c>
      <c r="C54" s="933"/>
      <c r="D54" s="934"/>
      <c r="F54" s="13">
        <f>+'[11]DGH 2015'!O91</f>
        <v>10950</v>
      </c>
      <c r="G54" s="13">
        <f>+'[11]DGH 2015'!O90</f>
        <v>21572</v>
      </c>
      <c r="H54" s="656">
        <f>+'[11]DGH 2015'!I89</f>
        <v>810852.88</v>
      </c>
      <c r="I54" s="657">
        <v>0</v>
      </c>
      <c r="J54" s="656">
        <f>+'[11]DGH 2015'!M89</f>
        <v>0</v>
      </c>
      <c r="K54" s="658">
        <f t="shared" si="5"/>
        <v>810852.88</v>
      </c>
    </row>
    <row r="55" spans="1:11" ht="18" customHeight="1">
      <c r="A55" s="284" t="s">
        <v>94</v>
      </c>
      <c r="B55" s="971" t="s">
        <v>570</v>
      </c>
      <c r="C55" s="972"/>
      <c r="D55" s="973"/>
      <c r="F55" s="13"/>
      <c r="G55" s="13"/>
      <c r="H55" s="656">
        <f>+'[11]MHE 2015'!L107</f>
        <v>0</v>
      </c>
      <c r="I55" s="657">
        <v>0</v>
      </c>
      <c r="J55" s="656"/>
      <c r="K55" s="658">
        <f t="shared" si="5"/>
        <v>0</v>
      </c>
    </row>
    <row r="56" spans="1:11" ht="18" customHeight="1">
      <c r="A56" s="284" t="s">
        <v>95</v>
      </c>
      <c r="B56" s="974" t="s">
        <v>572</v>
      </c>
      <c r="C56" s="933"/>
      <c r="D56" s="934"/>
      <c r="F56" s="13"/>
      <c r="G56" s="13"/>
      <c r="H56" s="656">
        <f>+'[11]DGH 2015'!J95</f>
        <v>359300</v>
      </c>
      <c r="I56" s="657">
        <f>H56*F$114</f>
        <v>213876.08185089461</v>
      </c>
      <c r="J56" s="656"/>
      <c r="K56" s="658">
        <f t="shared" si="5"/>
        <v>573176.08185089461</v>
      </c>
    </row>
    <row r="57" spans="1:11" ht="18" customHeight="1">
      <c r="A57" s="284" t="s">
        <v>96</v>
      </c>
      <c r="B57" s="974" t="s">
        <v>579</v>
      </c>
      <c r="C57" s="933"/>
      <c r="D57" s="934"/>
      <c r="F57" s="13"/>
      <c r="G57" s="13"/>
      <c r="H57" s="656">
        <f>+'[11]DGH 2015'!I104</f>
        <v>372109.4</v>
      </c>
      <c r="I57" s="657">
        <f>(+'[11]DGH 2015'!J100-'[11]DGH 2015'!I100)*0</f>
        <v>0</v>
      </c>
      <c r="J57" s="656">
        <f>+'[11]DGH 2015'!K100</f>
        <v>0</v>
      </c>
      <c r="K57" s="658">
        <f t="shared" si="5"/>
        <v>372109.4</v>
      </c>
    </row>
    <row r="58" spans="1:11" ht="18" customHeight="1">
      <c r="A58" s="284" t="s">
        <v>97</v>
      </c>
      <c r="B58" s="974" t="s">
        <v>580</v>
      </c>
      <c r="C58" s="933"/>
      <c r="D58" s="934"/>
      <c r="F58" s="13"/>
      <c r="G58" s="13"/>
      <c r="H58" s="656">
        <f>+'[11]DGH 2015'!I102</f>
        <v>800820</v>
      </c>
      <c r="I58" s="657">
        <f>(+'[11]DGH 2015'!J102-'[11]DGH 2015'!I102)*0</f>
        <v>0</v>
      </c>
      <c r="J58" s="656">
        <f>+'[11]DGH 2015'!K102*0</f>
        <v>0</v>
      </c>
      <c r="K58" s="658">
        <f t="shared" si="5"/>
        <v>800820</v>
      </c>
    </row>
    <row r="59" spans="1:11" ht="18" customHeight="1">
      <c r="A59" s="284" t="s">
        <v>98</v>
      </c>
      <c r="B59" s="932" t="s">
        <v>567</v>
      </c>
      <c r="C59" s="933"/>
      <c r="D59" s="934"/>
      <c r="F59" s="13"/>
      <c r="G59" s="13"/>
      <c r="H59" s="656">
        <f>+'[11]DGH 2015'!I105</f>
        <v>133589.06</v>
      </c>
      <c r="I59" s="657">
        <v>0</v>
      </c>
      <c r="J59" s="656"/>
      <c r="K59" s="658">
        <f t="shared" si="5"/>
        <v>133589.06</v>
      </c>
    </row>
    <row r="60" spans="1:11" ht="18" customHeight="1">
      <c r="A60" s="284" t="s">
        <v>99</v>
      </c>
      <c r="B60" s="604"/>
      <c r="C60" s="605"/>
      <c r="D60" s="606"/>
      <c r="F60" s="13"/>
      <c r="G60" s="13"/>
      <c r="H60" s="656"/>
      <c r="I60" s="657">
        <v>0</v>
      </c>
      <c r="J60" s="656"/>
      <c r="K60" s="658">
        <f t="shared" si="5"/>
        <v>0</v>
      </c>
    </row>
    <row r="61" spans="1:11" ht="18" customHeight="1">
      <c r="A61" s="284" t="s">
        <v>100</v>
      </c>
      <c r="B61" s="604"/>
      <c r="C61" s="605"/>
      <c r="D61" s="606"/>
      <c r="F61" s="13"/>
      <c r="G61" s="13"/>
      <c r="H61" s="656"/>
      <c r="I61" s="657">
        <v>0</v>
      </c>
      <c r="J61" s="656"/>
      <c r="K61" s="658">
        <f t="shared" si="5"/>
        <v>0</v>
      </c>
    </row>
    <row r="62" spans="1:11" ht="18" customHeight="1">
      <c r="A62" s="284" t="s">
        <v>101</v>
      </c>
      <c r="B62" s="932"/>
      <c r="C62" s="933"/>
      <c r="D62" s="934"/>
      <c r="F62" s="13"/>
      <c r="G62" s="13"/>
      <c r="H62" s="656"/>
      <c r="I62" s="657">
        <v>0</v>
      </c>
      <c r="J62" s="656"/>
      <c r="K62" s="658">
        <f t="shared" si="5"/>
        <v>0</v>
      </c>
    </row>
    <row r="63" spans="1:11" ht="18" customHeight="1">
      <c r="A63" s="284"/>
      <c r="I63" s="664"/>
    </row>
    <row r="64" spans="1:11" ht="18" customHeight="1">
      <c r="A64" s="284" t="s">
        <v>144</v>
      </c>
      <c r="B64" s="1" t="s">
        <v>145</v>
      </c>
      <c r="E64" s="1" t="s">
        <v>7</v>
      </c>
      <c r="F64" s="17">
        <f t="shared" ref="F64:K64" si="6">SUM(F53:F62)</f>
        <v>11236.59217211435</v>
      </c>
      <c r="G64" s="17">
        <f t="shared" si="6"/>
        <v>21954.122896152465</v>
      </c>
      <c r="H64" s="658">
        <f t="shared" si="6"/>
        <v>2717195.54</v>
      </c>
      <c r="I64" s="658">
        <f t="shared" si="6"/>
        <v>213876.08185089461</v>
      </c>
      <c r="J64" s="658">
        <f t="shared" si="6"/>
        <v>0</v>
      </c>
      <c r="K64" s="658">
        <f t="shared" si="6"/>
        <v>2931071.6218508948</v>
      </c>
    </row>
    <row r="65" spans="1:11" ht="18" customHeight="1">
      <c r="F65" s="38"/>
      <c r="G65" s="38"/>
      <c r="H65" s="665"/>
      <c r="I65" s="665"/>
      <c r="J65" s="665"/>
      <c r="K65" s="665"/>
    </row>
    <row r="66" spans="1:11" ht="42.75" customHeight="1">
      <c r="F66" s="46" t="s">
        <v>9</v>
      </c>
      <c r="G66" s="46" t="s">
        <v>37</v>
      </c>
      <c r="H66" s="666" t="s">
        <v>29</v>
      </c>
      <c r="I66" s="666" t="s">
        <v>30</v>
      </c>
      <c r="J66" s="666" t="s">
        <v>33</v>
      </c>
      <c r="K66" s="666" t="s">
        <v>34</v>
      </c>
    </row>
    <row r="67" spans="1:11" ht="18" customHeight="1">
      <c r="A67" s="283" t="s">
        <v>102</v>
      </c>
      <c r="B67" s="1" t="s">
        <v>12</v>
      </c>
      <c r="F67" s="47"/>
      <c r="G67" s="47"/>
      <c r="H67" s="667"/>
      <c r="I67" s="668"/>
      <c r="J67" s="667"/>
      <c r="K67" s="667"/>
    </row>
    <row r="68" spans="1:11" ht="18" customHeight="1">
      <c r="A68" s="284" t="s">
        <v>103</v>
      </c>
      <c r="B68" t="s">
        <v>52</v>
      </c>
      <c r="F68" s="41"/>
      <c r="G68" s="41"/>
      <c r="H68" s="656"/>
      <c r="I68" s="657">
        <v>0</v>
      </c>
      <c r="J68" s="656"/>
      <c r="K68" s="658">
        <f>(H68+I68)-J68</f>
        <v>0</v>
      </c>
    </row>
    <row r="69" spans="1:11" ht="18" customHeight="1">
      <c r="A69" s="284" t="s">
        <v>104</v>
      </c>
      <c r="B69" s="257" t="s">
        <v>53</v>
      </c>
      <c r="F69" s="41"/>
      <c r="G69" s="41"/>
      <c r="H69" s="656"/>
      <c r="I69" s="657">
        <v>0</v>
      </c>
      <c r="J69" s="656"/>
      <c r="K69" s="658">
        <f>(H69+I69)-J69</f>
        <v>0</v>
      </c>
    </row>
    <row r="70" spans="1:11" ht="18" customHeight="1">
      <c r="A70" s="284" t="s">
        <v>178</v>
      </c>
      <c r="B70" s="604"/>
      <c r="C70" s="605"/>
      <c r="D70" s="606"/>
      <c r="E70" s="1"/>
      <c r="F70" s="26"/>
      <c r="G70" s="26"/>
      <c r="H70" s="669"/>
      <c r="I70" s="657">
        <v>0</v>
      </c>
      <c r="J70" s="669"/>
      <c r="K70" s="658">
        <f>(H70+I70)-J70</f>
        <v>0</v>
      </c>
    </row>
    <row r="71" spans="1:11" ht="18" customHeight="1">
      <c r="A71" s="284" t="s">
        <v>179</v>
      </c>
      <c r="B71" s="604"/>
      <c r="C71" s="605"/>
      <c r="D71" s="606"/>
      <c r="E71" s="1"/>
      <c r="F71" s="26"/>
      <c r="G71" s="26"/>
      <c r="H71" s="669"/>
      <c r="I71" s="657">
        <v>0</v>
      </c>
      <c r="J71" s="669"/>
      <c r="K71" s="658">
        <f>(H71+I71)-J71</f>
        <v>0</v>
      </c>
    </row>
    <row r="72" spans="1:11" ht="18" customHeight="1">
      <c r="A72" s="284" t="s">
        <v>180</v>
      </c>
      <c r="B72" s="609"/>
      <c r="C72" s="607"/>
      <c r="D72" s="25"/>
      <c r="E72" s="1"/>
      <c r="F72" s="13"/>
      <c r="G72" s="13"/>
      <c r="H72" s="656"/>
      <c r="I72" s="657">
        <v>0</v>
      </c>
      <c r="J72" s="656"/>
      <c r="K72" s="658">
        <f>(H72+I72)-J72</f>
        <v>0</v>
      </c>
    </row>
    <row r="73" spans="1:11" ht="18" customHeight="1">
      <c r="A73" s="284"/>
      <c r="B73" s="257"/>
      <c r="E73" s="1"/>
      <c r="F73" s="50"/>
      <c r="G73" s="50"/>
      <c r="H73" s="670"/>
      <c r="I73" s="668"/>
      <c r="J73" s="670"/>
      <c r="K73" s="667"/>
    </row>
    <row r="74" spans="1:11" ht="18" customHeight="1">
      <c r="A74" s="283" t="s">
        <v>146</v>
      </c>
      <c r="B74" s="1" t="s">
        <v>147</v>
      </c>
      <c r="E74" s="1" t="s">
        <v>7</v>
      </c>
      <c r="F74" s="20">
        <f t="shared" ref="F74:K74" si="7">SUM(F68:F72)</f>
        <v>0</v>
      </c>
      <c r="G74" s="20">
        <f t="shared" si="7"/>
        <v>0</v>
      </c>
      <c r="H74" s="662">
        <f t="shared" si="7"/>
        <v>0</v>
      </c>
      <c r="I74" s="671">
        <f t="shared" si="7"/>
        <v>0</v>
      </c>
      <c r="J74" s="662">
        <f t="shared" si="7"/>
        <v>0</v>
      </c>
      <c r="K74" s="662">
        <f t="shared" si="7"/>
        <v>0</v>
      </c>
    </row>
    <row r="75" spans="1:11" ht="42.75" customHeight="1">
      <c r="F75" s="8" t="s">
        <v>9</v>
      </c>
      <c r="G75" s="8" t="s">
        <v>37</v>
      </c>
      <c r="H75" s="655" t="s">
        <v>29</v>
      </c>
      <c r="I75" s="655" t="s">
        <v>30</v>
      </c>
      <c r="J75" s="655" t="s">
        <v>33</v>
      </c>
      <c r="K75" s="655" t="s">
        <v>34</v>
      </c>
    </row>
    <row r="76" spans="1:11" ht="18" customHeight="1">
      <c r="A76" s="283" t="s">
        <v>105</v>
      </c>
      <c r="B76" s="1" t="s">
        <v>106</v>
      </c>
    </row>
    <row r="77" spans="1:11" ht="18" customHeight="1">
      <c r="A77" s="284" t="s">
        <v>107</v>
      </c>
      <c r="B77" s="257" t="s">
        <v>54</v>
      </c>
      <c r="F77" s="13"/>
      <c r="G77" s="13"/>
      <c r="H77" s="13"/>
      <c r="I77" s="13"/>
      <c r="J77" s="13"/>
      <c r="K77" s="658">
        <f>(H77+I77)-J77</f>
        <v>0</v>
      </c>
    </row>
    <row r="78" spans="1:11" ht="18" customHeight="1">
      <c r="A78" s="284" t="s">
        <v>108</v>
      </c>
      <c r="B78" s="257" t="s">
        <v>55</v>
      </c>
      <c r="F78" s="13"/>
      <c r="G78" s="13"/>
      <c r="H78" s="656"/>
      <c r="I78" s="657">
        <v>0</v>
      </c>
      <c r="J78" s="656"/>
      <c r="K78" s="658">
        <f>(H78+I78)-J78</f>
        <v>0</v>
      </c>
    </row>
    <row r="79" spans="1:11" ht="18" customHeight="1">
      <c r="A79" s="284" t="s">
        <v>109</v>
      </c>
      <c r="B79" s="257" t="s">
        <v>13</v>
      </c>
      <c r="F79" s="13"/>
      <c r="G79" s="13"/>
      <c r="H79" s="656"/>
      <c r="I79" s="657">
        <v>0</v>
      </c>
      <c r="J79" s="656"/>
      <c r="K79" s="658">
        <f>(H79+I79)-J79</f>
        <v>0</v>
      </c>
    </row>
    <row r="80" spans="1:11" ht="18" customHeight="1">
      <c r="A80" s="284" t="s">
        <v>110</v>
      </c>
      <c r="B80" s="257" t="s">
        <v>56</v>
      </c>
      <c r="F80" s="13"/>
      <c r="G80" s="13"/>
      <c r="H80" s="656"/>
      <c r="I80" s="657">
        <v>0</v>
      </c>
      <c r="J80" s="656"/>
      <c r="K80" s="658">
        <f>(H80+I80)-J80</f>
        <v>0</v>
      </c>
    </row>
    <row r="81" spans="1:11" ht="18" customHeight="1">
      <c r="A81" s="284"/>
      <c r="K81" s="672"/>
    </row>
    <row r="82" spans="1:11" ht="18" customHeight="1">
      <c r="A82" s="284" t="s">
        <v>148</v>
      </c>
      <c r="B82" s="1" t="s">
        <v>149</v>
      </c>
      <c r="E82" s="1" t="s">
        <v>7</v>
      </c>
      <c r="F82" s="20">
        <f t="shared" ref="F82:K82" si="8">SUM(F77:F80)</f>
        <v>0</v>
      </c>
      <c r="G82" s="20">
        <f t="shared" si="8"/>
        <v>0</v>
      </c>
      <c r="H82" s="662">
        <f t="shared" si="8"/>
        <v>0</v>
      </c>
      <c r="I82" s="662">
        <f t="shared" si="8"/>
        <v>0</v>
      </c>
      <c r="J82" s="662">
        <f t="shared" si="8"/>
        <v>0</v>
      </c>
      <c r="K82" s="662">
        <f t="shared" si="8"/>
        <v>0</v>
      </c>
    </row>
    <row r="83" spans="1:11" ht="18" customHeight="1" thickBot="1">
      <c r="A83" s="284"/>
      <c r="F83" s="23"/>
      <c r="G83" s="23"/>
      <c r="H83" s="663"/>
      <c r="I83" s="663"/>
      <c r="J83" s="663"/>
      <c r="K83" s="663"/>
    </row>
    <row r="84" spans="1:11" ht="42.75" customHeight="1">
      <c r="F84" s="8" t="s">
        <v>9</v>
      </c>
      <c r="G84" s="8" t="s">
        <v>37</v>
      </c>
      <c r="H84" s="655" t="s">
        <v>29</v>
      </c>
      <c r="I84" s="655" t="s">
        <v>30</v>
      </c>
      <c r="J84" s="655" t="s">
        <v>33</v>
      </c>
      <c r="K84" s="655" t="s">
        <v>34</v>
      </c>
    </row>
    <row r="85" spans="1:11" ht="18" customHeight="1">
      <c r="A85" s="283" t="s">
        <v>111</v>
      </c>
      <c r="B85" s="1" t="s">
        <v>57</v>
      </c>
    </row>
    <row r="86" spans="1:11" ht="18" customHeight="1">
      <c r="A86" s="284" t="s">
        <v>112</v>
      </c>
      <c r="B86" s="257" t="s">
        <v>113</v>
      </c>
      <c r="F86" s="13"/>
      <c r="G86" s="13"/>
      <c r="H86" s="656"/>
      <c r="I86" s="657">
        <v>0</v>
      </c>
      <c r="J86" s="656"/>
      <c r="K86" s="658">
        <f t="shared" ref="K86:K87" si="9">H86+I86-J86</f>
        <v>0</v>
      </c>
    </row>
    <row r="87" spans="1:11" ht="18" customHeight="1">
      <c r="A87" s="284" t="s">
        <v>114</v>
      </c>
      <c r="B87" s="257" t="s">
        <v>14</v>
      </c>
      <c r="F87" s="13"/>
      <c r="G87" s="13"/>
      <c r="H87" s="656"/>
      <c r="I87" s="657">
        <v>0</v>
      </c>
      <c r="J87" s="656"/>
      <c r="K87" s="658">
        <f t="shared" si="9"/>
        <v>0</v>
      </c>
    </row>
    <row r="88" spans="1:11" ht="18" customHeight="1">
      <c r="A88" s="284" t="s">
        <v>115</v>
      </c>
      <c r="B88" s="257" t="s">
        <v>116</v>
      </c>
      <c r="F88" s="13">
        <v>80</v>
      </c>
      <c r="G88" s="13">
        <v>0</v>
      </c>
      <c r="H88" s="13">
        <v>2825.9434832574229</v>
      </c>
      <c r="I88" s="13">
        <v>1618.761919154163</v>
      </c>
      <c r="J88" s="13">
        <v>0</v>
      </c>
      <c r="K88" s="658">
        <f>H88+I88-J88</f>
        <v>4444.705402411586</v>
      </c>
    </row>
    <row r="89" spans="1:11" ht="18" customHeight="1">
      <c r="A89" s="284" t="s">
        <v>117</v>
      </c>
      <c r="B89" s="257" t="s">
        <v>58</v>
      </c>
      <c r="F89" s="13"/>
      <c r="G89" s="13"/>
      <c r="H89" s="656"/>
      <c r="I89" s="657">
        <v>0</v>
      </c>
      <c r="J89" s="656"/>
      <c r="K89" s="658">
        <f t="shared" ref="K89:K96" si="10">H89+I89-J89</f>
        <v>0</v>
      </c>
    </row>
    <row r="90" spans="1:11" ht="18" customHeight="1">
      <c r="A90" s="284" t="s">
        <v>118</v>
      </c>
      <c r="B90" s="931" t="s">
        <v>59</v>
      </c>
      <c r="C90" s="939"/>
      <c r="F90" s="13"/>
      <c r="G90" s="13"/>
      <c r="H90" s="656"/>
      <c r="I90" s="657">
        <v>0</v>
      </c>
      <c r="J90" s="656"/>
      <c r="K90" s="658">
        <f t="shared" si="10"/>
        <v>0</v>
      </c>
    </row>
    <row r="91" spans="1:11" ht="18" customHeight="1">
      <c r="A91" s="284" t="s">
        <v>119</v>
      </c>
      <c r="B91" s="257" t="s">
        <v>60</v>
      </c>
      <c r="F91" s="13">
        <v>150</v>
      </c>
      <c r="G91" s="13">
        <v>0</v>
      </c>
      <c r="H91" s="13">
        <v>3354.2689157915825</v>
      </c>
      <c r="I91" s="13">
        <v>1921.3982231616071</v>
      </c>
      <c r="J91" s="13">
        <v>0</v>
      </c>
      <c r="K91" s="658">
        <f t="shared" si="10"/>
        <v>5275.6671389531894</v>
      </c>
    </row>
    <row r="92" spans="1:11" ht="18" customHeight="1">
      <c r="A92" s="284" t="s">
        <v>120</v>
      </c>
      <c r="B92" s="257" t="s">
        <v>121</v>
      </c>
      <c r="F92" s="29">
        <v>70</v>
      </c>
      <c r="G92" s="29">
        <v>0</v>
      </c>
      <c r="H92" s="29">
        <v>2472.7005478502451</v>
      </c>
      <c r="I92" s="29">
        <v>1416.4166792598926</v>
      </c>
      <c r="J92" s="29">
        <v>0</v>
      </c>
      <c r="K92" s="658">
        <f t="shared" si="10"/>
        <v>3889.1172271101377</v>
      </c>
    </row>
    <row r="93" spans="1:11" ht="18" customHeight="1">
      <c r="A93" s="284" t="s">
        <v>122</v>
      </c>
      <c r="B93" s="257" t="s">
        <v>123</v>
      </c>
      <c r="F93" s="13">
        <v>138</v>
      </c>
      <c r="G93" s="13">
        <v>717</v>
      </c>
      <c r="H93" s="13">
        <v>8465.2496922137398</v>
      </c>
      <c r="I93" s="13">
        <v>4849.0792257782869</v>
      </c>
      <c r="J93" s="13">
        <v>0</v>
      </c>
      <c r="K93" s="658">
        <f t="shared" si="10"/>
        <v>13314.328917992027</v>
      </c>
    </row>
    <row r="94" spans="1:11" ht="18" customHeight="1">
      <c r="A94" s="284" t="s">
        <v>124</v>
      </c>
      <c r="B94" s="932"/>
      <c r="C94" s="933"/>
      <c r="D94" s="934"/>
      <c r="F94" s="13"/>
      <c r="G94" s="13"/>
      <c r="H94" s="656"/>
      <c r="I94" s="657">
        <v>0</v>
      </c>
      <c r="J94" s="656"/>
      <c r="K94" s="658">
        <f t="shared" si="10"/>
        <v>0</v>
      </c>
    </row>
    <row r="95" spans="1:11" ht="18" customHeight="1">
      <c r="A95" s="284" t="s">
        <v>125</v>
      </c>
      <c r="B95" s="932"/>
      <c r="C95" s="933"/>
      <c r="D95" s="934"/>
      <c r="F95" s="13"/>
      <c r="G95" s="13"/>
      <c r="H95" s="656"/>
      <c r="I95" s="657">
        <v>0</v>
      </c>
      <c r="J95" s="656"/>
      <c r="K95" s="658">
        <f t="shared" si="10"/>
        <v>0</v>
      </c>
    </row>
    <row r="96" spans="1:11" ht="18" customHeight="1">
      <c r="A96" s="284" t="s">
        <v>126</v>
      </c>
      <c r="B96" s="932"/>
      <c r="C96" s="933"/>
      <c r="D96" s="934"/>
      <c r="F96" s="13"/>
      <c r="G96" s="13"/>
      <c r="H96" s="656"/>
      <c r="I96" s="657">
        <v>0</v>
      </c>
      <c r="J96" s="656"/>
      <c r="K96" s="658">
        <f t="shared" si="10"/>
        <v>0</v>
      </c>
    </row>
    <row r="97" spans="1:11" ht="18" customHeight="1">
      <c r="A97" s="284"/>
      <c r="B97" s="257"/>
    </row>
    <row r="98" spans="1:11" ht="18" customHeight="1">
      <c r="A98" s="283" t="s">
        <v>150</v>
      </c>
      <c r="B98" s="1" t="s">
        <v>151</v>
      </c>
      <c r="E98" s="1" t="s">
        <v>7</v>
      </c>
      <c r="F98" s="17">
        <f t="shared" ref="F98:K98" si="11">SUM(F86:F96)</f>
        <v>438</v>
      </c>
      <c r="G98" s="17">
        <f t="shared" si="11"/>
        <v>717</v>
      </c>
      <c r="H98" s="658">
        <f t="shared" si="11"/>
        <v>17118.16263911299</v>
      </c>
      <c r="I98" s="658">
        <f t="shared" si="11"/>
        <v>9805.6560473539503</v>
      </c>
      <c r="J98" s="658">
        <f t="shared" si="11"/>
        <v>0</v>
      </c>
      <c r="K98" s="658">
        <f t="shared" si="11"/>
        <v>26923.818686466941</v>
      </c>
    </row>
    <row r="99" spans="1:11" ht="18" customHeight="1" thickBot="1">
      <c r="B99" s="1"/>
      <c r="F99" s="23"/>
      <c r="G99" s="23"/>
      <c r="H99" s="663"/>
      <c r="I99" s="663"/>
      <c r="J99" s="663"/>
      <c r="K99" s="663"/>
    </row>
    <row r="100" spans="1:11" ht="42.75" customHeight="1">
      <c r="F100" s="8" t="s">
        <v>9</v>
      </c>
      <c r="G100" s="8" t="s">
        <v>37</v>
      </c>
      <c r="H100" s="655" t="s">
        <v>29</v>
      </c>
      <c r="I100" s="655" t="s">
        <v>30</v>
      </c>
      <c r="J100" s="655" t="s">
        <v>33</v>
      </c>
      <c r="K100" s="655" t="s">
        <v>34</v>
      </c>
    </row>
    <row r="101" spans="1:11" ht="18" customHeight="1">
      <c r="A101" s="283" t="s">
        <v>130</v>
      </c>
      <c r="B101" s="1" t="s">
        <v>63</v>
      </c>
    </row>
    <row r="102" spans="1:11" ht="18" customHeight="1">
      <c r="A102" s="284" t="s">
        <v>131</v>
      </c>
      <c r="B102" s="257" t="s">
        <v>152</v>
      </c>
      <c r="F102" s="13">
        <f>+'[11]2015 CBR Initiatives'!E155</f>
        <v>200</v>
      </c>
      <c r="G102" s="13">
        <f>+'[11]2015 CBR Initiatives'!F155</f>
        <v>0</v>
      </c>
      <c r="H102" s="13">
        <f>+'[11]2015 CBR Initiatives'!G155</f>
        <v>7064.8587081435571</v>
      </c>
      <c r="I102" s="13">
        <f>+'[11]2015 CBR Initiatives'!H155</f>
        <v>4046.9047978854073</v>
      </c>
      <c r="J102" s="13">
        <f>+'[11]2015 CBR Initiatives'!I155</f>
        <v>0</v>
      </c>
      <c r="K102" s="658">
        <f>(H102+I102)-J102</f>
        <v>11111.763506028965</v>
      </c>
    </row>
    <row r="103" spans="1:11" ht="18" customHeight="1">
      <c r="A103" s="284" t="s">
        <v>132</v>
      </c>
      <c r="B103" s="931" t="s">
        <v>62</v>
      </c>
      <c r="C103" s="931"/>
      <c r="F103" s="13">
        <f>+'[11]2015 CBR Initiatives'!E157</f>
        <v>175</v>
      </c>
      <c r="G103" s="13">
        <f>+'[11]2015 CBR Initiatives'!F157</f>
        <v>0</v>
      </c>
      <c r="H103" s="13">
        <f>+'[11]2015 CBR Initiatives'!G157</f>
        <v>6181.7513696256119</v>
      </c>
      <c r="I103" s="13">
        <f>+'[11]2015 CBR Initiatives'!H157</f>
        <v>3541.041698149731</v>
      </c>
      <c r="J103" s="13">
        <f>+'[11]2015 CBR Initiatives'!I157</f>
        <v>0</v>
      </c>
      <c r="K103" s="658">
        <f>(H103+I103)-J103</f>
        <v>9722.7930677753429</v>
      </c>
    </row>
    <row r="104" spans="1:11" ht="18" customHeight="1">
      <c r="A104" s="284" t="s">
        <v>128</v>
      </c>
      <c r="B104" s="932"/>
      <c r="C104" s="933"/>
      <c r="D104" s="934"/>
      <c r="F104" s="13"/>
      <c r="G104" s="13"/>
      <c r="H104" s="656"/>
      <c r="I104" s="657">
        <f>H104*F$114</f>
        <v>0</v>
      </c>
      <c r="J104" s="656"/>
      <c r="K104" s="658">
        <f>(H104+I104)-J104</f>
        <v>0</v>
      </c>
    </row>
    <row r="105" spans="1:11" ht="18" customHeight="1">
      <c r="A105" s="284" t="s">
        <v>127</v>
      </c>
      <c r="B105" s="932"/>
      <c r="C105" s="933"/>
      <c r="D105" s="934"/>
      <c r="F105" s="13"/>
      <c r="G105" s="13"/>
      <c r="H105" s="656"/>
      <c r="I105" s="657">
        <f>H105*F$114</f>
        <v>0</v>
      </c>
      <c r="J105" s="656"/>
      <c r="K105" s="658">
        <f>(H105+I105)-J105</f>
        <v>0</v>
      </c>
    </row>
    <row r="106" spans="1:11" ht="18" customHeight="1">
      <c r="A106" s="284" t="s">
        <v>129</v>
      </c>
      <c r="B106" s="932"/>
      <c r="C106" s="933"/>
      <c r="D106" s="934"/>
      <c r="F106" s="13"/>
      <c r="G106" s="13"/>
      <c r="H106" s="656"/>
      <c r="I106" s="657">
        <f>H106*F$114</f>
        <v>0</v>
      </c>
      <c r="J106" s="656"/>
      <c r="K106" s="658">
        <f>(H106+I106)-J106</f>
        <v>0</v>
      </c>
    </row>
    <row r="107" spans="1:11" ht="18" customHeight="1">
      <c r="B107" s="1"/>
    </row>
    <row r="108" spans="1:11" s="9" customFormat="1" ht="18" customHeight="1">
      <c r="A108" s="283" t="s">
        <v>153</v>
      </c>
      <c r="B108" s="52" t="s">
        <v>154</v>
      </c>
      <c r="C108"/>
      <c r="D108"/>
      <c r="E108" s="1" t="s">
        <v>7</v>
      </c>
      <c r="F108" s="17">
        <f t="shared" ref="F108:K108" si="12">SUM(F102:F106)</f>
        <v>375</v>
      </c>
      <c r="G108" s="17">
        <f t="shared" si="12"/>
        <v>0</v>
      </c>
      <c r="H108" s="658">
        <f t="shared" si="12"/>
        <v>13246.610077769168</v>
      </c>
      <c r="I108" s="658">
        <f t="shared" si="12"/>
        <v>7587.9464960351379</v>
      </c>
      <c r="J108" s="658">
        <f t="shared" si="12"/>
        <v>0</v>
      </c>
      <c r="K108" s="658">
        <f t="shared" si="12"/>
        <v>20834.556573804308</v>
      </c>
    </row>
    <row r="109" spans="1:11" s="9" customFormat="1" ht="18" customHeight="1" thickBot="1">
      <c r="A109" s="285"/>
      <c r="B109" s="11"/>
      <c r="C109" s="12"/>
      <c r="D109" s="12"/>
      <c r="E109" s="12"/>
      <c r="F109" s="23"/>
      <c r="G109" s="23"/>
      <c r="H109" s="663"/>
      <c r="I109" s="663"/>
      <c r="J109" s="663"/>
      <c r="K109" s="663"/>
    </row>
    <row r="110" spans="1:11" s="9" customFormat="1" ht="18" customHeight="1">
      <c r="A110" s="283" t="s">
        <v>156</v>
      </c>
      <c r="B110" s="1" t="s">
        <v>39</v>
      </c>
      <c r="C110"/>
      <c r="D110"/>
      <c r="E110"/>
      <c r="F110"/>
      <c r="G110"/>
      <c r="H110" s="654"/>
      <c r="I110" s="654"/>
      <c r="J110" s="654"/>
      <c r="K110" s="654"/>
    </row>
    <row r="111" spans="1:11" ht="18" customHeight="1">
      <c r="A111" s="283" t="s">
        <v>155</v>
      </c>
      <c r="B111" s="1" t="s">
        <v>164</v>
      </c>
      <c r="E111" s="1" t="s">
        <v>7</v>
      </c>
      <c r="F111" s="272">
        <f>+'[11]EST UMMS FSS FIN DATA 2015'!R29*1000</f>
        <v>1542184</v>
      </c>
    </row>
    <row r="112" spans="1:11" ht="18" customHeight="1">
      <c r="B112" s="1"/>
      <c r="E112" s="1"/>
      <c r="F112" s="21"/>
    </row>
    <row r="113" spans="1:6" ht="18" customHeight="1">
      <c r="A113" s="283"/>
      <c r="B113" s="1" t="s">
        <v>15</v>
      </c>
    </row>
    <row r="114" spans="1:6" ht="18" customHeight="1">
      <c r="A114" s="284" t="s">
        <v>171</v>
      </c>
      <c r="B114" s="257" t="s">
        <v>35</v>
      </c>
      <c r="F114" s="24">
        <f>+'[11]EST UMMS FSS FIN DATA 2015'!AZ17</f>
        <v>0.59525767283856001</v>
      </c>
    </row>
    <row r="115" spans="1:6" ht="18" customHeight="1">
      <c r="A115" s="284"/>
      <c r="B115" s="1"/>
    </row>
    <row r="116" spans="1:6" ht="18" customHeight="1">
      <c r="A116" s="284" t="s">
        <v>170</v>
      </c>
      <c r="B116" s="1" t="s">
        <v>16</v>
      </c>
    </row>
    <row r="117" spans="1:6" ht="18" customHeight="1">
      <c r="A117" s="284" t="s">
        <v>172</v>
      </c>
      <c r="B117" s="257" t="s">
        <v>17</v>
      </c>
      <c r="F117" s="272">
        <f>+'[11]EST UMMS FSS FIN DATA 2015'!R8*1000</f>
        <v>45005618</v>
      </c>
    </row>
    <row r="118" spans="1:6" ht="18" customHeight="1">
      <c r="A118" s="284" t="s">
        <v>173</v>
      </c>
      <c r="B118" t="s">
        <v>18</v>
      </c>
      <c r="F118" s="272">
        <f>+'[11]EST UMMS FSS FIN DATA 2015'!R9*1000</f>
        <v>306780</v>
      </c>
    </row>
    <row r="119" spans="1:6" ht="18" customHeight="1">
      <c r="A119" s="284" t="s">
        <v>174</v>
      </c>
      <c r="B119" s="1" t="s">
        <v>19</v>
      </c>
      <c r="F119" s="273">
        <f>SUM(F117:F118)</f>
        <v>45312398</v>
      </c>
    </row>
    <row r="120" spans="1:6" ht="18" customHeight="1">
      <c r="A120" s="284"/>
      <c r="B120" s="1"/>
      <c r="F120" s="274"/>
    </row>
    <row r="121" spans="1:6" ht="18" customHeight="1">
      <c r="A121" s="284" t="s">
        <v>167</v>
      </c>
      <c r="B121" s="1" t="s">
        <v>36</v>
      </c>
      <c r="F121" s="272">
        <f>+'[11]EST UMMS FSS FIN DATA 2015'!R12*1000</f>
        <v>38814754</v>
      </c>
    </row>
    <row r="122" spans="1:6" ht="18" customHeight="1">
      <c r="A122" s="284"/>
      <c r="F122" s="274"/>
    </row>
    <row r="123" spans="1:6" ht="18" customHeight="1">
      <c r="A123" s="284" t="s">
        <v>175</v>
      </c>
      <c r="B123" s="1" t="s">
        <v>20</v>
      </c>
      <c r="F123" s="272">
        <f>-F121+F119</f>
        <v>6497644</v>
      </c>
    </row>
    <row r="124" spans="1:6" ht="18" customHeight="1">
      <c r="A124" s="284"/>
      <c r="F124" s="274"/>
    </row>
    <row r="125" spans="1:6" ht="18" customHeight="1">
      <c r="A125" s="284" t="s">
        <v>176</v>
      </c>
      <c r="B125" s="1" t="s">
        <v>21</v>
      </c>
      <c r="F125" s="272">
        <f>+'[11]EST UMMS FSS FIN DATA 2015'!R16*1000</f>
        <v>45253.999999999905</v>
      </c>
    </row>
    <row r="126" spans="1:6" ht="18" customHeight="1">
      <c r="A126" s="284"/>
      <c r="F126" s="274"/>
    </row>
    <row r="127" spans="1:6" ht="18" customHeight="1">
      <c r="A127" s="284" t="s">
        <v>177</v>
      </c>
      <c r="B127" s="1" t="s">
        <v>22</v>
      </c>
      <c r="F127" s="272">
        <f>+F123+F125</f>
        <v>6542898</v>
      </c>
    </row>
    <row r="128" spans="1:6" ht="18" customHeight="1">
      <c r="A128" s="284"/>
    </row>
    <row r="129" spans="1:11" ht="42.75" customHeight="1">
      <c r="F129" s="8" t="s">
        <v>9</v>
      </c>
      <c r="G129" s="8" t="s">
        <v>37</v>
      </c>
      <c r="H129" s="655" t="s">
        <v>29</v>
      </c>
      <c r="I129" s="655" t="s">
        <v>30</v>
      </c>
      <c r="J129" s="655" t="s">
        <v>33</v>
      </c>
      <c r="K129" s="655" t="s">
        <v>34</v>
      </c>
    </row>
    <row r="130" spans="1:11" ht="18" customHeight="1">
      <c r="A130" s="283" t="s">
        <v>157</v>
      </c>
      <c r="B130" s="1" t="s">
        <v>23</v>
      </c>
    </row>
    <row r="131" spans="1:11" ht="18" customHeight="1">
      <c r="A131" s="284" t="s">
        <v>158</v>
      </c>
      <c r="B131" t="s">
        <v>24</v>
      </c>
      <c r="F131" s="13"/>
      <c r="G131" s="13"/>
      <c r="H131" s="656"/>
      <c r="I131" s="657">
        <v>0</v>
      </c>
      <c r="J131" s="656"/>
      <c r="K131" s="658">
        <f>(H131+I131)-J131</f>
        <v>0</v>
      </c>
    </row>
    <row r="132" spans="1:11" ht="18" customHeight="1">
      <c r="A132" s="284" t="s">
        <v>159</v>
      </c>
      <c r="B132" t="s">
        <v>25</v>
      </c>
      <c r="F132" s="13"/>
      <c r="G132" s="13"/>
      <c r="H132" s="656"/>
      <c r="I132" s="657">
        <v>0</v>
      </c>
      <c r="J132" s="656"/>
      <c r="K132" s="658">
        <f>(H132+I132)-J132</f>
        <v>0</v>
      </c>
    </row>
    <row r="133" spans="1:11" ht="18" customHeight="1">
      <c r="A133" s="284" t="s">
        <v>160</v>
      </c>
      <c r="B133" s="893"/>
      <c r="C133" s="894"/>
      <c r="D133" s="895"/>
      <c r="F133" s="13"/>
      <c r="G133" s="13"/>
      <c r="H133" s="656"/>
      <c r="I133" s="657">
        <v>0</v>
      </c>
      <c r="J133" s="656"/>
      <c r="K133" s="658">
        <f>(H133+I133)-J133</f>
        <v>0</v>
      </c>
    </row>
    <row r="134" spans="1:11" ht="18" customHeight="1">
      <c r="A134" s="284" t="s">
        <v>161</v>
      </c>
      <c r="B134" s="893"/>
      <c r="C134" s="894"/>
      <c r="D134" s="895"/>
      <c r="F134" s="13"/>
      <c r="G134" s="13"/>
      <c r="H134" s="656"/>
      <c r="I134" s="657">
        <v>0</v>
      </c>
      <c r="J134" s="656"/>
      <c r="K134" s="658">
        <f>(H134+I134)-J134</f>
        <v>0</v>
      </c>
    </row>
    <row r="135" spans="1:11" ht="18" customHeight="1">
      <c r="A135" s="284" t="s">
        <v>162</v>
      </c>
      <c r="B135" s="893"/>
      <c r="C135" s="894"/>
      <c r="D135" s="895"/>
      <c r="F135" s="13"/>
      <c r="G135" s="13"/>
      <c r="H135" s="656"/>
      <c r="I135" s="657">
        <v>0</v>
      </c>
      <c r="J135" s="656"/>
      <c r="K135" s="658">
        <f>(H135+I135)-J135</f>
        <v>0</v>
      </c>
    </row>
    <row r="136" spans="1:11" ht="18" customHeight="1">
      <c r="A136" s="283"/>
    </row>
    <row r="137" spans="1:11" ht="18" customHeight="1">
      <c r="A137" s="283" t="s">
        <v>163</v>
      </c>
      <c r="B137" s="1" t="s">
        <v>27</v>
      </c>
      <c r="F137" s="17">
        <f t="shared" ref="F137:K137" si="13">SUM(F131:F135)</f>
        <v>0</v>
      </c>
      <c r="G137" s="17">
        <f t="shared" si="13"/>
        <v>0</v>
      </c>
      <c r="H137" s="658">
        <f t="shared" si="13"/>
        <v>0</v>
      </c>
      <c r="I137" s="658">
        <f t="shared" si="13"/>
        <v>0</v>
      </c>
      <c r="J137" s="658">
        <f t="shared" si="13"/>
        <v>0</v>
      </c>
      <c r="K137" s="658">
        <f t="shared" si="13"/>
        <v>0</v>
      </c>
    </row>
    <row r="138" spans="1:11" ht="18" customHeight="1">
      <c r="A138" s="286"/>
    </row>
    <row r="139" spans="1:11" ht="42.75" customHeight="1">
      <c r="F139" s="8" t="s">
        <v>9</v>
      </c>
      <c r="G139" s="8" t="s">
        <v>37</v>
      </c>
      <c r="H139" s="655" t="s">
        <v>29</v>
      </c>
      <c r="I139" s="655" t="s">
        <v>30</v>
      </c>
      <c r="J139" s="655" t="s">
        <v>33</v>
      </c>
      <c r="K139" s="655" t="s">
        <v>34</v>
      </c>
    </row>
    <row r="140" spans="1:11" ht="18" customHeight="1">
      <c r="A140" s="283" t="s">
        <v>166</v>
      </c>
      <c r="B140" s="1" t="s">
        <v>26</v>
      </c>
    </row>
    <row r="141" spans="1:11" ht="18" customHeight="1">
      <c r="A141" s="284" t="s">
        <v>137</v>
      </c>
      <c r="B141" s="1" t="s">
        <v>64</v>
      </c>
      <c r="F141" s="32">
        <f t="shared" ref="F141:K141" si="14">F36</f>
        <v>36</v>
      </c>
      <c r="G141" s="32">
        <f t="shared" si="14"/>
        <v>231</v>
      </c>
      <c r="H141" s="673">
        <f t="shared" si="14"/>
        <v>1271.6745674658403</v>
      </c>
      <c r="I141" s="673">
        <f t="shared" si="14"/>
        <v>728.44286361937327</v>
      </c>
      <c r="J141" s="673">
        <f t="shared" si="14"/>
        <v>0</v>
      </c>
      <c r="K141" s="673">
        <f t="shared" si="14"/>
        <v>2000.1174310852134</v>
      </c>
    </row>
    <row r="142" spans="1:11" ht="18" customHeight="1">
      <c r="A142" s="284" t="s">
        <v>142</v>
      </c>
      <c r="B142" s="1" t="s">
        <v>65</v>
      </c>
      <c r="F142" s="32">
        <f t="shared" ref="F142:K142" si="15">F49</f>
        <v>3142</v>
      </c>
      <c r="G142" s="32">
        <f t="shared" si="15"/>
        <v>96</v>
      </c>
      <c r="H142" s="673">
        <f t="shared" si="15"/>
        <v>103749.79301341051</v>
      </c>
      <c r="I142" s="673">
        <f t="shared" si="15"/>
        <v>19258.626457339145</v>
      </c>
      <c r="J142" s="673">
        <f t="shared" si="15"/>
        <v>0</v>
      </c>
      <c r="K142" s="673">
        <f t="shared" si="15"/>
        <v>123008.41947074965</v>
      </c>
    </row>
    <row r="143" spans="1:11" ht="18" customHeight="1">
      <c r="A143" s="284" t="s">
        <v>144</v>
      </c>
      <c r="B143" s="1" t="s">
        <v>66</v>
      </c>
      <c r="F143" s="32">
        <f t="shared" ref="F143:K143" si="16">F64</f>
        <v>11236.59217211435</v>
      </c>
      <c r="G143" s="32">
        <f t="shared" si="16"/>
        <v>21954.122896152465</v>
      </c>
      <c r="H143" s="673">
        <f t="shared" si="16"/>
        <v>2717195.54</v>
      </c>
      <c r="I143" s="673">
        <f t="shared" si="16"/>
        <v>213876.08185089461</v>
      </c>
      <c r="J143" s="673">
        <f t="shared" si="16"/>
        <v>0</v>
      </c>
      <c r="K143" s="673">
        <f t="shared" si="16"/>
        <v>2931071.6218508948</v>
      </c>
    </row>
    <row r="144" spans="1:11" ht="18" customHeight="1">
      <c r="A144" s="284" t="s">
        <v>146</v>
      </c>
      <c r="B144" s="1" t="s">
        <v>67</v>
      </c>
      <c r="F144" s="32">
        <f t="shared" ref="F144:K144" si="17">F74</f>
        <v>0</v>
      </c>
      <c r="G144" s="32">
        <f t="shared" si="17"/>
        <v>0</v>
      </c>
      <c r="H144" s="673">
        <f t="shared" si="17"/>
        <v>0</v>
      </c>
      <c r="I144" s="673">
        <f t="shared" si="17"/>
        <v>0</v>
      </c>
      <c r="J144" s="673">
        <f t="shared" si="17"/>
        <v>0</v>
      </c>
      <c r="K144" s="673">
        <f t="shared" si="17"/>
        <v>0</v>
      </c>
    </row>
    <row r="145" spans="1:11" ht="18" customHeight="1">
      <c r="A145" s="284" t="s">
        <v>148</v>
      </c>
      <c r="B145" s="1" t="s">
        <v>68</v>
      </c>
      <c r="F145" s="32">
        <f t="shared" ref="F145:K145" si="18">F82</f>
        <v>0</v>
      </c>
      <c r="G145" s="32">
        <f t="shared" si="18"/>
        <v>0</v>
      </c>
      <c r="H145" s="673">
        <f t="shared" si="18"/>
        <v>0</v>
      </c>
      <c r="I145" s="673">
        <f t="shared" si="18"/>
        <v>0</v>
      </c>
      <c r="J145" s="673">
        <f t="shared" si="18"/>
        <v>0</v>
      </c>
      <c r="K145" s="673">
        <f t="shared" si="18"/>
        <v>0</v>
      </c>
    </row>
    <row r="146" spans="1:11" ht="18" customHeight="1">
      <c r="A146" s="284" t="s">
        <v>150</v>
      </c>
      <c r="B146" s="1" t="s">
        <v>69</v>
      </c>
      <c r="F146" s="32">
        <f t="shared" ref="F146:K146" si="19">F98</f>
        <v>438</v>
      </c>
      <c r="G146" s="32">
        <f t="shared" si="19"/>
        <v>717</v>
      </c>
      <c r="H146" s="673">
        <f t="shared" si="19"/>
        <v>17118.16263911299</v>
      </c>
      <c r="I146" s="673">
        <f t="shared" si="19"/>
        <v>9805.6560473539503</v>
      </c>
      <c r="J146" s="673">
        <f t="shared" si="19"/>
        <v>0</v>
      </c>
      <c r="K146" s="673">
        <f t="shared" si="19"/>
        <v>26923.818686466941</v>
      </c>
    </row>
    <row r="147" spans="1:11" ht="18" customHeight="1">
      <c r="A147" s="284" t="s">
        <v>153</v>
      </c>
      <c r="B147" s="1" t="s">
        <v>61</v>
      </c>
      <c r="F147" s="17">
        <f t="shared" ref="F147:K147" si="20">F108</f>
        <v>375</v>
      </c>
      <c r="G147" s="17">
        <f t="shared" si="20"/>
        <v>0</v>
      </c>
      <c r="H147" s="658">
        <f t="shared" si="20"/>
        <v>13246.610077769168</v>
      </c>
      <c r="I147" s="658">
        <f t="shared" si="20"/>
        <v>7587.9464960351379</v>
      </c>
      <c r="J147" s="658">
        <f t="shared" si="20"/>
        <v>0</v>
      </c>
      <c r="K147" s="658">
        <f t="shared" si="20"/>
        <v>20834.556573804308</v>
      </c>
    </row>
    <row r="148" spans="1:11" ht="18" customHeight="1">
      <c r="A148" s="284" t="s">
        <v>155</v>
      </c>
      <c r="B148" s="1" t="s">
        <v>70</v>
      </c>
      <c r="F148" s="33" t="s">
        <v>73</v>
      </c>
      <c r="G148" s="33" t="s">
        <v>73</v>
      </c>
      <c r="H148" s="674" t="s">
        <v>73</v>
      </c>
      <c r="I148" s="674" t="s">
        <v>73</v>
      </c>
      <c r="J148" s="674" t="s">
        <v>73</v>
      </c>
      <c r="K148" s="673">
        <f>F111</f>
        <v>1542184</v>
      </c>
    </row>
    <row r="149" spans="1:11" ht="18" customHeight="1">
      <c r="A149" s="284" t="s">
        <v>163</v>
      </c>
      <c r="B149" s="1" t="s">
        <v>71</v>
      </c>
      <c r="F149" s="17">
        <f t="shared" ref="F149:K149" si="21">F137</f>
        <v>0</v>
      </c>
      <c r="G149" s="17">
        <f t="shared" si="21"/>
        <v>0</v>
      </c>
      <c r="H149" s="658">
        <f t="shared" si="21"/>
        <v>0</v>
      </c>
      <c r="I149" s="658">
        <f t="shared" si="21"/>
        <v>0</v>
      </c>
      <c r="J149" s="658">
        <f t="shared" si="21"/>
        <v>0</v>
      </c>
      <c r="K149" s="658">
        <f t="shared" si="21"/>
        <v>0</v>
      </c>
    </row>
    <row r="150" spans="1:11" ht="18" customHeight="1">
      <c r="A150" s="284" t="s">
        <v>185</v>
      </c>
      <c r="B150" s="1" t="s">
        <v>186</v>
      </c>
      <c r="F150" s="33" t="s">
        <v>73</v>
      </c>
      <c r="G150" s="33" t="s">
        <v>73</v>
      </c>
      <c r="H150" s="658">
        <f>H18</f>
        <v>1409919</v>
      </c>
      <c r="I150" s="658">
        <f>I18</f>
        <v>0</v>
      </c>
      <c r="J150" s="658">
        <f>J18</f>
        <v>1205657</v>
      </c>
      <c r="K150" s="658">
        <f>K18</f>
        <v>204262</v>
      </c>
    </row>
    <row r="151" spans="1:11" ht="18" customHeight="1">
      <c r="B151" s="1"/>
      <c r="F151" s="38"/>
      <c r="G151" s="38"/>
      <c r="H151" s="665"/>
      <c r="I151" s="665"/>
      <c r="J151" s="665"/>
      <c r="K151" s="665"/>
    </row>
    <row r="152" spans="1:11" ht="18" customHeight="1">
      <c r="A152" s="283" t="s">
        <v>165</v>
      </c>
      <c r="B152" s="1" t="s">
        <v>26</v>
      </c>
      <c r="F152" s="39">
        <f t="shared" ref="F152:K152" si="22">SUM(F141:F150)</f>
        <v>15227.59217211435</v>
      </c>
      <c r="G152" s="39">
        <f t="shared" si="22"/>
        <v>22998.122896152465</v>
      </c>
      <c r="H152" s="675">
        <f t="shared" si="22"/>
        <v>4262500.7802977581</v>
      </c>
      <c r="I152" s="675">
        <f t="shared" si="22"/>
        <v>251256.75371524223</v>
      </c>
      <c r="J152" s="675">
        <f t="shared" si="22"/>
        <v>1205657</v>
      </c>
      <c r="K152" s="675">
        <f t="shared" si="22"/>
        <v>4850284.5340130012</v>
      </c>
    </row>
    <row r="154" spans="1:11" ht="18" customHeight="1">
      <c r="A154" s="283" t="s">
        <v>168</v>
      </c>
      <c r="B154" s="1" t="s">
        <v>28</v>
      </c>
      <c r="F154" s="676">
        <f>K152/F121</f>
        <v>0.12495981641447479</v>
      </c>
    </row>
    <row r="155" spans="1:11" ht="18" customHeight="1">
      <c r="A155" s="283" t="s">
        <v>169</v>
      </c>
      <c r="B155" s="1" t="s">
        <v>72</v>
      </c>
      <c r="F155" s="676">
        <f>K152/F127</f>
        <v>0.74130523416580862</v>
      </c>
      <c r="G155" s="1"/>
    </row>
    <row r="156" spans="1:11" ht="18" customHeight="1">
      <c r="G156" s="1"/>
    </row>
    <row r="157" spans="1:11" ht="38.25" customHeight="1">
      <c r="A157" s="7"/>
      <c r="B157" s="275" t="s">
        <v>574</v>
      </c>
      <c r="F157" s="8" t="s">
        <v>9</v>
      </c>
      <c r="G157" s="8" t="s">
        <v>37</v>
      </c>
      <c r="H157" s="655" t="s">
        <v>29</v>
      </c>
      <c r="I157" s="655" t="s">
        <v>30</v>
      </c>
      <c r="J157" s="655" t="s">
        <v>33</v>
      </c>
      <c r="K157" s="8" t="s">
        <v>34</v>
      </c>
    </row>
    <row r="158" spans="1:11" ht="18" customHeight="1">
      <c r="A158" s="7"/>
      <c r="B158" s="1" t="str">
        <f>+B152</f>
        <v>TOTAL HOSPITAL COMMUNITY BENEFIT</v>
      </c>
      <c r="F158" s="677">
        <f t="shared" ref="F158:K158" si="23">+F152</f>
        <v>15227.59217211435</v>
      </c>
      <c r="G158" s="677">
        <f t="shared" si="23"/>
        <v>22998.122896152465</v>
      </c>
      <c r="H158" s="677">
        <f t="shared" si="23"/>
        <v>4262500.7802977581</v>
      </c>
      <c r="I158" s="677">
        <f t="shared" si="23"/>
        <v>251256.75371524223</v>
      </c>
      <c r="J158" s="677">
        <f t="shared" si="23"/>
        <v>1205657</v>
      </c>
      <c r="K158" s="677">
        <f t="shared" si="23"/>
        <v>4850284.5340130012</v>
      </c>
    </row>
    <row r="159" spans="1:11" ht="18" customHeight="1">
      <c r="A159" s="7"/>
      <c r="B159" s="1" t="s">
        <v>575</v>
      </c>
      <c r="K159"/>
    </row>
    <row r="160" spans="1:11" ht="18" customHeight="1">
      <c r="A160" s="2"/>
      <c r="B160" s="4" t="s">
        <v>181</v>
      </c>
      <c r="F160" s="276" t="str">
        <f t="shared" ref="F160:K160" si="24">+F18</f>
        <v>N/A</v>
      </c>
      <c r="G160" s="276" t="str">
        <f t="shared" si="24"/>
        <v>N/A</v>
      </c>
      <c r="H160" s="276">
        <f t="shared" si="24"/>
        <v>1409919</v>
      </c>
      <c r="I160" s="276">
        <f t="shared" si="24"/>
        <v>0</v>
      </c>
      <c r="J160" s="276">
        <f t="shared" si="24"/>
        <v>1205657</v>
      </c>
      <c r="K160" s="677">
        <f t="shared" si="24"/>
        <v>204262</v>
      </c>
    </row>
    <row r="161" spans="1:11" ht="18" customHeight="1">
      <c r="A161" s="7"/>
      <c r="B161" s="4" t="s">
        <v>164</v>
      </c>
      <c r="F161" s="277"/>
      <c r="G161" s="278"/>
      <c r="H161" s="678"/>
      <c r="I161" s="678"/>
      <c r="J161" s="678"/>
      <c r="K161" s="279">
        <f>+K148</f>
        <v>1542184</v>
      </c>
    </row>
    <row r="162" spans="1:11" ht="18" customHeight="1">
      <c r="A162" s="7"/>
      <c r="F162" s="278"/>
      <c r="G162" s="278"/>
      <c r="H162" s="678"/>
      <c r="I162" s="678"/>
      <c r="J162" s="678"/>
      <c r="K162" s="278"/>
    </row>
    <row r="163" spans="1:11" ht="18" customHeight="1">
      <c r="A163" s="7"/>
      <c r="B163" s="1" t="s">
        <v>576</v>
      </c>
      <c r="F163" s="276">
        <f t="shared" ref="F163:K163" si="25">+F152-SUM(F160:F161)</f>
        <v>15227.59217211435</v>
      </c>
      <c r="G163" s="276">
        <f t="shared" si="25"/>
        <v>22998.122896152465</v>
      </c>
      <c r="H163" s="276">
        <f t="shared" si="25"/>
        <v>2852581.7802977581</v>
      </c>
      <c r="I163" s="276">
        <f t="shared" si="25"/>
        <v>251256.75371524223</v>
      </c>
      <c r="J163" s="276">
        <f t="shared" si="25"/>
        <v>0</v>
      </c>
      <c r="K163" s="276">
        <f t="shared" si="25"/>
        <v>3103838.5340130012</v>
      </c>
    </row>
    <row r="164" spans="1:11" ht="18" customHeight="1">
      <c r="A164" s="7"/>
      <c r="B164" s="1"/>
      <c r="F164" s="280"/>
      <c r="G164" s="280"/>
      <c r="H164" s="276"/>
      <c r="I164" s="276"/>
      <c r="J164" s="276"/>
      <c r="K164" s="276"/>
    </row>
    <row r="165" spans="1:11" ht="18" customHeight="1">
      <c r="A165" s="7"/>
      <c r="B165" s="1" t="s">
        <v>28</v>
      </c>
      <c r="F165" s="1"/>
      <c r="G165" s="1"/>
      <c r="H165" s="679">
        <f>+H163/$F$121</f>
        <v>7.3492202998317546E-2</v>
      </c>
      <c r="I165" s="679">
        <f>+I163/$F$121</f>
        <v>6.4732280337327971E-3</v>
      </c>
      <c r="J165" s="679">
        <f>+J163/$F$121</f>
        <v>0</v>
      </c>
      <c r="K165" s="679">
        <f>+K163/$F$121</f>
        <v>7.9965431032050366E-2</v>
      </c>
    </row>
    <row r="166" spans="1:11" ht="18" customHeight="1">
      <c r="A166" s="7"/>
      <c r="B166" s="1" t="s">
        <v>72</v>
      </c>
      <c r="F166" s="1"/>
      <c r="G166" s="1"/>
      <c r="H166" s="679">
        <f>+H163/$F$127</f>
        <v>0.43598139238877909</v>
      </c>
      <c r="I166" s="679">
        <f>+I163/$F$127</f>
        <v>3.8401447449622816E-2</v>
      </c>
      <c r="J166" s="679">
        <f>+J163/$F$127</f>
        <v>0</v>
      </c>
      <c r="K166" s="679">
        <f>+K163/$F$127</f>
        <v>0.47438283983840207</v>
      </c>
    </row>
  </sheetData>
  <mergeCells count="36">
    <mergeCell ref="B41:C41"/>
    <mergeCell ref="D2:H2"/>
    <mergeCell ref="C5:G5"/>
    <mergeCell ref="C6:G6"/>
    <mergeCell ref="C7:G7"/>
    <mergeCell ref="C9:G9"/>
    <mergeCell ref="C10:G10"/>
    <mergeCell ref="C11:G11"/>
    <mergeCell ref="B13:H13"/>
    <mergeCell ref="B30:D30"/>
    <mergeCell ref="B31:D31"/>
    <mergeCell ref="B34:D34"/>
    <mergeCell ref="B59:D59"/>
    <mergeCell ref="B44:D44"/>
    <mergeCell ref="B45:D45"/>
    <mergeCell ref="B46:D46"/>
    <mergeCell ref="B47:D47"/>
    <mergeCell ref="B52:C52"/>
    <mergeCell ref="B53:D53"/>
    <mergeCell ref="B54:D54"/>
    <mergeCell ref="B55:D55"/>
    <mergeCell ref="B56:D56"/>
    <mergeCell ref="B57:D57"/>
    <mergeCell ref="B58:D58"/>
    <mergeCell ref="B135:D135"/>
    <mergeCell ref="B62:D62"/>
    <mergeCell ref="B90:C90"/>
    <mergeCell ref="B94:D94"/>
    <mergeCell ref="B95:D95"/>
    <mergeCell ref="B96:D96"/>
    <mergeCell ref="B103:C103"/>
    <mergeCell ref="B104:D104"/>
    <mergeCell ref="B105:D105"/>
    <mergeCell ref="B106:D106"/>
    <mergeCell ref="B133:D133"/>
    <mergeCell ref="B134:D134"/>
  </mergeCells>
  <pageMargins left="0.75" right="0.75" top="1" bottom="1" header="0.5" footer="0.5"/>
  <pageSetup scale="59" fitToHeight="0" orientation="landscape" horizontalDpi="1200" verticalDpi="1200" r:id="rId1"/>
  <headerFooter alignWithMargins="0"/>
  <rowBreaks count="6" manualBreakCount="6">
    <brk id="37" max="16383" man="1"/>
    <brk id="65" max="16383" man="1"/>
    <brk id="83" max="16383" man="1"/>
    <brk id="109" max="16383" man="1"/>
    <brk id="128" max="16383" man="1"/>
    <brk id="156"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K156"/>
  <sheetViews>
    <sheetView showGridLines="0" zoomScaleNormal="100" zoomScaleSheetLayoutView="70" workbookViewId="0">
      <selection activeCell="H18" sqref="H18"/>
    </sheetView>
  </sheetViews>
  <sheetFormatPr defaultRowHeight="18" customHeight="1"/>
  <cols>
    <col min="1" max="1" width="8.28515625" style="146" customWidth="1"/>
    <col min="2" max="2" width="55.42578125" style="147" bestFit="1" customWidth="1"/>
    <col min="3" max="3" width="9.5703125" style="147" customWidth="1"/>
    <col min="4" max="4" width="9.140625" style="147"/>
    <col min="5" max="5" width="12.42578125" style="147" customWidth="1"/>
    <col min="6" max="6" width="18.5703125" style="147" customWidth="1"/>
    <col min="7" max="7" width="23.5703125" style="147" customWidth="1"/>
    <col min="8" max="8" width="17.140625" style="147" customWidth="1"/>
    <col min="9" max="9" width="21.140625" style="147" customWidth="1"/>
    <col min="10" max="10" width="19.85546875" style="147" customWidth="1"/>
    <col min="11" max="11" width="17.5703125" style="147" customWidth="1"/>
    <col min="12" max="16384" width="9.140625" style="147"/>
  </cols>
  <sheetData>
    <row r="1" spans="1:11" ht="18" customHeight="1">
      <c r="C1" s="148"/>
      <c r="D1" s="149"/>
      <c r="E1" s="148"/>
      <c r="F1" s="148"/>
      <c r="G1" s="148"/>
      <c r="H1" s="148"/>
      <c r="I1" s="148"/>
      <c r="J1" s="148"/>
      <c r="K1" s="148"/>
    </row>
    <row r="2" spans="1:11" ht="18" customHeight="1">
      <c r="D2" s="910" t="s">
        <v>713</v>
      </c>
      <c r="E2" s="911"/>
      <c r="F2" s="911"/>
      <c r="G2" s="911"/>
      <c r="H2" s="911"/>
    </row>
    <row r="3" spans="1:11" ht="18" customHeight="1">
      <c r="B3" s="150" t="s">
        <v>0</v>
      </c>
    </row>
    <row r="5" spans="1:11" ht="18" customHeight="1">
      <c r="B5" s="151" t="s">
        <v>40</v>
      </c>
      <c r="C5" s="912" t="s">
        <v>777</v>
      </c>
      <c r="D5" s="918"/>
      <c r="E5" s="918"/>
      <c r="F5" s="918"/>
      <c r="G5" s="919"/>
    </row>
    <row r="6" spans="1:11" ht="18" customHeight="1">
      <c r="B6" s="151" t="s">
        <v>3</v>
      </c>
      <c r="C6" s="929">
        <v>210011</v>
      </c>
      <c r="D6" s="921"/>
      <c r="E6" s="921"/>
      <c r="F6" s="921"/>
      <c r="G6" s="922"/>
    </row>
    <row r="7" spans="1:11" ht="18" customHeight="1">
      <c r="B7" s="151" t="s">
        <v>4</v>
      </c>
      <c r="C7" s="930">
        <v>2734</v>
      </c>
      <c r="D7" s="924"/>
      <c r="E7" s="924"/>
      <c r="F7" s="924"/>
      <c r="G7" s="925"/>
    </row>
    <row r="9" spans="1:11" ht="18" customHeight="1">
      <c r="B9" s="151" t="s">
        <v>1</v>
      </c>
      <c r="C9" s="912" t="s">
        <v>778</v>
      </c>
      <c r="D9" s="918"/>
      <c r="E9" s="918"/>
      <c r="F9" s="918"/>
      <c r="G9" s="919"/>
    </row>
    <row r="10" spans="1:11" ht="18" customHeight="1">
      <c r="B10" s="151" t="s">
        <v>2</v>
      </c>
      <c r="C10" s="926" t="s">
        <v>779</v>
      </c>
      <c r="D10" s="927"/>
      <c r="E10" s="927"/>
      <c r="F10" s="927"/>
      <c r="G10" s="928"/>
    </row>
    <row r="11" spans="1:11" ht="18" customHeight="1">
      <c r="B11" s="151" t="s">
        <v>32</v>
      </c>
      <c r="C11" s="912" t="s">
        <v>547</v>
      </c>
      <c r="D11" s="913"/>
      <c r="E11" s="913"/>
      <c r="F11" s="913"/>
      <c r="G11" s="913"/>
    </row>
    <row r="12" spans="1:11" ht="18" customHeight="1">
      <c r="B12" s="151"/>
      <c r="C12" s="151"/>
      <c r="D12" s="151"/>
      <c r="E12" s="151"/>
      <c r="F12" s="151"/>
      <c r="G12" s="151"/>
    </row>
    <row r="13" spans="1:11" ht="24.6" customHeight="1">
      <c r="B13" s="914"/>
      <c r="C13" s="915"/>
      <c r="D13" s="915"/>
      <c r="E13" s="915"/>
      <c r="F13" s="915"/>
      <c r="G13" s="915"/>
      <c r="H13" s="916"/>
      <c r="I13" s="148"/>
    </row>
    <row r="14" spans="1:11" ht="18" customHeight="1">
      <c r="B14" s="152"/>
    </row>
    <row r="15" spans="1:11" ht="18" customHeight="1">
      <c r="B15" s="152"/>
    </row>
    <row r="16" spans="1:11" ht="45" customHeight="1">
      <c r="A16" s="149" t="s">
        <v>181</v>
      </c>
      <c r="B16" s="148"/>
      <c r="C16" s="148"/>
      <c r="D16" s="148"/>
      <c r="E16" s="148"/>
      <c r="F16" s="153" t="s">
        <v>9</v>
      </c>
      <c r="G16" s="153" t="s">
        <v>37</v>
      </c>
      <c r="H16" s="153" t="s">
        <v>29</v>
      </c>
      <c r="I16" s="153" t="s">
        <v>30</v>
      </c>
      <c r="J16" s="153" t="s">
        <v>33</v>
      </c>
      <c r="K16" s="153" t="s">
        <v>34</v>
      </c>
    </row>
    <row r="17" spans="1:11" ht="18" customHeight="1">
      <c r="A17" s="154" t="s">
        <v>184</v>
      </c>
      <c r="B17" s="150" t="s">
        <v>182</v>
      </c>
    </row>
    <row r="18" spans="1:11" ht="18" customHeight="1">
      <c r="A18" s="151" t="s">
        <v>185</v>
      </c>
      <c r="B18" s="155" t="s">
        <v>183</v>
      </c>
      <c r="F18" s="156" t="s">
        <v>73</v>
      </c>
      <c r="G18" s="156" t="s">
        <v>73</v>
      </c>
      <c r="H18" s="157">
        <v>10308812.900902413</v>
      </c>
      <c r="I18" s="158">
        <v>0</v>
      </c>
      <c r="J18" s="157">
        <v>8815323.9723599441</v>
      </c>
      <c r="K18" s="159">
        <f>(H18+I18)-J18</f>
        <v>1493488.9285424687</v>
      </c>
    </row>
    <row r="19" spans="1:11" ht="45" customHeight="1">
      <c r="A19" s="149" t="s">
        <v>8</v>
      </c>
      <c r="B19" s="148"/>
      <c r="C19" s="148"/>
      <c r="D19" s="148"/>
      <c r="E19" s="148"/>
      <c r="F19" s="153" t="s">
        <v>9</v>
      </c>
      <c r="G19" s="153" t="s">
        <v>37</v>
      </c>
      <c r="H19" s="153" t="s">
        <v>29</v>
      </c>
      <c r="I19" s="153" t="s">
        <v>30</v>
      </c>
      <c r="J19" s="153" t="s">
        <v>33</v>
      </c>
      <c r="K19" s="153" t="s">
        <v>34</v>
      </c>
    </row>
    <row r="20" spans="1:11" ht="18" customHeight="1">
      <c r="A20" s="154" t="s">
        <v>74</v>
      </c>
      <c r="B20" s="150" t="s">
        <v>41</v>
      </c>
    </row>
    <row r="21" spans="1:11" ht="18" customHeight="1">
      <c r="A21" s="151" t="s">
        <v>75</v>
      </c>
      <c r="B21" s="155" t="s">
        <v>42</v>
      </c>
      <c r="F21" s="156">
        <v>164</v>
      </c>
      <c r="G21" s="156">
        <v>994</v>
      </c>
      <c r="H21" s="157">
        <v>6766.9900000000016</v>
      </c>
      <c r="I21" s="158">
        <f t="shared" ref="I21:I34" si="0">H21*F$114</f>
        <v>3826.2008806097515</v>
      </c>
      <c r="J21" s="157"/>
      <c r="K21" s="159">
        <f t="shared" ref="K21:K34" si="1">(H21+I21)-J21</f>
        <v>10593.190880609753</v>
      </c>
    </row>
    <row r="22" spans="1:11" ht="18" customHeight="1">
      <c r="A22" s="151" t="s">
        <v>76</v>
      </c>
      <c r="B22" s="147" t="s">
        <v>6</v>
      </c>
      <c r="F22" s="156">
        <v>172.5</v>
      </c>
      <c r="G22" s="156">
        <v>183</v>
      </c>
      <c r="H22" s="157">
        <v>8825</v>
      </c>
      <c r="I22" s="158">
        <f t="shared" si="0"/>
        <v>4989.8437520051084</v>
      </c>
      <c r="J22" s="157">
        <v>875</v>
      </c>
      <c r="K22" s="159">
        <f t="shared" si="1"/>
        <v>12939.843752005108</v>
      </c>
    </row>
    <row r="23" spans="1:11" ht="18" customHeight="1">
      <c r="A23" s="151" t="s">
        <v>77</v>
      </c>
      <c r="B23" s="147" t="s">
        <v>43</v>
      </c>
      <c r="F23" s="156">
        <v>36</v>
      </c>
      <c r="G23" s="156">
        <v>971</v>
      </c>
      <c r="H23" s="157">
        <v>35112.949999999997</v>
      </c>
      <c r="I23" s="158">
        <f t="shared" si="0"/>
        <v>19853.612937333455</v>
      </c>
      <c r="J23" s="157"/>
      <c r="K23" s="159">
        <f t="shared" si="1"/>
        <v>54966.562937333452</v>
      </c>
    </row>
    <row r="24" spans="1:11" ht="18" customHeight="1">
      <c r="A24" s="151" t="s">
        <v>78</v>
      </c>
      <c r="B24" s="147" t="s">
        <v>44</v>
      </c>
      <c r="F24" s="156"/>
      <c r="G24" s="156"/>
      <c r="H24" s="157"/>
      <c r="I24" s="158">
        <f t="shared" si="0"/>
        <v>0</v>
      </c>
      <c r="J24" s="157"/>
      <c r="K24" s="159">
        <f t="shared" si="1"/>
        <v>0</v>
      </c>
    </row>
    <row r="25" spans="1:11" ht="18" customHeight="1">
      <c r="A25" s="151" t="s">
        <v>79</v>
      </c>
      <c r="B25" s="147" t="s">
        <v>5</v>
      </c>
      <c r="F25" s="156">
        <f>+[12]Summary!$V$38</f>
        <v>4473.16</v>
      </c>
      <c r="G25" s="156">
        <f>+[12]Summary!$V$39</f>
        <v>13771</v>
      </c>
      <c r="H25" s="157">
        <v>332824.42199999996</v>
      </c>
      <c r="I25" s="158">
        <f t="shared" si="0"/>
        <v>188186.04675710044</v>
      </c>
      <c r="J25" s="157">
        <v>163924.64000000001</v>
      </c>
      <c r="K25" s="159">
        <f t="shared" si="1"/>
        <v>357085.82875710039</v>
      </c>
    </row>
    <row r="26" spans="1:11" ht="18" customHeight="1">
      <c r="A26" s="151" t="s">
        <v>80</v>
      </c>
      <c r="B26" s="147" t="s">
        <v>45</v>
      </c>
      <c r="F26" s="156"/>
      <c r="G26" s="156"/>
      <c r="H26" s="157"/>
      <c r="I26" s="158">
        <f t="shared" si="0"/>
        <v>0</v>
      </c>
      <c r="J26" s="157"/>
      <c r="K26" s="159">
        <f t="shared" si="1"/>
        <v>0</v>
      </c>
    </row>
    <row r="27" spans="1:11" ht="18" customHeight="1">
      <c r="A27" s="151" t="s">
        <v>81</v>
      </c>
      <c r="B27" s="147" t="s">
        <v>46</v>
      </c>
      <c r="F27" s="156"/>
      <c r="G27" s="156"/>
      <c r="H27" s="157"/>
      <c r="I27" s="158">
        <f t="shared" si="0"/>
        <v>0</v>
      </c>
      <c r="J27" s="157"/>
      <c r="K27" s="159">
        <f t="shared" si="1"/>
        <v>0</v>
      </c>
    </row>
    <row r="28" spans="1:11" ht="18" customHeight="1">
      <c r="A28" s="151" t="s">
        <v>82</v>
      </c>
      <c r="B28" s="147" t="s">
        <v>47</v>
      </c>
      <c r="F28" s="156"/>
      <c r="G28" s="156"/>
      <c r="H28" s="157"/>
      <c r="I28" s="158">
        <f t="shared" si="0"/>
        <v>0</v>
      </c>
      <c r="J28" s="157"/>
      <c r="K28" s="159">
        <f t="shared" si="1"/>
        <v>0</v>
      </c>
    </row>
    <row r="29" spans="1:11" ht="18" customHeight="1">
      <c r="A29" s="151" t="s">
        <v>83</v>
      </c>
      <c r="B29" s="147" t="s">
        <v>48</v>
      </c>
      <c r="F29" s="156">
        <v>9574</v>
      </c>
      <c r="G29" s="156"/>
      <c r="H29" s="157">
        <v>1059600.3899999999</v>
      </c>
      <c r="I29" s="158">
        <f t="shared" si="0"/>
        <v>599120.72358795197</v>
      </c>
      <c r="J29" s="157">
        <v>75580.746666666673</v>
      </c>
      <c r="K29" s="159">
        <f t="shared" si="1"/>
        <v>1583140.3669212852</v>
      </c>
    </row>
    <row r="30" spans="1:11" ht="18" customHeight="1">
      <c r="A30" s="151" t="s">
        <v>84</v>
      </c>
      <c r="B30" s="898"/>
      <c r="C30" s="899"/>
      <c r="D30" s="900"/>
      <c r="F30" s="156"/>
      <c r="G30" s="156"/>
      <c r="H30" s="157"/>
      <c r="I30" s="158">
        <f t="shared" si="0"/>
        <v>0</v>
      </c>
      <c r="J30" s="157"/>
      <c r="K30" s="159">
        <f t="shared" si="1"/>
        <v>0</v>
      </c>
    </row>
    <row r="31" spans="1:11" ht="18" customHeight="1">
      <c r="A31" s="151" t="s">
        <v>133</v>
      </c>
      <c r="B31" s="898"/>
      <c r="C31" s="899"/>
      <c r="D31" s="900"/>
      <c r="F31" s="156"/>
      <c r="G31" s="156"/>
      <c r="H31" s="157"/>
      <c r="I31" s="158">
        <f t="shared" si="0"/>
        <v>0</v>
      </c>
      <c r="J31" s="157"/>
      <c r="K31" s="159">
        <f t="shared" si="1"/>
        <v>0</v>
      </c>
    </row>
    <row r="32" spans="1:11" ht="18" customHeight="1">
      <c r="A32" s="151" t="s">
        <v>134</v>
      </c>
      <c r="B32" s="393"/>
      <c r="C32" s="394"/>
      <c r="D32" s="395"/>
      <c r="F32" s="156"/>
      <c r="G32" s="160" t="s">
        <v>85</v>
      </c>
      <c r="H32" s="157"/>
      <c r="I32" s="158">
        <f t="shared" si="0"/>
        <v>0</v>
      </c>
      <c r="J32" s="157"/>
      <c r="K32" s="159">
        <f t="shared" si="1"/>
        <v>0</v>
      </c>
    </row>
    <row r="33" spans="1:11" ht="18" customHeight="1">
      <c r="A33" s="151" t="s">
        <v>135</v>
      </c>
      <c r="B33" s="393"/>
      <c r="C33" s="394"/>
      <c r="D33" s="395"/>
      <c r="F33" s="156"/>
      <c r="G33" s="160" t="s">
        <v>85</v>
      </c>
      <c r="H33" s="157"/>
      <c r="I33" s="158">
        <f t="shared" si="0"/>
        <v>0</v>
      </c>
      <c r="J33" s="157"/>
      <c r="K33" s="159">
        <f t="shared" si="1"/>
        <v>0</v>
      </c>
    </row>
    <row r="34" spans="1:11" ht="18" customHeight="1">
      <c r="A34" s="151" t="s">
        <v>136</v>
      </c>
      <c r="B34" s="898"/>
      <c r="C34" s="899"/>
      <c r="D34" s="900"/>
      <c r="F34" s="156"/>
      <c r="G34" s="160" t="s">
        <v>85</v>
      </c>
      <c r="H34" s="157"/>
      <c r="I34" s="158">
        <f t="shared" si="0"/>
        <v>0</v>
      </c>
      <c r="J34" s="157"/>
      <c r="K34" s="159">
        <f t="shared" si="1"/>
        <v>0</v>
      </c>
    </row>
    <row r="35" spans="1:11" ht="18" customHeight="1">
      <c r="K35" s="161"/>
    </row>
    <row r="36" spans="1:11" ht="18" customHeight="1">
      <c r="A36" s="154" t="s">
        <v>137</v>
      </c>
      <c r="B36" s="150" t="s">
        <v>138</v>
      </c>
      <c r="E36" s="150" t="s">
        <v>7</v>
      </c>
      <c r="F36" s="162">
        <f t="shared" ref="F36:K36" si="2">SUM(F21:F34)</f>
        <v>14419.66</v>
      </c>
      <c r="G36" s="162">
        <f t="shared" si="2"/>
        <v>15919</v>
      </c>
      <c r="H36" s="162">
        <f t="shared" si="2"/>
        <v>1443129.7519999999</v>
      </c>
      <c r="I36" s="159">
        <f t="shared" si="2"/>
        <v>815976.42791500071</v>
      </c>
      <c r="J36" s="159">
        <f t="shared" si="2"/>
        <v>240380.38666666669</v>
      </c>
      <c r="K36" s="159">
        <f t="shared" si="2"/>
        <v>2018725.793248334</v>
      </c>
    </row>
    <row r="37" spans="1:11" ht="18" customHeight="1" thickBot="1">
      <c r="B37" s="150"/>
      <c r="F37" s="163"/>
      <c r="G37" s="163"/>
      <c r="H37" s="164"/>
      <c r="I37" s="164"/>
      <c r="J37" s="164"/>
      <c r="K37" s="165"/>
    </row>
    <row r="38" spans="1:11" ht="42.75" customHeight="1">
      <c r="F38" s="153" t="s">
        <v>9</v>
      </c>
      <c r="G38" s="153" t="s">
        <v>37</v>
      </c>
      <c r="H38" s="153" t="s">
        <v>29</v>
      </c>
      <c r="I38" s="153" t="s">
        <v>30</v>
      </c>
      <c r="J38" s="153" t="s">
        <v>33</v>
      </c>
      <c r="K38" s="153" t="s">
        <v>34</v>
      </c>
    </row>
    <row r="39" spans="1:11" ht="18.75" customHeight="1">
      <c r="A39" s="154" t="s">
        <v>86</v>
      </c>
      <c r="B39" s="150" t="s">
        <v>49</v>
      </c>
    </row>
    <row r="40" spans="1:11" ht="18" customHeight="1">
      <c r="A40" s="151" t="s">
        <v>87</v>
      </c>
      <c r="B40" s="147" t="s">
        <v>31</v>
      </c>
      <c r="F40" s="156">
        <v>161012</v>
      </c>
      <c r="G40" s="156"/>
      <c r="H40" s="157">
        <v>6916631.5602567242</v>
      </c>
      <c r="I40" s="158">
        <v>0</v>
      </c>
      <c r="J40" s="157"/>
      <c r="K40" s="159">
        <f t="shared" ref="K40:K47" si="3">(H40+I40)-J40</f>
        <v>6916631.5602567242</v>
      </c>
    </row>
    <row r="41" spans="1:11" ht="18" customHeight="1">
      <c r="A41" s="151" t="s">
        <v>88</v>
      </c>
      <c r="B41" s="904" t="s">
        <v>50</v>
      </c>
      <c r="C41" s="907"/>
      <c r="F41" s="156"/>
      <c r="G41" s="156"/>
      <c r="H41" s="157"/>
      <c r="I41" s="158">
        <v>0</v>
      </c>
      <c r="J41" s="157"/>
      <c r="K41" s="159">
        <f t="shared" si="3"/>
        <v>0</v>
      </c>
    </row>
    <row r="42" spans="1:11" ht="18" customHeight="1">
      <c r="A42" s="151" t="s">
        <v>89</v>
      </c>
      <c r="B42" s="155" t="s">
        <v>11</v>
      </c>
      <c r="F42" s="156"/>
      <c r="G42" s="156"/>
      <c r="H42" s="157"/>
      <c r="I42" s="158">
        <v>0</v>
      </c>
      <c r="J42" s="157"/>
      <c r="K42" s="159">
        <f t="shared" si="3"/>
        <v>0</v>
      </c>
    </row>
    <row r="43" spans="1:11" ht="18" customHeight="1">
      <c r="A43" s="151" t="s">
        <v>90</v>
      </c>
      <c r="B43" s="166" t="s">
        <v>10</v>
      </c>
      <c r="C43" s="167"/>
      <c r="D43" s="167"/>
      <c r="F43" s="156"/>
      <c r="G43" s="156"/>
      <c r="H43" s="157"/>
      <c r="I43" s="158">
        <v>0</v>
      </c>
      <c r="J43" s="157"/>
      <c r="K43" s="159">
        <f t="shared" si="3"/>
        <v>0</v>
      </c>
    </row>
    <row r="44" spans="1:11" ht="18" customHeight="1">
      <c r="A44" s="151" t="s">
        <v>91</v>
      </c>
      <c r="B44" s="898"/>
      <c r="C44" s="899"/>
      <c r="D44" s="900"/>
      <c r="F44" s="168"/>
      <c r="G44" s="168"/>
      <c r="H44" s="168"/>
      <c r="I44" s="169">
        <v>0</v>
      </c>
      <c r="J44" s="168"/>
      <c r="K44" s="170">
        <f t="shared" si="3"/>
        <v>0</v>
      </c>
    </row>
    <row r="45" spans="1:11" ht="18" customHeight="1">
      <c r="A45" s="151" t="s">
        <v>139</v>
      </c>
      <c r="B45" s="898"/>
      <c r="C45" s="899"/>
      <c r="D45" s="900"/>
      <c r="F45" s="156"/>
      <c r="G45" s="156"/>
      <c r="H45" s="157"/>
      <c r="I45" s="158">
        <v>0</v>
      </c>
      <c r="J45" s="157"/>
      <c r="K45" s="159">
        <f t="shared" si="3"/>
        <v>0</v>
      </c>
    </row>
    <row r="46" spans="1:11" ht="18" customHeight="1">
      <c r="A46" s="151" t="s">
        <v>140</v>
      </c>
      <c r="B46" s="898"/>
      <c r="C46" s="899"/>
      <c r="D46" s="900"/>
      <c r="F46" s="156"/>
      <c r="G46" s="156"/>
      <c r="H46" s="157"/>
      <c r="I46" s="158">
        <v>0</v>
      </c>
      <c r="J46" s="157"/>
      <c r="K46" s="159">
        <f t="shared" si="3"/>
        <v>0</v>
      </c>
    </row>
    <row r="47" spans="1:11" ht="18" customHeight="1">
      <c r="A47" s="151" t="s">
        <v>141</v>
      </c>
      <c r="B47" s="898"/>
      <c r="C47" s="899"/>
      <c r="D47" s="900"/>
      <c r="F47" s="156"/>
      <c r="G47" s="156"/>
      <c r="H47" s="157"/>
      <c r="I47" s="158">
        <v>0</v>
      </c>
      <c r="J47" s="157"/>
      <c r="K47" s="159">
        <f t="shared" si="3"/>
        <v>0</v>
      </c>
    </row>
    <row r="49" spans="1:11" ht="18" customHeight="1">
      <c r="A49" s="154" t="s">
        <v>142</v>
      </c>
      <c r="B49" s="150" t="s">
        <v>143</v>
      </c>
      <c r="E49" s="150" t="s">
        <v>7</v>
      </c>
      <c r="F49" s="171">
        <f t="shared" ref="F49:K49" si="4">SUM(F40:F47)</f>
        <v>161012</v>
      </c>
      <c r="G49" s="171">
        <f t="shared" si="4"/>
        <v>0</v>
      </c>
      <c r="H49" s="159">
        <f t="shared" si="4"/>
        <v>6916631.5602567242</v>
      </c>
      <c r="I49" s="159">
        <f t="shared" si="4"/>
        <v>0</v>
      </c>
      <c r="J49" s="159">
        <f t="shared" si="4"/>
        <v>0</v>
      </c>
      <c r="K49" s="159">
        <f t="shared" si="4"/>
        <v>6916631.5602567242</v>
      </c>
    </row>
    <row r="50" spans="1:11" ht="18" customHeight="1" thickBot="1">
      <c r="G50" s="172"/>
      <c r="H50" s="172"/>
      <c r="I50" s="172"/>
      <c r="J50" s="172"/>
      <c r="K50" s="172"/>
    </row>
    <row r="51" spans="1:11" ht="42.75" customHeight="1">
      <c r="F51" s="153" t="s">
        <v>9</v>
      </c>
      <c r="G51" s="153" t="s">
        <v>37</v>
      </c>
      <c r="H51" s="153" t="s">
        <v>29</v>
      </c>
      <c r="I51" s="153" t="s">
        <v>30</v>
      </c>
      <c r="J51" s="153" t="s">
        <v>33</v>
      </c>
      <c r="K51" s="153" t="s">
        <v>34</v>
      </c>
    </row>
    <row r="52" spans="1:11" ht="18" customHeight="1">
      <c r="A52" s="154" t="s">
        <v>92</v>
      </c>
      <c r="B52" s="905" t="s">
        <v>38</v>
      </c>
      <c r="C52" s="906"/>
    </row>
    <row r="53" spans="1:11" ht="18" customHeight="1">
      <c r="A53" s="151" t="s">
        <v>51</v>
      </c>
      <c r="B53" s="908" t="s">
        <v>548</v>
      </c>
      <c r="C53" s="909"/>
      <c r="D53" s="903"/>
      <c r="F53" s="156"/>
      <c r="G53" s="156"/>
      <c r="H53" s="157">
        <v>108000</v>
      </c>
      <c r="I53" s="158">
        <f>H53*F$114</f>
        <v>61065.509939552605</v>
      </c>
      <c r="J53" s="157"/>
      <c r="K53" s="159">
        <f t="shared" ref="K53:K62" si="5">(H53+I53)-J53</f>
        <v>169065.5099395526</v>
      </c>
    </row>
    <row r="54" spans="1:11" ht="18" customHeight="1">
      <c r="A54" s="151" t="s">
        <v>93</v>
      </c>
      <c r="B54" s="396" t="s">
        <v>636</v>
      </c>
      <c r="C54" s="397"/>
      <c r="D54" s="392"/>
      <c r="F54" s="156">
        <v>2455</v>
      </c>
      <c r="G54" s="156"/>
      <c r="H54" s="157">
        <v>133206</v>
      </c>
      <c r="I54" s="158">
        <f>H54*F$114</f>
        <v>75317.521453778187</v>
      </c>
      <c r="J54" s="157">
        <v>90206</v>
      </c>
      <c r="K54" s="159">
        <f t="shared" si="5"/>
        <v>118317.5214537782</v>
      </c>
    </row>
    <row r="55" spans="1:11" ht="18" customHeight="1">
      <c r="A55" s="151" t="s">
        <v>94</v>
      </c>
      <c r="B55" s="901" t="s">
        <v>549</v>
      </c>
      <c r="C55" s="902"/>
      <c r="D55" s="903"/>
      <c r="F55" s="156">
        <v>1365</v>
      </c>
      <c r="G55" s="156"/>
      <c r="H55" s="157">
        <v>67154</v>
      </c>
      <c r="I55" s="158">
        <f>H55*F$114</f>
        <v>37970.307911858479</v>
      </c>
      <c r="J55" s="157"/>
      <c r="K55" s="159">
        <f t="shared" si="5"/>
        <v>105124.30791185849</v>
      </c>
    </row>
    <row r="56" spans="1:11" ht="18" customHeight="1">
      <c r="A56" s="151" t="s">
        <v>95</v>
      </c>
      <c r="B56" s="901" t="s">
        <v>550</v>
      </c>
      <c r="C56" s="902"/>
      <c r="D56" s="903"/>
      <c r="F56" s="156">
        <v>5965</v>
      </c>
      <c r="G56" s="156">
        <v>2942</v>
      </c>
      <c r="H56" s="157">
        <v>1691897.15</v>
      </c>
      <c r="I56" s="158">
        <f>H56*F$114</f>
        <v>956634.83546320105</v>
      </c>
      <c r="J56" s="157">
        <v>540905.09</v>
      </c>
      <c r="K56" s="159">
        <f t="shared" si="5"/>
        <v>2107626.8954632012</v>
      </c>
    </row>
    <row r="57" spans="1:11" ht="18" customHeight="1">
      <c r="A57" s="151" t="s">
        <v>96</v>
      </c>
      <c r="B57" s="901" t="s">
        <v>551</v>
      </c>
      <c r="C57" s="902"/>
      <c r="D57" s="903"/>
      <c r="F57" s="156"/>
      <c r="G57" s="156"/>
      <c r="H57" s="157">
        <v>1581497.0499571187</v>
      </c>
      <c r="I57" s="158">
        <v>0</v>
      </c>
      <c r="J57" s="157"/>
      <c r="K57" s="159">
        <f t="shared" si="5"/>
        <v>1581497.0499571187</v>
      </c>
    </row>
    <row r="58" spans="1:11" ht="18" customHeight="1">
      <c r="A58" s="151" t="s">
        <v>97</v>
      </c>
      <c r="B58" s="396" t="s">
        <v>552</v>
      </c>
      <c r="C58" s="397"/>
      <c r="D58" s="392"/>
      <c r="F58" s="156"/>
      <c r="G58" s="156"/>
      <c r="H58" s="157">
        <v>1128409.1100000001</v>
      </c>
      <c r="I58" s="158">
        <v>0</v>
      </c>
      <c r="J58" s="157">
        <v>800071.28</v>
      </c>
      <c r="K58" s="159">
        <f t="shared" si="5"/>
        <v>328337.83000000007</v>
      </c>
    </row>
    <row r="59" spans="1:11" ht="18" customHeight="1">
      <c r="A59" s="151" t="s">
        <v>98</v>
      </c>
      <c r="B59" s="901" t="s">
        <v>780</v>
      </c>
      <c r="C59" s="902"/>
      <c r="D59" s="903"/>
      <c r="F59" s="156">
        <v>13800</v>
      </c>
      <c r="G59" s="156"/>
      <c r="H59" s="157">
        <v>866804.85</v>
      </c>
      <c r="I59" s="158">
        <v>0</v>
      </c>
      <c r="J59" s="157">
        <v>521028.12</v>
      </c>
      <c r="K59" s="159">
        <f t="shared" si="5"/>
        <v>345776.73</v>
      </c>
    </row>
    <row r="60" spans="1:11" ht="18" customHeight="1">
      <c r="A60" s="151" t="s">
        <v>99</v>
      </c>
      <c r="B60" s="396" t="s">
        <v>781</v>
      </c>
      <c r="C60" s="397"/>
      <c r="D60" s="392"/>
      <c r="F60" s="156"/>
      <c r="G60" s="156"/>
      <c r="H60" s="157">
        <v>1148046.153846154</v>
      </c>
      <c r="I60" s="158">
        <v>0</v>
      </c>
      <c r="J60" s="157">
        <v>752718.50000000012</v>
      </c>
      <c r="K60" s="159">
        <f t="shared" si="5"/>
        <v>395327.65384615387</v>
      </c>
    </row>
    <row r="61" spans="1:11" ht="18" customHeight="1">
      <c r="A61" s="151" t="s">
        <v>100</v>
      </c>
      <c r="B61" s="396"/>
      <c r="C61" s="397"/>
      <c r="D61" s="392"/>
      <c r="F61" s="156"/>
      <c r="G61" s="156"/>
      <c r="H61" s="157"/>
      <c r="I61" s="158">
        <v>0</v>
      </c>
      <c r="J61" s="157"/>
      <c r="K61" s="159">
        <f t="shared" si="5"/>
        <v>0</v>
      </c>
    </row>
    <row r="62" spans="1:11" ht="18" customHeight="1">
      <c r="A62" s="151" t="s">
        <v>101</v>
      </c>
      <c r="B62" s="901"/>
      <c r="C62" s="902"/>
      <c r="D62" s="903"/>
      <c r="F62" s="156"/>
      <c r="G62" s="156"/>
      <c r="H62" s="157"/>
      <c r="I62" s="158">
        <v>0</v>
      </c>
      <c r="J62" s="157"/>
      <c r="K62" s="159">
        <f t="shared" si="5"/>
        <v>0</v>
      </c>
    </row>
    <row r="63" spans="1:11" ht="18" customHeight="1">
      <c r="A63" s="151"/>
      <c r="I63" s="173"/>
    </row>
    <row r="64" spans="1:11" ht="18" customHeight="1">
      <c r="A64" s="151" t="s">
        <v>144</v>
      </c>
      <c r="B64" s="150" t="s">
        <v>145</v>
      </c>
      <c r="E64" s="150" t="s">
        <v>7</v>
      </c>
      <c r="F64" s="162">
        <f t="shared" ref="F64:K64" si="6">SUM(F53:F62)</f>
        <v>23585</v>
      </c>
      <c r="G64" s="162">
        <f t="shared" si="6"/>
        <v>2942</v>
      </c>
      <c r="H64" s="159">
        <f t="shared" si="6"/>
        <v>6725014.3138032723</v>
      </c>
      <c r="I64" s="159">
        <f t="shared" si="6"/>
        <v>1130988.1747683904</v>
      </c>
      <c r="J64" s="159">
        <f t="shared" si="6"/>
        <v>2704928.99</v>
      </c>
      <c r="K64" s="159">
        <f t="shared" si="6"/>
        <v>5151073.4985716641</v>
      </c>
    </row>
    <row r="65" spans="1:11" ht="18" customHeight="1">
      <c r="F65" s="174"/>
      <c r="G65" s="174"/>
      <c r="H65" s="174"/>
      <c r="I65" s="174"/>
      <c r="J65" s="174"/>
      <c r="K65" s="174"/>
    </row>
    <row r="66" spans="1:11" ht="42.75" customHeight="1">
      <c r="F66" s="175" t="s">
        <v>9</v>
      </c>
      <c r="G66" s="175" t="s">
        <v>37</v>
      </c>
      <c r="H66" s="175" t="s">
        <v>29</v>
      </c>
      <c r="I66" s="175" t="s">
        <v>30</v>
      </c>
      <c r="J66" s="175" t="s">
        <v>33</v>
      </c>
      <c r="K66" s="175" t="s">
        <v>34</v>
      </c>
    </row>
    <row r="67" spans="1:11" ht="18" customHeight="1">
      <c r="A67" s="154" t="s">
        <v>102</v>
      </c>
      <c r="B67" s="150" t="s">
        <v>12</v>
      </c>
      <c r="F67" s="176"/>
      <c r="G67" s="176"/>
      <c r="H67" s="176"/>
      <c r="I67" s="177"/>
      <c r="J67" s="176"/>
      <c r="K67" s="178"/>
    </row>
    <row r="68" spans="1:11" ht="18" customHeight="1">
      <c r="A68" s="151" t="s">
        <v>103</v>
      </c>
      <c r="B68" s="147" t="s">
        <v>52</v>
      </c>
      <c r="F68" s="179">
        <v>5698</v>
      </c>
      <c r="G68" s="179"/>
      <c r="H68" s="179">
        <v>252108</v>
      </c>
      <c r="I68" s="158">
        <f>H68*F$114</f>
        <v>142547.25536889562</v>
      </c>
      <c r="J68" s="179">
        <v>249429</v>
      </c>
      <c r="K68" s="159">
        <f>(H68+I68)-J68</f>
        <v>145226.2553688956</v>
      </c>
    </row>
    <row r="69" spans="1:11" ht="18" customHeight="1">
      <c r="A69" s="151" t="s">
        <v>104</v>
      </c>
      <c r="B69" s="155" t="s">
        <v>53</v>
      </c>
      <c r="F69" s="179"/>
      <c r="G69" s="179"/>
      <c r="H69" s="179"/>
      <c r="I69" s="158">
        <v>0</v>
      </c>
      <c r="J69" s="179"/>
      <c r="K69" s="159">
        <f>(H69+I69)-J69</f>
        <v>0</v>
      </c>
    </row>
    <row r="70" spans="1:11" ht="18" customHeight="1">
      <c r="A70" s="151" t="s">
        <v>178</v>
      </c>
      <c r="B70" s="396"/>
      <c r="C70" s="397"/>
      <c r="D70" s="392"/>
      <c r="E70" s="150"/>
      <c r="F70" s="180"/>
      <c r="G70" s="180"/>
      <c r="H70" s="181"/>
      <c r="I70" s="158">
        <v>0</v>
      </c>
      <c r="J70" s="181"/>
      <c r="K70" s="159">
        <f>(H70+I70)-J70</f>
        <v>0</v>
      </c>
    </row>
    <row r="71" spans="1:11" ht="18" customHeight="1">
      <c r="A71" s="151" t="s">
        <v>179</v>
      </c>
      <c r="B71" s="396"/>
      <c r="C71" s="397"/>
      <c r="D71" s="392"/>
      <c r="E71" s="150"/>
      <c r="F71" s="180"/>
      <c r="G71" s="180"/>
      <c r="H71" s="181"/>
      <c r="I71" s="158">
        <v>0</v>
      </c>
      <c r="J71" s="181"/>
      <c r="K71" s="159">
        <f>(H71+I71)-J71</f>
        <v>0</v>
      </c>
    </row>
    <row r="72" spans="1:11" ht="18" customHeight="1">
      <c r="A72" s="151" t="s">
        <v>180</v>
      </c>
      <c r="B72" s="390"/>
      <c r="C72" s="391"/>
      <c r="D72" s="182"/>
      <c r="E72" s="150"/>
      <c r="F72" s="156"/>
      <c r="G72" s="156"/>
      <c r="H72" s="157"/>
      <c r="I72" s="158">
        <v>0</v>
      </c>
      <c r="J72" s="157"/>
      <c r="K72" s="159">
        <f>(H72+I72)-J72</f>
        <v>0</v>
      </c>
    </row>
    <row r="73" spans="1:11" ht="18" customHeight="1">
      <c r="A73" s="151"/>
      <c r="B73" s="155"/>
      <c r="E73" s="150"/>
      <c r="F73" s="183"/>
      <c r="G73" s="183"/>
      <c r="H73" s="184"/>
      <c r="I73" s="177"/>
      <c r="J73" s="184"/>
      <c r="K73" s="178"/>
    </row>
    <row r="74" spans="1:11" ht="18" customHeight="1">
      <c r="A74" s="154" t="s">
        <v>146</v>
      </c>
      <c r="B74" s="150" t="s">
        <v>147</v>
      </c>
      <c r="E74" s="150" t="s">
        <v>7</v>
      </c>
      <c r="F74" s="185">
        <f t="shared" ref="F74:K74" si="7">SUM(F68:F72)</f>
        <v>5698</v>
      </c>
      <c r="G74" s="185">
        <f t="shared" si="7"/>
        <v>0</v>
      </c>
      <c r="H74" s="185">
        <f t="shared" si="7"/>
        <v>252108</v>
      </c>
      <c r="I74" s="186">
        <f t="shared" si="7"/>
        <v>142547.25536889562</v>
      </c>
      <c r="J74" s="185">
        <f t="shared" si="7"/>
        <v>249429</v>
      </c>
      <c r="K74" s="187">
        <f t="shared" si="7"/>
        <v>145226.2553688956</v>
      </c>
    </row>
    <row r="75" spans="1:11" ht="42.75" customHeight="1">
      <c r="F75" s="153" t="s">
        <v>9</v>
      </c>
      <c r="G75" s="153" t="s">
        <v>37</v>
      </c>
      <c r="H75" s="153" t="s">
        <v>29</v>
      </c>
      <c r="I75" s="153" t="s">
        <v>30</v>
      </c>
      <c r="J75" s="153" t="s">
        <v>33</v>
      </c>
      <c r="K75" s="153" t="s">
        <v>34</v>
      </c>
    </row>
    <row r="76" spans="1:11" ht="18" customHeight="1">
      <c r="A76" s="154" t="s">
        <v>105</v>
      </c>
      <c r="B76" s="150" t="s">
        <v>106</v>
      </c>
    </row>
    <row r="77" spans="1:11" ht="18" customHeight="1">
      <c r="A77" s="151" t="s">
        <v>107</v>
      </c>
      <c r="B77" s="155" t="s">
        <v>54</v>
      </c>
      <c r="F77" s="156"/>
      <c r="G77" s="156"/>
      <c r="H77" s="157">
        <v>572643.14353961346</v>
      </c>
      <c r="I77" s="158">
        <v>0</v>
      </c>
      <c r="J77" s="157"/>
      <c r="K77" s="159">
        <f>(H77+I77)-J77</f>
        <v>572643.14353961346</v>
      </c>
    </row>
    <row r="78" spans="1:11" ht="18" customHeight="1">
      <c r="A78" s="151" t="s">
        <v>108</v>
      </c>
      <c r="B78" s="155" t="s">
        <v>55</v>
      </c>
      <c r="F78" s="156"/>
      <c r="G78" s="156"/>
      <c r="H78" s="157"/>
      <c r="I78" s="158">
        <v>0</v>
      </c>
      <c r="J78" s="157"/>
      <c r="K78" s="159">
        <f>(H78+I78)-J78</f>
        <v>0</v>
      </c>
    </row>
    <row r="79" spans="1:11" ht="18" customHeight="1">
      <c r="A79" s="151" t="s">
        <v>109</v>
      </c>
      <c r="B79" s="155" t="s">
        <v>13</v>
      </c>
      <c r="F79" s="156"/>
      <c r="G79" s="156"/>
      <c r="H79" s="157">
        <v>4300.45</v>
      </c>
      <c r="I79" s="158">
        <v>0</v>
      </c>
      <c r="J79" s="157"/>
      <c r="K79" s="159">
        <f>(H79+I79)-J79</f>
        <v>4300.45</v>
      </c>
    </row>
    <row r="80" spans="1:11" ht="18" customHeight="1">
      <c r="A80" s="151" t="s">
        <v>110</v>
      </c>
      <c r="B80" s="155" t="s">
        <v>56</v>
      </c>
      <c r="F80" s="156"/>
      <c r="G80" s="156"/>
      <c r="H80" s="157"/>
      <c r="I80" s="158">
        <v>0</v>
      </c>
      <c r="J80" s="157"/>
      <c r="K80" s="159">
        <f>(H80+I80)-J80</f>
        <v>0</v>
      </c>
    </row>
    <row r="81" spans="1:11" ht="18" customHeight="1">
      <c r="A81" s="151"/>
      <c r="K81" s="188"/>
    </row>
    <row r="82" spans="1:11" ht="18" customHeight="1">
      <c r="A82" s="151" t="s">
        <v>148</v>
      </c>
      <c r="B82" s="150" t="s">
        <v>149</v>
      </c>
      <c r="E82" s="150" t="s">
        <v>7</v>
      </c>
      <c r="F82" s="185">
        <f t="shared" ref="F82:K82" si="8">SUM(F77:F80)</f>
        <v>0</v>
      </c>
      <c r="G82" s="185">
        <f t="shared" si="8"/>
        <v>0</v>
      </c>
      <c r="H82" s="187">
        <f t="shared" si="8"/>
        <v>576943.59353961342</v>
      </c>
      <c r="I82" s="187">
        <f t="shared" si="8"/>
        <v>0</v>
      </c>
      <c r="J82" s="187">
        <f t="shared" si="8"/>
        <v>0</v>
      </c>
      <c r="K82" s="187">
        <f t="shared" si="8"/>
        <v>576943.59353961342</v>
      </c>
    </row>
    <row r="83" spans="1:11" ht="18" customHeight="1" thickBot="1">
      <c r="A83" s="151"/>
      <c r="F83" s="172"/>
      <c r="G83" s="172"/>
      <c r="H83" s="172"/>
      <c r="I83" s="172"/>
      <c r="J83" s="172"/>
      <c r="K83" s="172"/>
    </row>
    <row r="84" spans="1:11" ht="42.75" customHeight="1">
      <c r="F84" s="153" t="s">
        <v>9</v>
      </c>
      <c r="G84" s="153" t="s">
        <v>37</v>
      </c>
      <c r="H84" s="153" t="s">
        <v>29</v>
      </c>
      <c r="I84" s="153" t="s">
        <v>30</v>
      </c>
      <c r="J84" s="153" t="s">
        <v>33</v>
      </c>
      <c r="K84" s="153" t="s">
        <v>34</v>
      </c>
    </row>
    <row r="85" spans="1:11" ht="18" customHeight="1">
      <c r="A85" s="154" t="s">
        <v>111</v>
      </c>
      <c r="B85" s="150" t="s">
        <v>57</v>
      </c>
    </row>
    <row r="86" spans="1:11" ht="18" customHeight="1">
      <c r="A86" s="151" t="s">
        <v>112</v>
      </c>
      <c r="B86" s="155" t="s">
        <v>113</v>
      </c>
      <c r="F86" s="156"/>
      <c r="G86" s="156"/>
      <c r="H86" s="157">
        <v>282144.46999999997</v>
      </c>
      <c r="I86" s="158">
        <v>0</v>
      </c>
      <c r="J86" s="157"/>
      <c r="K86" s="159">
        <f t="shared" ref="K86:K96" si="9">(H86+I86)-J86</f>
        <v>282144.46999999997</v>
      </c>
    </row>
    <row r="87" spans="1:11" ht="18" customHeight="1">
      <c r="A87" s="151" t="s">
        <v>114</v>
      </c>
      <c r="B87" s="155" t="s">
        <v>14</v>
      </c>
      <c r="F87" s="156"/>
      <c r="G87" s="156"/>
      <c r="H87" s="157"/>
      <c r="I87" s="158">
        <f t="shared" ref="I87:I96" si="10">H87*F$114</f>
        <v>0</v>
      </c>
      <c r="J87" s="157"/>
      <c r="K87" s="159">
        <f t="shared" si="9"/>
        <v>0</v>
      </c>
    </row>
    <row r="88" spans="1:11" ht="18" customHeight="1">
      <c r="A88" s="151" t="s">
        <v>115</v>
      </c>
      <c r="B88" s="155" t="s">
        <v>116</v>
      </c>
      <c r="F88" s="156"/>
      <c r="G88" s="156"/>
      <c r="H88" s="157">
        <v>51556</v>
      </c>
      <c r="I88" s="158">
        <f t="shared" si="10"/>
        <v>29150.865096699759</v>
      </c>
      <c r="J88" s="157">
        <v>17500</v>
      </c>
      <c r="K88" s="159">
        <f t="shared" si="9"/>
        <v>63206.865096699767</v>
      </c>
    </row>
    <row r="89" spans="1:11" ht="18" customHeight="1">
      <c r="A89" s="151" t="s">
        <v>117</v>
      </c>
      <c r="B89" s="155" t="s">
        <v>58</v>
      </c>
      <c r="F89" s="156"/>
      <c r="G89" s="156"/>
      <c r="H89" s="157"/>
      <c r="I89" s="158">
        <f t="shared" si="10"/>
        <v>0</v>
      </c>
      <c r="J89" s="157"/>
      <c r="K89" s="159">
        <f t="shared" si="9"/>
        <v>0</v>
      </c>
    </row>
    <row r="90" spans="1:11" ht="18" customHeight="1">
      <c r="A90" s="151" t="s">
        <v>118</v>
      </c>
      <c r="B90" s="904" t="s">
        <v>59</v>
      </c>
      <c r="C90" s="907"/>
      <c r="F90" s="156"/>
      <c r="G90" s="156"/>
      <c r="H90" s="157"/>
      <c r="I90" s="158">
        <f t="shared" si="10"/>
        <v>0</v>
      </c>
      <c r="J90" s="157"/>
      <c r="K90" s="159">
        <f t="shared" si="9"/>
        <v>0</v>
      </c>
    </row>
    <row r="91" spans="1:11" ht="18" customHeight="1">
      <c r="A91" s="151" t="s">
        <v>119</v>
      </c>
      <c r="B91" s="155" t="s">
        <v>60</v>
      </c>
      <c r="F91" s="156"/>
      <c r="G91" s="156"/>
      <c r="H91" s="157"/>
      <c r="I91" s="158">
        <f t="shared" si="10"/>
        <v>0</v>
      </c>
      <c r="J91" s="157"/>
      <c r="K91" s="159">
        <f t="shared" si="9"/>
        <v>0</v>
      </c>
    </row>
    <row r="92" spans="1:11" ht="18" customHeight="1">
      <c r="A92" s="151" t="s">
        <v>120</v>
      </c>
      <c r="B92" s="155" t="s">
        <v>121</v>
      </c>
      <c r="F92" s="189"/>
      <c r="G92" s="189"/>
      <c r="H92" s="190"/>
      <c r="I92" s="158">
        <f t="shared" si="10"/>
        <v>0</v>
      </c>
      <c r="J92" s="190"/>
      <c r="K92" s="159">
        <f t="shared" si="9"/>
        <v>0</v>
      </c>
    </row>
    <row r="93" spans="1:11" ht="18" customHeight="1">
      <c r="A93" s="151" t="s">
        <v>122</v>
      </c>
      <c r="B93" s="155" t="s">
        <v>123</v>
      </c>
      <c r="F93" s="156"/>
      <c r="G93" s="156"/>
      <c r="H93" s="157"/>
      <c r="I93" s="158">
        <f t="shared" si="10"/>
        <v>0</v>
      </c>
      <c r="J93" s="157"/>
      <c r="K93" s="159">
        <f t="shared" si="9"/>
        <v>0</v>
      </c>
    </row>
    <row r="94" spans="1:11" ht="18" customHeight="1">
      <c r="A94" s="151" t="s">
        <v>124</v>
      </c>
      <c r="B94" s="901"/>
      <c r="C94" s="902"/>
      <c r="D94" s="903"/>
      <c r="F94" s="156"/>
      <c r="G94" s="156"/>
      <c r="H94" s="157"/>
      <c r="I94" s="158">
        <f t="shared" si="10"/>
        <v>0</v>
      </c>
      <c r="J94" s="157"/>
      <c r="K94" s="159">
        <f t="shared" si="9"/>
        <v>0</v>
      </c>
    </row>
    <row r="95" spans="1:11" ht="18" customHeight="1">
      <c r="A95" s="151" t="s">
        <v>125</v>
      </c>
      <c r="B95" s="901"/>
      <c r="C95" s="902"/>
      <c r="D95" s="903"/>
      <c r="F95" s="156"/>
      <c r="G95" s="156"/>
      <c r="H95" s="157"/>
      <c r="I95" s="158">
        <f t="shared" si="10"/>
        <v>0</v>
      </c>
      <c r="J95" s="157"/>
      <c r="K95" s="159">
        <f t="shared" si="9"/>
        <v>0</v>
      </c>
    </row>
    <row r="96" spans="1:11" ht="18" customHeight="1">
      <c r="A96" s="151" t="s">
        <v>126</v>
      </c>
      <c r="B96" s="901"/>
      <c r="C96" s="902"/>
      <c r="D96" s="903"/>
      <c r="F96" s="156"/>
      <c r="G96" s="156"/>
      <c r="H96" s="157"/>
      <c r="I96" s="158">
        <f t="shared" si="10"/>
        <v>0</v>
      </c>
      <c r="J96" s="157"/>
      <c r="K96" s="159">
        <f t="shared" si="9"/>
        <v>0</v>
      </c>
    </row>
    <row r="97" spans="1:11" ht="18" customHeight="1">
      <c r="A97" s="151"/>
      <c r="B97" s="155"/>
    </row>
    <row r="98" spans="1:11" ht="18" customHeight="1">
      <c r="A98" s="154" t="s">
        <v>150</v>
      </c>
      <c r="B98" s="150" t="s">
        <v>151</v>
      </c>
      <c r="E98" s="150" t="s">
        <v>7</v>
      </c>
      <c r="F98" s="162">
        <f t="shared" ref="F98:K98" si="11">SUM(F86:F96)</f>
        <v>0</v>
      </c>
      <c r="G98" s="162">
        <f t="shared" si="11"/>
        <v>0</v>
      </c>
      <c r="H98" s="162">
        <f t="shared" si="11"/>
        <v>333700.46999999997</v>
      </c>
      <c r="I98" s="162">
        <f t="shared" si="11"/>
        <v>29150.865096699759</v>
      </c>
      <c r="J98" s="162">
        <f t="shared" si="11"/>
        <v>17500</v>
      </c>
      <c r="K98" s="162">
        <f t="shared" si="11"/>
        <v>345351.33509669977</v>
      </c>
    </row>
    <row r="99" spans="1:11" ht="18" customHeight="1" thickBot="1">
      <c r="B99" s="150"/>
      <c r="F99" s="172"/>
      <c r="G99" s="172"/>
      <c r="H99" s="172"/>
      <c r="I99" s="172"/>
      <c r="J99" s="172"/>
      <c r="K99" s="172"/>
    </row>
    <row r="100" spans="1:11" ht="42.75" customHeight="1">
      <c r="F100" s="153" t="s">
        <v>9</v>
      </c>
      <c r="G100" s="153" t="s">
        <v>37</v>
      </c>
      <c r="H100" s="153" t="s">
        <v>29</v>
      </c>
      <c r="I100" s="153" t="s">
        <v>30</v>
      </c>
      <c r="J100" s="153" t="s">
        <v>33</v>
      </c>
      <c r="K100" s="153" t="s">
        <v>34</v>
      </c>
    </row>
    <row r="101" spans="1:11" ht="18" customHeight="1">
      <c r="A101" s="154" t="s">
        <v>130</v>
      </c>
      <c r="B101" s="150" t="s">
        <v>63</v>
      </c>
    </row>
    <row r="102" spans="1:11" ht="18" customHeight="1">
      <c r="A102" s="151" t="s">
        <v>131</v>
      </c>
      <c r="B102" s="155" t="s">
        <v>152</v>
      </c>
      <c r="F102" s="156"/>
      <c r="G102" s="156"/>
      <c r="H102" s="157"/>
      <c r="I102" s="158">
        <f>H102*F$114</f>
        <v>0</v>
      </c>
      <c r="J102" s="157"/>
      <c r="K102" s="159">
        <f>(H102+I102)-J102</f>
        <v>0</v>
      </c>
    </row>
    <row r="103" spans="1:11" ht="18" customHeight="1">
      <c r="A103" s="151" t="s">
        <v>132</v>
      </c>
      <c r="B103" s="904" t="s">
        <v>62</v>
      </c>
      <c r="C103" s="904"/>
      <c r="F103" s="156"/>
      <c r="G103" s="156"/>
      <c r="H103" s="157"/>
      <c r="I103" s="158">
        <f>H103*F$114</f>
        <v>0</v>
      </c>
      <c r="J103" s="157"/>
      <c r="K103" s="159">
        <f>(H103+I103)-J103</f>
        <v>0</v>
      </c>
    </row>
    <row r="104" spans="1:11" ht="18" customHeight="1">
      <c r="A104" s="151" t="s">
        <v>128</v>
      </c>
      <c r="B104" s="901"/>
      <c r="C104" s="902"/>
      <c r="D104" s="903"/>
      <c r="F104" s="156"/>
      <c r="G104" s="156"/>
      <c r="H104" s="157"/>
      <c r="I104" s="158">
        <f>H104*F$114</f>
        <v>0</v>
      </c>
      <c r="J104" s="157"/>
      <c r="K104" s="159">
        <f>(H104+I104)-J104</f>
        <v>0</v>
      </c>
    </row>
    <row r="105" spans="1:11" ht="18" customHeight="1">
      <c r="A105" s="151" t="s">
        <v>127</v>
      </c>
      <c r="B105" s="901"/>
      <c r="C105" s="902"/>
      <c r="D105" s="903"/>
      <c r="F105" s="156"/>
      <c r="G105" s="156"/>
      <c r="H105" s="157"/>
      <c r="I105" s="158">
        <f>H105*F$114</f>
        <v>0</v>
      </c>
      <c r="J105" s="157"/>
      <c r="K105" s="159">
        <f>(H105+I105)-J105</f>
        <v>0</v>
      </c>
    </row>
    <row r="106" spans="1:11" ht="18" customHeight="1">
      <c r="A106" s="151" t="s">
        <v>129</v>
      </c>
      <c r="B106" s="901"/>
      <c r="C106" s="902"/>
      <c r="D106" s="903"/>
      <c r="F106" s="156"/>
      <c r="G106" s="156"/>
      <c r="H106" s="157"/>
      <c r="I106" s="158">
        <f>H106*F$114</f>
        <v>0</v>
      </c>
      <c r="J106" s="157"/>
      <c r="K106" s="159">
        <f>(H106+I106)-J106</f>
        <v>0</v>
      </c>
    </row>
    <row r="107" spans="1:11" ht="18" customHeight="1">
      <c r="B107" s="150"/>
    </row>
    <row r="108" spans="1:11" s="167" customFormat="1" ht="18" customHeight="1">
      <c r="A108" s="154" t="s">
        <v>153</v>
      </c>
      <c r="B108" s="191" t="s">
        <v>154</v>
      </c>
      <c r="C108" s="147"/>
      <c r="D108" s="147"/>
      <c r="E108" s="150" t="s">
        <v>7</v>
      </c>
      <c r="F108" s="162">
        <f t="shared" ref="F108:K108" si="12">SUM(F102:F106)</f>
        <v>0</v>
      </c>
      <c r="G108" s="162">
        <f t="shared" si="12"/>
        <v>0</v>
      </c>
      <c r="H108" s="159">
        <f t="shared" si="12"/>
        <v>0</v>
      </c>
      <c r="I108" s="159">
        <f t="shared" si="12"/>
        <v>0</v>
      </c>
      <c r="J108" s="159">
        <f t="shared" si="12"/>
        <v>0</v>
      </c>
      <c r="K108" s="159">
        <f t="shared" si="12"/>
        <v>0</v>
      </c>
    </row>
    <row r="109" spans="1:11" s="167" customFormat="1" ht="18" customHeight="1" thickBot="1">
      <c r="A109" s="192"/>
      <c r="B109" s="193"/>
      <c r="C109" s="194"/>
      <c r="D109" s="194"/>
      <c r="E109" s="194"/>
      <c r="F109" s="172"/>
      <c r="G109" s="172"/>
      <c r="H109" s="172"/>
      <c r="I109" s="172"/>
      <c r="J109" s="172"/>
      <c r="K109" s="172"/>
    </row>
    <row r="110" spans="1:11" s="167" customFormat="1" ht="18" customHeight="1">
      <c r="A110" s="154" t="s">
        <v>156</v>
      </c>
      <c r="B110" s="150" t="s">
        <v>39</v>
      </c>
      <c r="C110" s="147"/>
      <c r="D110" s="147"/>
      <c r="E110" s="147"/>
      <c r="F110" s="147"/>
      <c r="G110" s="147"/>
      <c r="H110" s="147"/>
      <c r="I110" s="147"/>
      <c r="J110" s="147"/>
      <c r="K110" s="147"/>
    </row>
    <row r="111" spans="1:11" ht="18" customHeight="1">
      <c r="A111" s="154" t="s">
        <v>155</v>
      </c>
      <c r="B111" s="150" t="s">
        <v>164</v>
      </c>
      <c r="E111" s="150" t="s">
        <v>7</v>
      </c>
      <c r="F111" s="157">
        <v>17827207.693</v>
      </c>
    </row>
    <row r="112" spans="1:11" ht="18" customHeight="1">
      <c r="B112" s="150"/>
      <c r="E112" s="150"/>
      <c r="F112" s="195"/>
    </row>
    <row r="113" spans="1:6" ht="18" customHeight="1">
      <c r="A113" s="154"/>
      <c r="B113" s="150" t="s">
        <v>15</v>
      </c>
    </row>
    <row r="114" spans="1:6" ht="18" customHeight="1">
      <c r="A114" s="151" t="s">
        <v>171</v>
      </c>
      <c r="B114" s="155" t="s">
        <v>35</v>
      </c>
      <c r="F114" s="196">
        <v>0.56542138832919075</v>
      </c>
    </row>
    <row r="115" spans="1:6" ht="18" customHeight="1">
      <c r="A115" s="151"/>
      <c r="B115" s="150"/>
    </row>
    <row r="116" spans="1:6" ht="18" customHeight="1">
      <c r="A116" s="151" t="s">
        <v>170</v>
      </c>
      <c r="B116" s="150" t="s">
        <v>16</v>
      </c>
    </row>
    <row r="117" spans="1:6" ht="18" customHeight="1">
      <c r="A117" s="151" t="s">
        <v>172</v>
      </c>
      <c r="B117" s="155" t="s">
        <v>17</v>
      </c>
      <c r="F117" s="157">
        <v>427440080.82999998</v>
      </c>
    </row>
    <row r="118" spans="1:6" ht="18" customHeight="1">
      <c r="A118" s="151" t="s">
        <v>173</v>
      </c>
      <c r="B118" s="147" t="s">
        <v>18</v>
      </c>
      <c r="F118" s="157">
        <v>10604496.722999999</v>
      </c>
    </row>
    <row r="119" spans="1:6" ht="18" customHeight="1">
      <c r="A119" s="151" t="s">
        <v>174</v>
      </c>
      <c r="B119" s="150" t="s">
        <v>19</v>
      </c>
      <c r="F119" s="187">
        <f>SUM(F117:F118)</f>
        <v>438044577.55299997</v>
      </c>
    </row>
    <row r="120" spans="1:6" ht="18" customHeight="1">
      <c r="A120" s="151"/>
      <c r="B120" s="150"/>
    </row>
    <row r="121" spans="1:6" ht="18" customHeight="1">
      <c r="A121" s="151" t="s">
        <v>167</v>
      </c>
      <c r="B121" s="150" t="s">
        <v>36</v>
      </c>
      <c r="F121" s="157">
        <v>415945815.00999999</v>
      </c>
    </row>
    <row r="122" spans="1:6" ht="18" customHeight="1">
      <c r="A122" s="151"/>
    </row>
    <row r="123" spans="1:6" ht="18" customHeight="1">
      <c r="A123" s="151" t="s">
        <v>175</v>
      </c>
      <c r="B123" s="150" t="s">
        <v>20</v>
      </c>
      <c r="F123" s="157">
        <v>22098762.542999983</v>
      </c>
    </row>
    <row r="124" spans="1:6" ht="18" customHeight="1">
      <c r="A124" s="151"/>
    </row>
    <row r="125" spans="1:6" ht="18" customHeight="1">
      <c r="A125" s="151" t="s">
        <v>176</v>
      </c>
      <c r="B125" s="150" t="s">
        <v>21</v>
      </c>
      <c r="F125" s="157">
        <v>1309903.8999999999</v>
      </c>
    </row>
    <row r="126" spans="1:6" ht="18" customHeight="1">
      <c r="A126" s="151"/>
    </row>
    <row r="127" spans="1:6" ht="18" customHeight="1">
      <c r="A127" s="151" t="s">
        <v>177</v>
      </c>
      <c r="B127" s="150" t="s">
        <v>22</v>
      </c>
      <c r="F127" s="157">
        <v>23408666.442999981</v>
      </c>
    </row>
    <row r="128" spans="1:6" ht="18" customHeight="1">
      <c r="A128" s="151"/>
    </row>
    <row r="129" spans="1:11" ht="42.75" customHeight="1">
      <c r="F129" s="153" t="s">
        <v>9</v>
      </c>
      <c r="G129" s="153" t="s">
        <v>37</v>
      </c>
      <c r="H129" s="153" t="s">
        <v>29</v>
      </c>
      <c r="I129" s="153" t="s">
        <v>30</v>
      </c>
      <c r="J129" s="153" t="s">
        <v>33</v>
      </c>
      <c r="K129" s="153" t="s">
        <v>34</v>
      </c>
    </row>
    <row r="130" spans="1:11" ht="18" customHeight="1">
      <c r="A130" s="154" t="s">
        <v>157</v>
      </c>
      <c r="B130" s="150" t="s">
        <v>23</v>
      </c>
    </row>
    <row r="131" spans="1:11" ht="18" customHeight="1">
      <c r="A131" s="151" t="s">
        <v>158</v>
      </c>
      <c r="B131" s="147" t="s">
        <v>24</v>
      </c>
      <c r="F131" s="156"/>
      <c r="G131" s="156"/>
      <c r="H131" s="157">
        <v>862811.44000000018</v>
      </c>
      <c r="I131" s="158">
        <v>0</v>
      </c>
      <c r="J131" s="157">
        <v>680283.88000000012</v>
      </c>
      <c r="K131" s="159">
        <f>(H131+I131)-J131</f>
        <v>182527.56000000006</v>
      </c>
    </row>
    <row r="132" spans="1:11" ht="18" customHeight="1">
      <c r="A132" s="151" t="s">
        <v>159</v>
      </c>
      <c r="B132" s="147" t="s">
        <v>25</v>
      </c>
      <c r="F132" s="156"/>
      <c r="G132" s="156"/>
      <c r="H132" s="157">
        <v>53028</v>
      </c>
      <c r="I132" s="158">
        <v>0</v>
      </c>
      <c r="J132" s="157">
        <v>1878</v>
      </c>
      <c r="K132" s="159">
        <f>(H132+I132)-J132</f>
        <v>51150</v>
      </c>
    </row>
    <row r="133" spans="1:11" ht="18" customHeight="1">
      <c r="A133" s="151" t="s">
        <v>160</v>
      </c>
      <c r="B133" s="898"/>
      <c r="C133" s="899"/>
      <c r="D133" s="900"/>
      <c r="F133" s="156"/>
      <c r="G133" s="156"/>
      <c r="H133" s="157"/>
      <c r="I133" s="158">
        <v>0</v>
      </c>
      <c r="J133" s="157"/>
      <c r="K133" s="159">
        <f>(H133+I133)-J133</f>
        <v>0</v>
      </c>
    </row>
    <row r="134" spans="1:11" ht="18" customHeight="1">
      <c r="A134" s="151" t="s">
        <v>161</v>
      </c>
      <c r="B134" s="898"/>
      <c r="C134" s="899"/>
      <c r="D134" s="900"/>
      <c r="F134" s="156"/>
      <c r="G134" s="156"/>
      <c r="H134" s="157"/>
      <c r="I134" s="158">
        <v>0</v>
      </c>
      <c r="J134" s="157"/>
      <c r="K134" s="159">
        <f>(H134+I134)-J134</f>
        <v>0</v>
      </c>
    </row>
    <row r="135" spans="1:11" ht="18" customHeight="1">
      <c r="A135" s="151" t="s">
        <v>162</v>
      </c>
      <c r="B135" s="898"/>
      <c r="C135" s="899"/>
      <c r="D135" s="900"/>
      <c r="F135" s="156"/>
      <c r="G135" s="156"/>
      <c r="H135" s="157"/>
      <c r="I135" s="158">
        <v>0</v>
      </c>
      <c r="J135" s="157"/>
      <c r="K135" s="159">
        <f>(H135+I135)-J135</f>
        <v>0</v>
      </c>
    </row>
    <row r="136" spans="1:11" ht="18" customHeight="1">
      <c r="A136" s="154"/>
    </row>
    <row r="137" spans="1:11" ht="18" customHeight="1">
      <c r="A137" s="154" t="s">
        <v>163</v>
      </c>
      <c r="B137" s="150" t="s">
        <v>27</v>
      </c>
      <c r="F137" s="162">
        <f t="shared" ref="F137:K137" si="13">SUM(F131:F135)</f>
        <v>0</v>
      </c>
      <c r="G137" s="162">
        <f t="shared" si="13"/>
        <v>0</v>
      </c>
      <c r="H137" s="159">
        <f t="shared" si="13"/>
        <v>915839.44000000018</v>
      </c>
      <c r="I137" s="159">
        <f t="shared" si="13"/>
        <v>0</v>
      </c>
      <c r="J137" s="159">
        <f t="shared" si="13"/>
        <v>682161.88000000012</v>
      </c>
      <c r="K137" s="159">
        <f t="shared" si="13"/>
        <v>233677.56000000006</v>
      </c>
    </row>
    <row r="138" spans="1:11" ht="18" customHeight="1">
      <c r="A138" s="147"/>
    </row>
    <row r="139" spans="1:11" ht="42.75" customHeight="1">
      <c r="F139" s="153" t="s">
        <v>9</v>
      </c>
      <c r="G139" s="153" t="s">
        <v>37</v>
      </c>
      <c r="H139" s="153" t="s">
        <v>29</v>
      </c>
      <c r="I139" s="153" t="s">
        <v>30</v>
      </c>
      <c r="J139" s="153" t="s">
        <v>33</v>
      </c>
      <c r="K139" s="153" t="s">
        <v>34</v>
      </c>
    </row>
    <row r="140" spans="1:11" ht="18" customHeight="1">
      <c r="A140" s="154" t="s">
        <v>166</v>
      </c>
      <c r="B140" s="150" t="s">
        <v>26</v>
      </c>
    </row>
    <row r="141" spans="1:11" ht="18" customHeight="1">
      <c r="A141" s="151" t="s">
        <v>137</v>
      </c>
      <c r="B141" s="150" t="s">
        <v>64</v>
      </c>
      <c r="F141" s="197">
        <f t="shared" ref="F141:K141" si="14">F36</f>
        <v>14419.66</v>
      </c>
      <c r="G141" s="197">
        <f t="shared" si="14"/>
        <v>15919</v>
      </c>
      <c r="H141" s="197">
        <f t="shared" si="14"/>
        <v>1443129.7519999999</v>
      </c>
      <c r="I141" s="197">
        <f t="shared" si="14"/>
        <v>815976.42791500071</v>
      </c>
      <c r="J141" s="197">
        <f t="shared" si="14"/>
        <v>240380.38666666669</v>
      </c>
      <c r="K141" s="197">
        <f t="shared" si="14"/>
        <v>2018725.793248334</v>
      </c>
    </row>
    <row r="142" spans="1:11" ht="18" customHeight="1">
      <c r="A142" s="151" t="s">
        <v>142</v>
      </c>
      <c r="B142" s="150" t="s">
        <v>65</v>
      </c>
      <c r="F142" s="197">
        <f t="shared" ref="F142:K142" si="15">F49</f>
        <v>161012</v>
      </c>
      <c r="G142" s="197">
        <f t="shared" si="15"/>
        <v>0</v>
      </c>
      <c r="H142" s="197">
        <f t="shared" si="15"/>
        <v>6916631.5602567242</v>
      </c>
      <c r="I142" s="197">
        <f t="shared" si="15"/>
        <v>0</v>
      </c>
      <c r="J142" s="197">
        <f t="shared" si="15"/>
        <v>0</v>
      </c>
      <c r="K142" s="197">
        <f t="shared" si="15"/>
        <v>6916631.5602567242</v>
      </c>
    </row>
    <row r="143" spans="1:11" ht="18" customHeight="1">
      <c r="A143" s="151" t="s">
        <v>144</v>
      </c>
      <c r="B143" s="150" t="s">
        <v>66</v>
      </c>
      <c r="F143" s="197">
        <f t="shared" ref="F143:K143" si="16">F64</f>
        <v>23585</v>
      </c>
      <c r="G143" s="197">
        <f t="shared" si="16"/>
        <v>2942</v>
      </c>
      <c r="H143" s="197">
        <f t="shared" si="16"/>
        <v>6725014.3138032723</v>
      </c>
      <c r="I143" s="197">
        <f t="shared" si="16"/>
        <v>1130988.1747683904</v>
      </c>
      <c r="J143" s="197">
        <f t="shared" si="16"/>
        <v>2704928.99</v>
      </c>
      <c r="K143" s="197">
        <f t="shared" si="16"/>
        <v>5151073.4985716641</v>
      </c>
    </row>
    <row r="144" spans="1:11" ht="18" customHeight="1">
      <c r="A144" s="151" t="s">
        <v>146</v>
      </c>
      <c r="B144" s="150" t="s">
        <v>67</v>
      </c>
      <c r="F144" s="197">
        <f t="shared" ref="F144:K144" si="17">F74</f>
        <v>5698</v>
      </c>
      <c r="G144" s="197">
        <f t="shared" si="17"/>
        <v>0</v>
      </c>
      <c r="H144" s="197">
        <f t="shared" si="17"/>
        <v>252108</v>
      </c>
      <c r="I144" s="197">
        <f t="shared" si="17"/>
        <v>142547.25536889562</v>
      </c>
      <c r="J144" s="197">
        <f t="shared" si="17"/>
        <v>249429</v>
      </c>
      <c r="K144" s="197">
        <f t="shared" si="17"/>
        <v>145226.2553688956</v>
      </c>
    </row>
    <row r="145" spans="1:11" ht="18" customHeight="1">
      <c r="A145" s="151" t="s">
        <v>148</v>
      </c>
      <c r="B145" s="150" t="s">
        <v>68</v>
      </c>
      <c r="F145" s="197">
        <f t="shared" ref="F145:K145" si="18">F82</f>
        <v>0</v>
      </c>
      <c r="G145" s="197">
        <f t="shared" si="18"/>
        <v>0</v>
      </c>
      <c r="H145" s="197">
        <f t="shared" si="18"/>
        <v>576943.59353961342</v>
      </c>
      <c r="I145" s="197">
        <f t="shared" si="18"/>
        <v>0</v>
      </c>
      <c r="J145" s="197">
        <f t="shared" si="18"/>
        <v>0</v>
      </c>
      <c r="K145" s="197">
        <f t="shared" si="18"/>
        <v>576943.59353961342</v>
      </c>
    </row>
    <row r="146" spans="1:11" ht="18" customHeight="1">
      <c r="A146" s="151" t="s">
        <v>150</v>
      </c>
      <c r="B146" s="150" t="s">
        <v>69</v>
      </c>
      <c r="F146" s="197">
        <f t="shared" ref="F146:K146" si="19">F98</f>
        <v>0</v>
      </c>
      <c r="G146" s="197">
        <f t="shared" si="19"/>
        <v>0</v>
      </c>
      <c r="H146" s="197">
        <f t="shared" si="19"/>
        <v>333700.46999999997</v>
      </c>
      <c r="I146" s="197">
        <f t="shared" si="19"/>
        <v>29150.865096699759</v>
      </c>
      <c r="J146" s="197">
        <f t="shared" si="19"/>
        <v>17500</v>
      </c>
      <c r="K146" s="197">
        <f t="shared" si="19"/>
        <v>345351.33509669977</v>
      </c>
    </row>
    <row r="147" spans="1:11" ht="18" customHeight="1">
      <c r="A147" s="151" t="s">
        <v>153</v>
      </c>
      <c r="B147" s="150" t="s">
        <v>61</v>
      </c>
      <c r="F147" s="162">
        <f t="shared" ref="F147:K147" si="20">F108</f>
        <v>0</v>
      </c>
      <c r="G147" s="162">
        <f t="shared" si="20"/>
        <v>0</v>
      </c>
      <c r="H147" s="162">
        <f t="shared" si="20"/>
        <v>0</v>
      </c>
      <c r="I147" s="162">
        <f t="shared" si="20"/>
        <v>0</v>
      </c>
      <c r="J147" s="162">
        <f t="shared" si="20"/>
        <v>0</v>
      </c>
      <c r="K147" s="162">
        <f t="shared" si="20"/>
        <v>0</v>
      </c>
    </row>
    <row r="148" spans="1:11" ht="18" customHeight="1">
      <c r="A148" s="151" t="s">
        <v>155</v>
      </c>
      <c r="B148" s="150" t="s">
        <v>70</v>
      </c>
      <c r="F148" s="198" t="s">
        <v>73</v>
      </c>
      <c r="G148" s="198" t="s">
        <v>73</v>
      </c>
      <c r="H148" s="199" t="s">
        <v>73</v>
      </c>
      <c r="I148" s="199" t="s">
        <v>73</v>
      </c>
      <c r="J148" s="199" t="s">
        <v>73</v>
      </c>
      <c r="K148" s="200">
        <f>F111</f>
        <v>17827207.693</v>
      </c>
    </row>
    <row r="149" spans="1:11" ht="18" customHeight="1">
      <c r="A149" s="151" t="s">
        <v>163</v>
      </c>
      <c r="B149" s="150" t="s">
        <v>71</v>
      </c>
      <c r="F149" s="162">
        <f t="shared" ref="F149:K149" si="21">F137</f>
        <v>0</v>
      </c>
      <c r="G149" s="162">
        <f t="shared" si="21"/>
        <v>0</v>
      </c>
      <c r="H149" s="162">
        <f t="shared" si="21"/>
        <v>915839.44000000018</v>
      </c>
      <c r="I149" s="162">
        <f t="shared" si="21"/>
        <v>0</v>
      </c>
      <c r="J149" s="162">
        <f t="shared" si="21"/>
        <v>682161.88000000012</v>
      </c>
      <c r="K149" s="162">
        <f t="shared" si="21"/>
        <v>233677.56000000006</v>
      </c>
    </row>
    <row r="150" spans="1:11" ht="18" customHeight="1">
      <c r="A150" s="151" t="s">
        <v>185</v>
      </c>
      <c r="B150" s="150" t="s">
        <v>186</v>
      </c>
      <c r="F150" s="198" t="s">
        <v>73</v>
      </c>
      <c r="G150" s="198" t="s">
        <v>73</v>
      </c>
      <c r="H150" s="162">
        <f>H18</f>
        <v>10308812.900902413</v>
      </c>
      <c r="I150" s="162">
        <f>I18</f>
        <v>0</v>
      </c>
      <c r="J150" s="162">
        <f>J18</f>
        <v>8815323.9723599441</v>
      </c>
      <c r="K150" s="162">
        <f>K18</f>
        <v>1493488.9285424687</v>
      </c>
    </row>
    <row r="151" spans="1:11" ht="18" customHeight="1">
      <c r="B151" s="150"/>
      <c r="F151" s="174"/>
      <c r="G151" s="174"/>
      <c r="H151" s="174"/>
      <c r="I151" s="174"/>
      <c r="J151" s="174"/>
      <c r="K151" s="174"/>
    </row>
    <row r="152" spans="1:11" ht="18" customHeight="1">
      <c r="A152" s="154" t="s">
        <v>165</v>
      </c>
      <c r="B152" s="150" t="s">
        <v>26</v>
      </c>
      <c r="F152" s="201">
        <f t="shared" ref="F152:K152" si="22">SUM(F141:F150)</f>
        <v>204714.66</v>
      </c>
      <c r="G152" s="201">
        <f t="shared" si="22"/>
        <v>18861</v>
      </c>
      <c r="H152" s="201">
        <f t="shared" si="22"/>
        <v>27472180.030502025</v>
      </c>
      <c r="I152" s="201">
        <f t="shared" si="22"/>
        <v>2118662.7231489862</v>
      </c>
      <c r="J152" s="201">
        <f t="shared" si="22"/>
        <v>12709724.229026612</v>
      </c>
      <c r="K152" s="201">
        <f t="shared" si="22"/>
        <v>34708326.217624396</v>
      </c>
    </row>
    <row r="154" spans="1:11" ht="18" customHeight="1">
      <c r="A154" s="154" t="s">
        <v>168</v>
      </c>
      <c r="B154" s="150" t="s">
        <v>28</v>
      </c>
      <c r="F154" s="53">
        <f>K152/F121</f>
        <v>8.344434530923206E-2</v>
      </c>
    </row>
    <row r="155" spans="1:11" ht="18" customHeight="1">
      <c r="A155" s="154" t="s">
        <v>169</v>
      </c>
      <c r="B155" s="150" t="s">
        <v>72</v>
      </c>
      <c r="F155" s="53">
        <f>K152/F127</f>
        <v>1.4827126655052754</v>
      </c>
      <c r="G155" s="150"/>
    </row>
    <row r="156" spans="1:11" ht="18" customHeight="1">
      <c r="G156" s="150"/>
    </row>
  </sheetData>
  <sheetProtection algorithmName="SHA-512" hashValue="iVvdvBFvLJrCQayOzWBOnlmmkvSOlg0vsuWfxw4ykvUWsRMIU69Eos4F9LU4n3blGdfrud4L5z60Zw6vfmvLvQ==" saltValue="dNfDTr1s26G+Dg2uXX89nw==" spinCount="100000" sheet="1" objects="1" scenarios="1"/>
  <mergeCells count="34">
    <mergeCell ref="B41:C41"/>
    <mergeCell ref="D2:H2"/>
    <mergeCell ref="C5:G5"/>
    <mergeCell ref="C6:G6"/>
    <mergeCell ref="C7:G7"/>
    <mergeCell ref="C9:G9"/>
    <mergeCell ref="C10:G10"/>
    <mergeCell ref="C11:G11"/>
    <mergeCell ref="B13:H13"/>
    <mergeCell ref="B30:D30"/>
    <mergeCell ref="B31:D31"/>
    <mergeCell ref="B34:D34"/>
    <mergeCell ref="B90:C90"/>
    <mergeCell ref="B44:D44"/>
    <mergeCell ref="B45:D45"/>
    <mergeCell ref="B46:D46"/>
    <mergeCell ref="B47:D47"/>
    <mergeCell ref="B52:C52"/>
    <mergeCell ref="B53:D53"/>
    <mergeCell ref="B55:D55"/>
    <mergeCell ref="B56:D56"/>
    <mergeCell ref="B57:D57"/>
    <mergeCell ref="B59:D59"/>
    <mergeCell ref="B62:D62"/>
    <mergeCell ref="B106:D106"/>
    <mergeCell ref="B133:D133"/>
    <mergeCell ref="B134:D134"/>
    <mergeCell ref="B135:D135"/>
    <mergeCell ref="B94:D94"/>
    <mergeCell ref="B95:D95"/>
    <mergeCell ref="B96:D96"/>
    <mergeCell ref="B103:C103"/>
    <mergeCell ref="B104:D104"/>
    <mergeCell ref="B105:D105"/>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58"/>
  <sheetViews>
    <sheetView topLeftCell="A16" zoomScaleNormal="100" workbookViewId="0">
      <selection activeCell="E2" sqref="E2"/>
    </sheetView>
  </sheetViews>
  <sheetFormatPr defaultRowHeight="15"/>
  <cols>
    <col min="1" max="1" width="38.5703125" style="136" customWidth="1"/>
    <col min="2" max="2" width="5" style="136" bestFit="1" customWidth="1"/>
    <col min="3" max="3" width="16.28515625" style="136" customWidth="1"/>
    <col min="4" max="4" width="17.5703125" style="136" customWidth="1"/>
    <col min="5" max="5" width="13.5703125" style="136" hidden="1" customWidth="1"/>
    <col min="6" max="7" width="9.140625" style="136"/>
    <col min="8" max="8" width="41.42578125" style="136" bestFit="1" customWidth="1"/>
    <col min="9" max="9" width="9.140625" style="136"/>
    <col min="10" max="10" width="14.28515625" style="136" bestFit="1" customWidth="1"/>
    <col min="11" max="16384" width="9.140625" style="136"/>
  </cols>
  <sheetData>
    <row r="1" spans="1:10" ht="75">
      <c r="A1" s="145" t="s">
        <v>216</v>
      </c>
      <c r="B1" s="144"/>
      <c r="C1" s="793" t="s">
        <v>966</v>
      </c>
      <c r="D1" s="835" t="s">
        <v>967</v>
      </c>
      <c r="E1" s="143" t="s">
        <v>337</v>
      </c>
    </row>
    <row r="2" spans="1:10">
      <c r="A2" s="794" t="s">
        <v>216</v>
      </c>
      <c r="B2" s="795" t="s">
        <v>217</v>
      </c>
      <c r="C2" s="796" t="s">
        <v>913</v>
      </c>
      <c r="D2" s="797" t="s">
        <v>914</v>
      </c>
      <c r="E2" s="141" t="str">
        <f t="shared" ref="E2:E7" si="0">D2</f>
        <v>0.1% of Patient Rev</v>
      </c>
    </row>
    <row r="3" spans="1:10">
      <c r="A3" s="798" t="s">
        <v>200</v>
      </c>
      <c r="B3" s="799">
        <v>1</v>
      </c>
      <c r="C3" s="800">
        <v>301350.7</v>
      </c>
      <c r="D3" s="789">
        <f>C3*1000*0.001</f>
        <v>301350.7</v>
      </c>
      <c r="E3" s="141">
        <f t="shared" si="0"/>
        <v>301350.7</v>
      </c>
      <c r="G3" s="137">
        <v>1</v>
      </c>
      <c r="H3" s="137" t="s">
        <v>200</v>
      </c>
      <c r="J3" s="142">
        <f>D3</f>
        <v>301350.7</v>
      </c>
    </row>
    <row r="4" spans="1:10">
      <c r="A4" s="798" t="s">
        <v>215</v>
      </c>
      <c r="B4" s="799">
        <v>2</v>
      </c>
      <c r="C4" s="800">
        <v>1241601.5</v>
      </c>
      <c r="D4" s="789">
        <f>C4*1000*0.001</f>
        <v>1241601.5</v>
      </c>
      <c r="E4" s="141">
        <f t="shared" si="0"/>
        <v>1241601.5</v>
      </c>
      <c r="G4" s="137">
        <v>2</v>
      </c>
      <c r="H4" s="137" t="s">
        <v>686</v>
      </c>
      <c r="J4" s="142">
        <f t="shared" ref="J4:J41" si="1">D4</f>
        <v>1241601.5</v>
      </c>
    </row>
    <row r="5" spans="1:10">
      <c r="A5" s="798" t="s">
        <v>219</v>
      </c>
      <c r="B5" s="799">
        <v>3</v>
      </c>
      <c r="C5" s="800">
        <v>249192.55458999999</v>
      </c>
      <c r="D5" s="789">
        <f t="shared" ref="D5:D53" si="2">C5*1000*0.001</f>
        <v>249192.55458999999</v>
      </c>
      <c r="E5" s="141">
        <f t="shared" si="0"/>
        <v>249192.55458999999</v>
      </c>
      <c r="G5" s="137">
        <v>3</v>
      </c>
      <c r="H5" s="137" t="s">
        <v>286</v>
      </c>
      <c r="J5" s="142">
        <f t="shared" si="1"/>
        <v>249192.55458999999</v>
      </c>
    </row>
    <row r="6" spans="1:10">
      <c r="A6" s="798" t="s">
        <v>220</v>
      </c>
      <c r="B6" s="799">
        <v>4</v>
      </c>
      <c r="C6" s="800">
        <v>461351.2</v>
      </c>
      <c r="D6" s="789">
        <f t="shared" si="2"/>
        <v>461351.2</v>
      </c>
      <c r="E6" s="141">
        <f t="shared" si="0"/>
        <v>461351.2</v>
      </c>
      <c r="G6" s="137">
        <v>4</v>
      </c>
      <c r="H6" s="137" t="s">
        <v>287</v>
      </c>
      <c r="J6" s="142">
        <f t="shared" si="1"/>
        <v>461351.2</v>
      </c>
    </row>
    <row r="7" spans="1:10">
      <c r="A7" s="798" t="s">
        <v>221</v>
      </c>
      <c r="B7" s="799">
        <v>5</v>
      </c>
      <c r="C7" s="800">
        <v>337093.7</v>
      </c>
      <c r="D7" s="789">
        <f t="shared" si="2"/>
        <v>337093.7</v>
      </c>
      <c r="E7" s="141">
        <f t="shared" si="0"/>
        <v>337093.7</v>
      </c>
      <c r="G7" s="137">
        <v>5</v>
      </c>
      <c r="H7" s="137" t="s">
        <v>201</v>
      </c>
      <c r="J7" s="142">
        <f t="shared" si="1"/>
        <v>337093.7</v>
      </c>
    </row>
    <row r="8" spans="1:10">
      <c r="A8" s="798" t="s">
        <v>225</v>
      </c>
      <c r="B8" s="799">
        <v>6</v>
      </c>
      <c r="C8" s="800">
        <v>103499.3</v>
      </c>
      <c r="D8" s="789">
        <f t="shared" si="2"/>
        <v>103499.3</v>
      </c>
      <c r="E8" s="141">
        <f>D44</f>
        <v>289966.60000000003</v>
      </c>
      <c r="G8" s="137">
        <v>6</v>
      </c>
      <c r="H8" s="137" t="s">
        <v>288</v>
      </c>
      <c r="J8" s="142">
        <f t="shared" si="1"/>
        <v>103499.3</v>
      </c>
    </row>
    <row r="9" spans="1:10">
      <c r="A9" s="798" t="s">
        <v>226</v>
      </c>
      <c r="B9" s="799">
        <v>8</v>
      </c>
      <c r="C9" s="800">
        <v>470759.6</v>
      </c>
      <c r="D9" s="789">
        <f t="shared" si="2"/>
        <v>470759.60000000003</v>
      </c>
      <c r="E9" s="141">
        <f t="shared" ref="E9:E40" si="3">D8</f>
        <v>103499.3</v>
      </c>
      <c r="G9" s="137">
        <v>8</v>
      </c>
      <c r="H9" s="137" t="s">
        <v>289</v>
      </c>
      <c r="J9" s="142">
        <f t="shared" si="1"/>
        <v>470759.60000000003</v>
      </c>
    </row>
    <row r="10" spans="1:10">
      <c r="A10" s="798" t="s">
        <v>227</v>
      </c>
      <c r="B10" s="799">
        <v>9</v>
      </c>
      <c r="C10" s="800">
        <v>2132419</v>
      </c>
      <c r="D10" s="789">
        <f t="shared" si="2"/>
        <v>2132419</v>
      </c>
      <c r="E10" s="141">
        <f t="shared" si="3"/>
        <v>470759.60000000003</v>
      </c>
      <c r="G10" s="137">
        <v>9</v>
      </c>
      <c r="H10" s="137" t="s">
        <v>290</v>
      </c>
      <c r="J10" s="142">
        <f t="shared" si="1"/>
        <v>2132419</v>
      </c>
    </row>
    <row r="11" spans="1:10">
      <c r="A11" s="798" t="s">
        <v>915</v>
      </c>
      <c r="B11" s="799">
        <v>10</v>
      </c>
      <c r="C11" s="800">
        <v>59897.899999999994</v>
      </c>
      <c r="D11" s="789">
        <f t="shared" si="2"/>
        <v>59897.899999999994</v>
      </c>
      <c r="E11" s="141">
        <f t="shared" si="3"/>
        <v>2132419</v>
      </c>
      <c r="G11" s="137">
        <v>10</v>
      </c>
      <c r="H11" s="137" t="s">
        <v>291</v>
      </c>
      <c r="J11" s="142">
        <f t="shared" si="1"/>
        <v>59897.899999999994</v>
      </c>
    </row>
    <row r="12" spans="1:10">
      <c r="A12" s="798" t="s">
        <v>228</v>
      </c>
      <c r="B12" s="799">
        <v>11</v>
      </c>
      <c r="C12" s="800">
        <v>404669.9</v>
      </c>
      <c r="D12" s="789">
        <f t="shared" si="2"/>
        <v>404669.9</v>
      </c>
      <c r="E12" s="141">
        <f t="shared" si="3"/>
        <v>59897.899999999994</v>
      </c>
      <c r="G12" s="137">
        <v>11</v>
      </c>
      <c r="H12" s="137" t="s">
        <v>202</v>
      </c>
      <c r="J12" s="142">
        <f t="shared" si="1"/>
        <v>404669.9</v>
      </c>
    </row>
    <row r="13" spans="1:10">
      <c r="A13" s="798" t="s">
        <v>229</v>
      </c>
      <c r="B13" s="799">
        <v>12</v>
      </c>
      <c r="C13" s="800">
        <v>684516.8</v>
      </c>
      <c r="D13" s="789">
        <f t="shared" si="2"/>
        <v>684516.8</v>
      </c>
      <c r="E13" s="141">
        <f t="shared" si="3"/>
        <v>404669.9</v>
      </c>
      <c r="G13" s="137">
        <v>12</v>
      </c>
      <c r="H13" s="137" t="s">
        <v>292</v>
      </c>
      <c r="J13" s="142">
        <f t="shared" si="1"/>
        <v>684516.8</v>
      </c>
    </row>
    <row r="14" spans="1:10">
      <c r="A14" s="798" t="s">
        <v>230</v>
      </c>
      <c r="B14" s="799">
        <v>13</v>
      </c>
      <c r="C14" s="800">
        <v>121044.1</v>
      </c>
      <c r="D14" s="789">
        <f t="shared" si="2"/>
        <v>121044.1</v>
      </c>
      <c r="E14" s="141">
        <f t="shared" si="3"/>
        <v>684516.8</v>
      </c>
      <c r="G14" s="137">
        <v>13</v>
      </c>
      <c r="H14" s="137" t="s">
        <v>203</v>
      </c>
      <c r="J14" s="142">
        <f t="shared" si="1"/>
        <v>121044.1</v>
      </c>
    </row>
    <row r="15" spans="1:10">
      <c r="A15" s="798" t="s">
        <v>916</v>
      </c>
      <c r="B15" s="799">
        <v>15</v>
      </c>
      <c r="C15" s="800">
        <v>469792.19999999995</v>
      </c>
      <c r="D15" s="789">
        <f t="shared" si="2"/>
        <v>469792.19999999995</v>
      </c>
      <c r="E15" s="141">
        <f t="shared" si="3"/>
        <v>121044.1</v>
      </c>
      <c r="G15" s="137">
        <v>15</v>
      </c>
      <c r="H15" s="137" t="s">
        <v>293</v>
      </c>
      <c r="J15" s="142">
        <f t="shared" si="1"/>
        <v>469792.19999999995</v>
      </c>
    </row>
    <row r="16" spans="1:10">
      <c r="A16" s="798" t="s">
        <v>231</v>
      </c>
      <c r="B16" s="799">
        <v>16</v>
      </c>
      <c r="C16" s="800">
        <v>245900.4</v>
      </c>
      <c r="D16" s="789">
        <f t="shared" si="2"/>
        <v>245900.4</v>
      </c>
      <c r="E16" s="141">
        <f t="shared" si="3"/>
        <v>469792.19999999995</v>
      </c>
      <c r="G16" s="137">
        <v>16</v>
      </c>
      <c r="H16" s="137" t="s">
        <v>294</v>
      </c>
      <c r="J16" s="142">
        <f t="shared" si="1"/>
        <v>245900.4</v>
      </c>
    </row>
    <row r="17" spans="1:10">
      <c r="A17" s="798" t="s">
        <v>232</v>
      </c>
      <c r="B17" s="799">
        <v>17</v>
      </c>
      <c r="C17" s="800">
        <v>42302.399999999994</v>
      </c>
      <c r="D17" s="789">
        <f t="shared" si="2"/>
        <v>42302.399999999994</v>
      </c>
      <c r="E17" s="141">
        <f t="shared" si="3"/>
        <v>245900.4</v>
      </c>
      <c r="G17" s="137">
        <v>17</v>
      </c>
      <c r="H17" s="137" t="s">
        <v>295</v>
      </c>
      <c r="J17" s="142">
        <f t="shared" si="1"/>
        <v>42302.399999999994</v>
      </c>
    </row>
    <row r="18" spans="1:10">
      <c r="A18" s="798" t="s">
        <v>336</v>
      </c>
      <c r="B18" s="799">
        <v>18</v>
      </c>
      <c r="C18" s="800">
        <v>166869.1</v>
      </c>
      <c r="D18" s="789">
        <f t="shared" si="2"/>
        <v>166869.1</v>
      </c>
      <c r="E18" s="141">
        <f t="shared" si="3"/>
        <v>42302.399999999994</v>
      </c>
      <c r="G18" s="137">
        <v>18</v>
      </c>
      <c r="H18" s="137" t="s">
        <v>296</v>
      </c>
      <c r="J18" s="142">
        <f t="shared" si="1"/>
        <v>166869.1</v>
      </c>
    </row>
    <row r="19" spans="1:10">
      <c r="A19" s="798" t="s">
        <v>233</v>
      </c>
      <c r="B19" s="799">
        <v>19</v>
      </c>
      <c r="C19" s="800">
        <v>412641.5</v>
      </c>
      <c r="D19" s="789">
        <f t="shared" si="2"/>
        <v>412641.5</v>
      </c>
      <c r="E19" s="141">
        <f t="shared" si="3"/>
        <v>166869.1</v>
      </c>
      <c r="G19" s="137">
        <v>19</v>
      </c>
      <c r="H19" s="137" t="s">
        <v>297</v>
      </c>
      <c r="J19" s="142">
        <f t="shared" si="1"/>
        <v>412641.5</v>
      </c>
    </row>
    <row r="20" spans="1:10">
      <c r="A20" s="798" t="s">
        <v>234</v>
      </c>
      <c r="B20" s="799">
        <v>22</v>
      </c>
      <c r="C20" s="800">
        <v>280578.5</v>
      </c>
      <c r="D20" s="789">
        <f t="shared" si="2"/>
        <v>280578.5</v>
      </c>
      <c r="E20" s="141">
        <f t="shared" si="3"/>
        <v>412641.5</v>
      </c>
      <c r="G20" s="137">
        <v>22</v>
      </c>
      <c r="H20" s="137" t="s">
        <v>298</v>
      </c>
      <c r="J20" s="142">
        <f t="shared" si="1"/>
        <v>280578.5</v>
      </c>
    </row>
    <row r="21" spans="1:10">
      <c r="A21" s="798" t="s">
        <v>235</v>
      </c>
      <c r="B21" s="799">
        <v>23</v>
      </c>
      <c r="C21" s="800">
        <v>541867.80000000005</v>
      </c>
      <c r="D21" s="789">
        <f t="shared" si="2"/>
        <v>541867.80000000005</v>
      </c>
      <c r="E21" s="141">
        <f t="shared" si="3"/>
        <v>280578.5</v>
      </c>
      <c r="G21" s="137">
        <v>23</v>
      </c>
      <c r="H21" s="137" t="s">
        <v>299</v>
      </c>
      <c r="J21" s="142">
        <f t="shared" si="1"/>
        <v>541867.80000000005</v>
      </c>
    </row>
    <row r="22" spans="1:10">
      <c r="A22" s="798" t="s">
        <v>335</v>
      </c>
      <c r="B22" s="799">
        <v>24</v>
      </c>
      <c r="C22" s="800">
        <v>406581.9</v>
      </c>
      <c r="D22" s="789">
        <f t="shared" si="2"/>
        <v>406581.9</v>
      </c>
      <c r="E22" s="141">
        <f t="shared" si="3"/>
        <v>541867.80000000005</v>
      </c>
      <c r="G22" s="137">
        <v>24</v>
      </c>
      <c r="H22" s="137" t="s">
        <v>300</v>
      </c>
      <c r="J22" s="142">
        <f t="shared" si="1"/>
        <v>406581.9</v>
      </c>
    </row>
    <row r="23" spans="1:10">
      <c r="A23" s="798" t="s">
        <v>236</v>
      </c>
      <c r="B23" s="799">
        <v>27</v>
      </c>
      <c r="C23" s="800">
        <v>314237.3</v>
      </c>
      <c r="D23" s="789">
        <f t="shared" si="2"/>
        <v>314237.3</v>
      </c>
      <c r="E23" s="141">
        <f t="shared" si="3"/>
        <v>406581.9</v>
      </c>
      <c r="G23" s="137">
        <v>27</v>
      </c>
      <c r="H23" s="137" t="s">
        <v>301</v>
      </c>
      <c r="J23" s="142">
        <f t="shared" si="1"/>
        <v>314237.3</v>
      </c>
    </row>
    <row r="24" spans="1:10">
      <c r="A24" s="798" t="s">
        <v>334</v>
      </c>
      <c r="B24" s="799">
        <v>28</v>
      </c>
      <c r="C24" s="800">
        <v>154603</v>
      </c>
      <c r="D24" s="789">
        <f t="shared" si="2"/>
        <v>154603</v>
      </c>
      <c r="E24" s="141">
        <f t="shared" si="3"/>
        <v>314237.3</v>
      </c>
      <c r="G24" s="137">
        <v>28</v>
      </c>
      <c r="H24" s="137" t="s">
        <v>302</v>
      </c>
      <c r="J24" s="142">
        <f t="shared" si="1"/>
        <v>154603</v>
      </c>
    </row>
    <row r="25" spans="1:10">
      <c r="A25" s="798" t="s">
        <v>237</v>
      </c>
      <c r="B25" s="799">
        <v>29</v>
      </c>
      <c r="C25" s="800">
        <v>596807.29999999993</v>
      </c>
      <c r="D25" s="789">
        <f t="shared" si="2"/>
        <v>596807.29999999993</v>
      </c>
      <c r="E25" s="141">
        <f t="shared" si="3"/>
        <v>154603</v>
      </c>
      <c r="G25" s="137">
        <v>29</v>
      </c>
      <c r="H25" s="137" t="s">
        <v>303</v>
      </c>
      <c r="J25" s="142">
        <f t="shared" si="1"/>
        <v>596807.29999999993</v>
      </c>
    </row>
    <row r="26" spans="1:10">
      <c r="A26" s="798" t="s">
        <v>917</v>
      </c>
      <c r="B26" s="799">
        <v>30</v>
      </c>
      <c r="C26" s="800">
        <v>62791.8</v>
      </c>
      <c r="D26" s="789">
        <f t="shared" si="2"/>
        <v>62791.8</v>
      </c>
      <c r="E26" s="141">
        <f t="shared" si="3"/>
        <v>596807.29999999993</v>
      </c>
      <c r="G26" s="137">
        <v>30</v>
      </c>
      <c r="H26" s="137" t="s">
        <v>304</v>
      </c>
      <c r="J26" s="142">
        <f t="shared" si="1"/>
        <v>62791.8</v>
      </c>
    </row>
    <row r="27" spans="1:10">
      <c r="A27" s="798" t="s">
        <v>205</v>
      </c>
      <c r="B27" s="799">
        <v>32</v>
      </c>
      <c r="C27" s="800">
        <v>153372.9</v>
      </c>
      <c r="D27" s="789">
        <f t="shared" si="2"/>
        <v>153372.9</v>
      </c>
      <c r="E27" s="141">
        <f t="shared" si="3"/>
        <v>62791.8</v>
      </c>
      <c r="G27" s="137">
        <v>32</v>
      </c>
      <c r="H27" s="137" t="s">
        <v>305</v>
      </c>
      <c r="J27" s="142">
        <f t="shared" si="1"/>
        <v>153372.9</v>
      </c>
    </row>
    <row r="28" spans="1:10">
      <c r="A28" s="798" t="s">
        <v>206</v>
      </c>
      <c r="B28" s="799">
        <v>33</v>
      </c>
      <c r="C28" s="800">
        <v>249075.20000000001</v>
      </c>
      <c r="D28" s="789">
        <f t="shared" si="2"/>
        <v>249075.20000000001</v>
      </c>
      <c r="E28" s="141">
        <f t="shared" si="3"/>
        <v>153372.9</v>
      </c>
      <c r="G28" s="137">
        <v>33</v>
      </c>
      <c r="H28" s="137" t="s">
        <v>306</v>
      </c>
      <c r="J28" s="142">
        <f t="shared" si="1"/>
        <v>249075.20000000001</v>
      </c>
    </row>
    <row r="29" spans="1:10">
      <c r="A29" s="798" t="s">
        <v>333</v>
      </c>
      <c r="B29" s="799">
        <v>34</v>
      </c>
      <c r="C29" s="800">
        <v>201141</v>
      </c>
      <c r="D29" s="789">
        <f t="shared" si="2"/>
        <v>201141</v>
      </c>
      <c r="E29" s="141">
        <f t="shared" si="3"/>
        <v>249075.20000000001</v>
      </c>
      <c r="G29" s="137">
        <v>34</v>
      </c>
      <c r="H29" s="137" t="s">
        <v>307</v>
      </c>
      <c r="J29" s="142">
        <f t="shared" si="1"/>
        <v>201141</v>
      </c>
    </row>
    <row r="30" spans="1:10">
      <c r="A30" s="798" t="s">
        <v>332</v>
      </c>
      <c r="B30" s="799">
        <v>35</v>
      </c>
      <c r="C30" s="800">
        <v>137003.90000000002</v>
      </c>
      <c r="D30" s="789">
        <f t="shared" si="2"/>
        <v>137003.90000000002</v>
      </c>
      <c r="E30" s="141">
        <f t="shared" si="3"/>
        <v>201141</v>
      </c>
      <c r="G30" s="137">
        <v>35</v>
      </c>
      <c r="H30" s="137" t="s">
        <v>308</v>
      </c>
      <c r="J30" s="142">
        <f t="shared" si="1"/>
        <v>137003.90000000002</v>
      </c>
    </row>
    <row r="31" spans="1:10">
      <c r="A31" s="798" t="s">
        <v>331</v>
      </c>
      <c r="B31" s="799">
        <v>37</v>
      </c>
      <c r="C31" s="800">
        <v>186358.59999999998</v>
      </c>
      <c r="D31" s="789">
        <f t="shared" si="2"/>
        <v>186358.59999999998</v>
      </c>
      <c r="E31" s="141">
        <f t="shared" si="3"/>
        <v>137003.90000000002</v>
      </c>
      <c r="G31" s="137">
        <v>37</v>
      </c>
      <c r="H31" s="137" t="s">
        <v>309</v>
      </c>
      <c r="J31" s="142">
        <f t="shared" si="1"/>
        <v>186358.59999999998</v>
      </c>
    </row>
    <row r="32" spans="1:10">
      <c r="A32" s="798" t="s">
        <v>918</v>
      </c>
      <c r="B32" s="799">
        <v>38</v>
      </c>
      <c r="C32" s="800">
        <v>216173.8</v>
      </c>
      <c r="D32" s="789">
        <f t="shared" si="2"/>
        <v>216173.80000000002</v>
      </c>
      <c r="E32" s="141">
        <f t="shared" si="3"/>
        <v>186358.59999999998</v>
      </c>
      <c r="G32" s="137">
        <v>38</v>
      </c>
      <c r="H32" s="137" t="s">
        <v>310</v>
      </c>
      <c r="J32" s="142">
        <f t="shared" si="1"/>
        <v>216173.80000000002</v>
      </c>
    </row>
    <row r="33" spans="1:10">
      <c r="A33" s="798" t="s">
        <v>238</v>
      </c>
      <c r="B33" s="799">
        <v>39</v>
      </c>
      <c r="C33" s="800">
        <v>138862.9</v>
      </c>
      <c r="D33" s="789">
        <f t="shared" si="2"/>
        <v>138862.9</v>
      </c>
      <c r="E33" s="141">
        <f t="shared" si="3"/>
        <v>216173.80000000002</v>
      </c>
      <c r="G33" s="137">
        <v>39</v>
      </c>
      <c r="H33" s="137" t="s">
        <v>311</v>
      </c>
      <c r="J33" s="142">
        <f t="shared" si="1"/>
        <v>138862.9</v>
      </c>
    </row>
    <row r="34" spans="1:10">
      <c r="A34" s="798" t="s">
        <v>239</v>
      </c>
      <c r="B34" s="799">
        <v>40</v>
      </c>
      <c r="C34" s="800">
        <v>248252.7</v>
      </c>
      <c r="D34" s="789">
        <f t="shared" si="2"/>
        <v>248252.7</v>
      </c>
      <c r="E34" s="141">
        <f t="shared" si="3"/>
        <v>138862.9</v>
      </c>
      <c r="G34" s="137">
        <v>40</v>
      </c>
      <c r="H34" s="137" t="s">
        <v>312</v>
      </c>
      <c r="J34" s="142">
        <f t="shared" si="1"/>
        <v>248252.7</v>
      </c>
    </row>
    <row r="35" spans="1:10">
      <c r="A35" s="798" t="s">
        <v>330</v>
      </c>
      <c r="B35" s="799">
        <v>43</v>
      </c>
      <c r="C35" s="800">
        <v>376812.79999999999</v>
      </c>
      <c r="D35" s="789">
        <f t="shared" si="2"/>
        <v>376812.79999999999</v>
      </c>
      <c r="E35" s="141">
        <f t="shared" si="3"/>
        <v>248252.7</v>
      </c>
      <c r="G35" s="137">
        <v>43</v>
      </c>
      <c r="H35" s="137" t="s">
        <v>313</v>
      </c>
      <c r="J35" s="142">
        <f t="shared" si="1"/>
        <v>376812.79999999999</v>
      </c>
    </row>
    <row r="36" spans="1:10">
      <c r="A36" s="798" t="s">
        <v>240</v>
      </c>
      <c r="B36" s="799">
        <v>44</v>
      </c>
      <c r="C36" s="800">
        <v>421137.7</v>
      </c>
      <c r="D36" s="789">
        <f t="shared" si="2"/>
        <v>421137.7</v>
      </c>
      <c r="E36" s="141">
        <f t="shared" si="3"/>
        <v>376812.79999999999</v>
      </c>
      <c r="G36" s="137">
        <v>44</v>
      </c>
      <c r="H36" s="137" t="s">
        <v>207</v>
      </c>
      <c r="J36" s="142">
        <f t="shared" si="1"/>
        <v>421137.7</v>
      </c>
    </row>
    <row r="37" spans="1:10">
      <c r="A37" s="798" t="s">
        <v>241</v>
      </c>
      <c r="B37" s="799">
        <v>45</v>
      </c>
      <c r="C37" s="800">
        <v>17975.599999999999</v>
      </c>
      <c r="D37" s="789">
        <f t="shared" si="2"/>
        <v>17975.600000000002</v>
      </c>
      <c r="E37" s="141">
        <f t="shared" si="3"/>
        <v>421137.7</v>
      </c>
      <c r="G37" s="137">
        <v>45</v>
      </c>
      <c r="H37" s="137" t="s">
        <v>208</v>
      </c>
      <c r="J37" s="142">
        <f t="shared" si="1"/>
        <v>17975.600000000002</v>
      </c>
    </row>
    <row r="38" spans="1:10">
      <c r="A38" s="798" t="s">
        <v>242</v>
      </c>
      <c r="B38" s="799">
        <v>48</v>
      </c>
      <c r="C38" s="800">
        <v>278901.59999999998</v>
      </c>
      <c r="D38" s="789">
        <f t="shared" si="2"/>
        <v>278901.59999999998</v>
      </c>
      <c r="E38" s="141">
        <f t="shared" si="3"/>
        <v>17975.600000000002</v>
      </c>
      <c r="G38" s="137">
        <v>48</v>
      </c>
      <c r="H38" s="137" t="s">
        <v>314</v>
      </c>
      <c r="J38" s="142">
        <f t="shared" si="1"/>
        <v>278901.59999999998</v>
      </c>
    </row>
    <row r="39" spans="1:10">
      <c r="A39" s="798" t="s">
        <v>243</v>
      </c>
      <c r="B39" s="799">
        <v>49</v>
      </c>
      <c r="C39" s="800">
        <v>290000.8</v>
      </c>
      <c r="D39" s="789">
        <f t="shared" si="2"/>
        <v>290000.8</v>
      </c>
      <c r="E39" s="141">
        <f t="shared" si="3"/>
        <v>278901.59999999998</v>
      </c>
      <c r="G39" s="137">
        <v>49</v>
      </c>
      <c r="H39" s="137" t="s">
        <v>315</v>
      </c>
      <c r="J39" s="142">
        <f t="shared" si="1"/>
        <v>290000.8</v>
      </c>
    </row>
    <row r="40" spans="1:10">
      <c r="A40" s="798" t="s">
        <v>244</v>
      </c>
      <c r="B40" s="799">
        <v>51</v>
      </c>
      <c r="C40" s="800">
        <v>216854.5</v>
      </c>
      <c r="D40" s="789">
        <f t="shared" si="2"/>
        <v>216854.5</v>
      </c>
      <c r="E40" s="141">
        <f t="shared" si="3"/>
        <v>290000.8</v>
      </c>
      <c r="G40" s="137">
        <v>51</v>
      </c>
      <c r="H40" s="137" t="s">
        <v>316</v>
      </c>
      <c r="J40" s="142">
        <f t="shared" si="1"/>
        <v>216854.5</v>
      </c>
    </row>
    <row r="41" spans="1:10">
      <c r="A41" s="798" t="s">
        <v>245</v>
      </c>
      <c r="B41" s="799">
        <v>55</v>
      </c>
      <c r="C41" s="800">
        <v>121542.1</v>
      </c>
      <c r="D41" s="789">
        <f t="shared" si="2"/>
        <v>121542.1</v>
      </c>
      <c r="E41" s="141">
        <f>D39</f>
        <v>290000.8</v>
      </c>
      <c r="G41" s="137">
        <v>55</v>
      </c>
      <c r="H41" s="137" t="s">
        <v>317</v>
      </c>
      <c r="J41" s="142">
        <f t="shared" si="1"/>
        <v>121542.1</v>
      </c>
    </row>
    <row r="42" spans="1:10">
      <c r="A42" s="798" t="s">
        <v>246</v>
      </c>
      <c r="B42" s="799">
        <v>60</v>
      </c>
      <c r="C42" s="800">
        <v>46156.625</v>
      </c>
      <c r="D42" s="789">
        <f t="shared" si="2"/>
        <v>46156.625</v>
      </c>
      <c r="E42" s="141">
        <f>D44</f>
        <v>289966.60000000003</v>
      </c>
      <c r="G42" s="803">
        <v>60</v>
      </c>
      <c r="H42" s="804" t="s">
        <v>246</v>
      </c>
      <c r="J42" s="142">
        <f t="shared" ref="J42:J53" si="4">D42</f>
        <v>46156.625</v>
      </c>
    </row>
    <row r="43" spans="1:10">
      <c r="A43" s="798" t="s">
        <v>247</v>
      </c>
      <c r="B43" s="799">
        <v>61</v>
      </c>
      <c r="C43" s="800">
        <v>99487.1</v>
      </c>
      <c r="D43" s="789">
        <f t="shared" si="2"/>
        <v>99487.1</v>
      </c>
      <c r="E43" s="141">
        <f>D45</f>
        <v>337661.5</v>
      </c>
      <c r="G43" s="803">
        <v>61</v>
      </c>
      <c r="H43" s="804" t="s">
        <v>247</v>
      </c>
      <c r="J43" s="142">
        <f t="shared" si="4"/>
        <v>99487.1</v>
      </c>
    </row>
    <row r="44" spans="1:10">
      <c r="A44" s="798" t="s">
        <v>919</v>
      </c>
      <c r="B44" s="799">
        <v>62</v>
      </c>
      <c r="C44" s="800">
        <v>289966.59999999998</v>
      </c>
      <c r="D44" s="789">
        <f>C44*1000*0.001</f>
        <v>289966.60000000003</v>
      </c>
      <c r="E44" s="141">
        <f>D42</f>
        <v>46156.625</v>
      </c>
      <c r="G44" s="803">
        <v>62</v>
      </c>
      <c r="H44" s="804" t="s">
        <v>919</v>
      </c>
      <c r="J44" s="142">
        <f t="shared" si="4"/>
        <v>289966.60000000003</v>
      </c>
    </row>
    <row r="45" spans="1:10">
      <c r="A45" s="798" t="s">
        <v>329</v>
      </c>
      <c r="B45" s="799">
        <v>63</v>
      </c>
      <c r="C45" s="800">
        <v>337661.5</v>
      </c>
      <c r="D45" s="789">
        <f t="shared" si="2"/>
        <v>337661.5</v>
      </c>
      <c r="E45" s="141">
        <f>D41</f>
        <v>121542.1</v>
      </c>
      <c r="G45" s="803">
        <v>63</v>
      </c>
      <c r="H45" s="804" t="s">
        <v>329</v>
      </c>
      <c r="J45" s="142">
        <f t="shared" si="4"/>
        <v>337661.5</v>
      </c>
    </row>
    <row r="46" spans="1:10">
      <c r="A46" s="798" t="s">
        <v>920</v>
      </c>
      <c r="B46" s="799">
        <v>2001</v>
      </c>
      <c r="C46" s="800">
        <v>115227.4</v>
      </c>
      <c r="D46" s="789">
        <f t="shared" si="2"/>
        <v>115227.40000000001</v>
      </c>
      <c r="E46" s="141">
        <f>D46</f>
        <v>115227.40000000001</v>
      </c>
      <c r="G46" s="803">
        <v>2001</v>
      </c>
      <c r="H46" s="804" t="s">
        <v>920</v>
      </c>
      <c r="J46" s="142">
        <f t="shared" si="4"/>
        <v>115227.40000000001</v>
      </c>
    </row>
    <row r="47" spans="1:10">
      <c r="A47" s="798" t="s">
        <v>328</v>
      </c>
      <c r="B47" s="799">
        <v>2004</v>
      </c>
      <c r="C47" s="800">
        <v>295736.8</v>
      </c>
      <c r="D47" s="789">
        <f t="shared" si="2"/>
        <v>295736.8</v>
      </c>
      <c r="E47" s="141">
        <f>D47</f>
        <v>295736.8</v>
      </c>
      <c r="G47" s="803">
        <v>2004</v>
      </c>
      <c r="H47" s="804" t="s">
        <v>328</v>
      </c>
      <c r="J47" s="142">
        <f t="shared" si="4"/>
        <v>295736.8</v>
      </c>
    </row>
    <row r="48" spans="1:10">
      <c r="A48" s="801" t="s">
        <v>921</v>
      </c>
      <c r="B48" s="799">
        <v>3029</v>
      </c>
      <c r="C48" s="800">
        <v>59348.989000000001</v>
      </c>
      <c r="D48" s="789">
        <f t="shared" si="2"/>
        <v>59348.989000000001</v>
      </c>
      <c r="E48" s="141">
        <f>D51</f>
        <v>53308.449000000001</v>
      </c>
      <c r="G48" s="803">
        <v>3029</v>
      </c>
      <c r="H48" s="804" t="s">
        <v>921</v>
      </c>
      <c r="J48" s="142">
        <f t="shared" si="4"/>
        <v>59348.989000000001</v>
      </c>
    </row>
    <row r="49" spans="1:10">
      <c r="A49" s="801" t="s">
        <v>250</v>
      </c>
      <c r="B49" s="799">
        <v>4000</v>
      </c>
      <c r="C49" s="800">
        <v>137929.4</v>
      </c>
      <c r="D49" s="789">
        <f t="shared" si="2"/>
        <v>137929.4</v>
      </c>
      <c r="E49" s="141" t="e">
        <f>#REF!</f>
        <v>#REF!</v>
      </c>
      <c r="G49" s="803">
        <v>4000</v>
      </c>
      <c r="H49" s="804" t="s">
        <v>250</v>
      </c>
      <c r="J49" s="142">
        <f t="shared" si="4"/>
        <v>137929.4</v>
      </c>
    </row>
    <row r="50" spans="1:10">
      <c r="A50" s="801" t="s">
        <v>248</v>
      </c>
      <c r="B50" s="799">
        <v>5033</v>
      </c>
      <c r="C50" s="800">
        <v>53610.2</v>
      </c>
      <c r="D50" s="789">
        <f t="shared" si="2"/>
        <v>53610.200000000004</v>
      </c>
      <c r="E50" s="141">
        <f>D48</f>
        <v>59348.989000000001</v>
      </c>
      <c r="G50" s="803">
        <v>5033</v>
      </c>
      <c r="H50" s="804" t="s">
        <v>248</v>
      </c>
      <c r="J50" s="142">
        <f t="shared" si="4"/>
        <v>53610.200000000004</v>
      </c>
    </row>
    <row r="51" spans="1:10">
      <c r="A51" s="801" t="s">
        <v>249</v>
      </c>
      <c r="B51" s="799">
        <v>5034</v>
      </c>
      <c r="C51" s="800">
        <v>53308.449000000001</v>
      </c>
      <c r="D51" s="789">
        <f t="shared" si="2"/>
        <v>53308.449000000001</v>
      </c>
      <c r="E51" s="141">
        <f>D50</f>
        <v>53610.200000000004</v>
      </c>
      <c r="G51" s="803">
        <v>5034</v>
      </c>
      <c r="H51" s="804" t="s">
        <v>249</v>
      </c>
      <c r="J51" s="142">
        <f t="shared" si="4"/>
        <v>53308.449000000001</v>
      </c>
    </row>
    <row r="52" spans="1:10">
      <c r="A52" s="801" t="s">
        <v>922</v>
      </c>
      <c r="B52" s="799">
        <v>5050</v>
      </c>
      <c r="C52" s="800">
        <v>375189.8</v>
      </c>
      <c r="D52" s="789">
        <f t="shared" si="2"/>
        <v>375189.8</v>
      </c>
      <c r="E52" s="141">
        <f>D49</f>
        <v>137929.4</v>
      </c>
      <c r="G52" s="803">
        <v>5050</v>
      </c>
      <c r="H52" s="804" t="s">
        <v>922</v>
      </c>
      <c r="J52" s="142">
        <f t="shared" si="4"/>
        <v>375189.8</v>
      </c>
    </row>
    <row r="53" spans="1:10">
      <c r="A53" s="798" t="s">
        <v>251</v>
      </c>
      <c r="B53" s="799">
        <v>8992</v>
      </c>
      <c r="C53" s="800">
        <v>188680.90000000002</v>
      </c>
      <c r="D53" s="789">
        <f t="shared" si="2"/>
        <v>188680.90000000002</v>
      </c>
      <c r="E53" s="141">
        <f>D52</f>
        <v>375189.8</v>
      </c>
      <c r="G53" s="803">
        <v>8992</v>
      </c>
      <c r="H53" s="804" t="s">
        <v>251</v>
      </c>
      <c r="I53" s="137"/>
      <c r="J53" s="142">
        <f t="shared" si="4"/>
        <v>188680.90000000002</v>
      </c>
    </row>
    <row r="54" spans="1:10">
      <c r="A54" s="799" t="s">
        <v>210</v>
      </c>
      <c r="B54" s="799">
        <v>9999</v>
      </c>
      <c r="C54" s="802">
        <f>SUM(C3:C53)</f>
        <v>15568139.317590004</v>
      </c>
      <c r="D54" s="802">
        <f>SUM(D3:D53)</f>
        <v>15568139.317590004</v>
      </c>
      <c r="E54" s="141">
        <f>D53</f>
        <v>188680.90000000002</v>
      </c>
      <c r="G54" s="803">
        <v>9999</v>
      </c>
      <c r="H54" s="803" t="s">
        <v>210</v>
      </c>
      <c r="I54" s="137"/>
      <c r="J54" s="142">
        <f>SUM(J3:J53)</f>
        <v>15568139.317590004</v>
      </c>
    </row>
    <row r="55" spans="1:10">
      <c r="A55" s="792" t="s">
        <v>912</v>
      </c>
      <c r="E55" s="139" t="e">
        <f>SUM(E2:E54)</f>
        <v>#REF!</v>
      </c>
      <c r="H55" s="138" t="s">
        <v>210</v>
      </c>
      <c r="I55" s="140"/>
    </row>
    <row r="56" spans="1:10">
      <c r="H56" s="138"/>
    </row>
    <row r="57" spans="1:10">
      <c r="G57" s="137">
        <v>3478</v>
      </c>
      <c r="H57" s="137" t="s">
        <v>325</v>
      </c>
    </row>
    <row r="58" spans="1:10">
      <c r="G58" s="137">
        <v>4013</v>
      </c>
      <c r="H58" s="137" t="s">
        <v>284</v>
      </c>
    </row>
  </sheetData>
  <sortState ref="A41:K42">
    <sortCondition ref="H41:H42"/>
  </sortState>
  <pageMargins left="0.7" right="0.7" top="0.75" bottom="0.75" header="0.3" footer="0.3"/>
  <pageSetup scale="80" orientation="portrait" r:id="rId1"/>
  <headerFooter>
    <oddHeader>&amp;C&amp;"-,Bold"NURSE SUPPORT I (NSPI) 
FY 2013-2014- Funding Cycle
Budget Request and Grant Recommendations
July 1, 2013 THROUGH June 30, 2014</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K156"/>
  <sheetViews>
    <sheetView showGridLines="0" zoomScaleNormal="100" zoomScaleSheetLayoutView="80" workbookViewId="0">
      <selection activeCell="H18" sqref="H18"/>
    </sheetView>
  </sheetViews>
  <sheetFormatPr defaultRowHeight="18" customHeight="1"/>
  <cols>
    <col min="1" max="1" width="8.28515625" style="146" customWidth="1"/>
    <col min="2" max="2" width="55.42578125" style="147" bestFit="1" customWidth="1"/>
    <col min="3" max="3" width="9.5703125" style="147" customWidth="1"/>
    <col min="4" max="4" width="9.140625" style="147"/>
    <col min="5" max="5" width="12.42578125" style="147" customWidth="1"/>
    <col min="6" max="6" width="18.5703125" style="147" customWidth="1"/>
    <col min="7" max="7" width="23.5703125" style="147" customWidth="1"/>
    <col min="8" max="8" width="17.140625" style="147" customWidth="1"/>
    <col min="9" max="9" width="21.140625" style="147" customWidth="1"/>
    <col min="10" max="10" width="19.85546875" style="147" customWidth="1"/>
    <col min="11" max="11" width="17.5703125" style="147" customWidth="1"/>
    <col min="12" max="16384" width="9.140625" style="147"/>
  </cols>
  <sheetData>
    <row r="1" spans="1:11" ht="18" customHeight="1">
      <c r="C1" s="148"/>
      <c r="D1" s="149"/>
      <c r="E1" s="148"/>
      <c r="F1" s="148"/>
      <c r="G1" s="148"/>
      <c r="H1" s="148"/>
      <c r="I1" s="148"/>
      <c r="J1" s="148"/>
      <c r="K1" s="148"/>
    </row>
    <row r="2" spans="1:11" ht="18" customHeight="1">
      <c r="D2" s="910" t="s">
        <v>713</v>
      </c>
      <c r="E2" s="911"/>
      <c r="F2" s="911"/>
      <c r="G2" s="911"/>
      <c r="H2" s="911"/>
    </row>
    <row r="3" spans="1:11" ht="18" customHeight="1">
      <c r="B3" s="150" t="s">
        <v>0</v>
      </c>
    </row>
    <row r="5" spans="1:11" ht="18" customHeight="1">
      <c r="B5" s="151" t="s">
        <v>40</v>
      </c>
      <c r="C5" s="912" t="s">
        <v>587</v>
      </c>
      <c r="D5" s="918"/>
      <c r="E5" s="918"/>
      <c r="F5" s="918"/>
      <c r="G5" s="919"/>
    </row>
    <row r="6" spans="1:11" ht="18" customHeight="1">
      <c r="B6" s="151" t="s">
        <v>3</v>
      </c>
      <c r="C6" s="929">
        <v>12</v>
      </c>
      <c r="D6" s="921"/>
      <c r="E6" s="921"/>
      <c r="F6" s="921"/>
      <c r="G6" s="922"/>
    </row>
    <row r="7" spans="1:11" ht="18" customHeight="1">
      <c r="B7" s="151" t="s">
        <v>4</v>
      </c>
      <c r="C7" s="930">
        <v>4713</v>
      </c>
      <c r="D7" s="924"/>
      <c r="E7" s="924"/>
      <c r="F7" s="924"/>
      <c r="G7" s="925"/>
    </row>
    <row r="9" spans="1:11" ht="18" customHeight="1">
      <c r="B9" s="151" t="s">
        <v>1</v>
      </c>
      <c r="C9" s="912" t="s">
        <v>486</v>
      </c>
      <c r="D9" s="918"/>
      <c r="E9" s="918"/>
      <c r="F9" s="918"/>
      <c r="G9" s="919"/>
    </row>
    <row r="10" spans="1:11" ht="18" customHeight="1">
      <c r="B10" s="151" t="s">
        <v>2</v>
      </c>
      <c r="C10" s="926" t="s">
        <v>487</v>
      </c>
      <c r="D10" s="927"/>
      <c r="E10" s="927"/>
      <c r="F10" s="927"/>
      <c r="G10" s="928"/>
    </row>
    <row r="11" spans="1:11" ht="18" customHeight="1">
      <c r="B11" s="151" t="s">
        <v>32</v>
      </c>
      <c r="C11" s="912" t="s">
        <v>488</v>
      </c>
      <c r="D11" s="913"/>
      <c r="E11" s="913"/>
      <c r="F11" s="913"/>
      <c r="G11" s="913"/>
    </row>
    <row r="12" spans="1:11" ht="18" customHeight="1">
      <c r="B12" s="151"/>
      <c r="C12" s="151"/>
      <c r="D12" s="151"/>
      <c r="E12" s="151"/>
      <c r="F12" s="151"/>
      <c r="G12" s="151"/>
    </row>
    <row r="13" spans="1:11" ht="24.6" customHeight="1">
      <c r="B13" s="914"/>
      <c r="C13" s="915"/>
      <c r="D13" s="915"/>
      <c r="E13" s="915"/>
      <c r="F13" s="915"/>
      <c r="G13" s="915"/>
      <c r="H13" s="916"/>
      <c r="I13" s="148"/>
    </row>
    <row r="14" spans="1:11" ht="18" customHeight="1">
      <c r="B14" s="152"/>
    </row>
    <row r="15" spans="1:11" ht="18" customHeight="1">
      <c r="B15" s="152"/>
    </row>
    <row r="16" spans="1:11" ht="45" customHeight="1">
      <c r="A16" s="149" t="s">
        <v>181</v>
      </c>
      <c r="B16" s="148"/>
      <c r="C16" s="148"/>
      <c r="D16" s="148"/>
      <c r="E16" s="148"/>
      <c r="F16" s="153" t="s">
        <v>9</v>
      </c>
      <c r="G16" s="153" t="s">
        <v>37</v>
      </c>
      <c r="H16" s="153" t="s">
        <v>29</v>
      </c>
      <c r="I16" s="153" t="s">
        <v>30</v>
      </c>
      <c r="J16" s="153" t="s">
        <v>33</v>
      </c>
      <c r="K16" s="153" t="s">
        <v>34</v>
      </c>
    </row>
    <row r="17" spans="1:11" ht="18" customHeight="1">
      <c r="A17" s="154" t="s">
        <v>184</v>
      </c>
      <c r="B17" s="150" t="s">
        <v>182</v>
      </c>
    </row>
    <row r="18" spans="1:11" ht="18" customHeight="1">
      <c r="A18" s="151" t="s">
        <v>185</v>
      </c>
      <c r="B18" s="155" t="s">
        <v>183</v>
      </c>
      <c r="F18" s="156" t="s">
        <v>73</v>
      </c>
      <c r="G18" s="156" t="s">
        <v>73</v>
      </c>
      <c r="H18" s="157">
        <v>17676463</v>
      </c>
      <c r="I18" s="158">
        <v>0</v>
      </c>
      <c r="J18" s="157">
        <v>15115586</v>
      </c>
      <c r="K18" s="159">
        <f>(H18+I18)-J18</f>
        <v>2560877</v>
      </c>
    </row>
    <row r="19" spans="1:11" ht="45" customHeight="1">
      <c r="A19" s="149" t="s">
        <v>8</v>
      </c>
      <c r="B19" s="148"/>
      <c r="C19" s="148"/>
      <c r="D19" s="148"/>
      <c r="E19" s="148"/>
      <c r="F19" s="153" t="s">
        <v>9</v>
      </c>
      <c r="G19" s="153" t="s">
        <v>37</v>
      </c>
      <c r="H19" s="153" t="s">
        <v>29</v>
      </c>
      <c r="I19" s="153" t="s">
        <v>30</v>
      </c>
      <c r="J19" s="153" t="s">
        <v>33</v>
      </c>
      <c r="K19" s="153" t="s">
        <v>34</v>
      </c>
    </row>
    <row r="20" spans="1:11" ht="18" customHeight="1">
      <c r="A20" s="154" t="s">
        <v>74</v>
      </c>
      <c r="B20" s="150" t="s">
        <v>41</v>
      </c>
    </row>
    <row r="21" spans="1:11" ht="18" customHeight="1">
      <c r="A21" s="151" t="s">
        <v>75</v>
      </c>
      <c r="B21" s="155" t="s">
        <v>42</v>
      </c>
      <c r="F21" s="156">
        <v>3945</v>
      </c>
      <c r="G21" s="156">
        <v>12479</v>
      </c>
      <c r="H21" s="157">
        <v>100226</v>
      </c>
      <c r="I21" s="158">
        <f t="shared" ref="I21:I34" si="0">H21*F$114</f>
        <v>62841.701999999997</v>
      </c>
      <c r="J21" s="157">
        <v>69279</v>
      </c>
      <c r="K21" s="159">
        <f t="shared" ref="K21:K34" si="1">(H21+I21)-J21</f>
        <v>93788.70199999999</v>
      </c>
    </row>
    <row r="22" spans="1:11" ht="18" customHeight="1">
      <c r="A22" s="151" t="s">
        <v>76</v>
      </c>
      <c r="B22" s="147" t="s">
        <v>6</v>
      </c>
      <c r="F22" s="156"/>
      <c r="G22" s="156"/>
      <c r="H22" s="157"/>
      <c r="I22" s="158">
        <f t="shared" si="0"/>
        <v>0</v>
      </c>
      <c r="J22" s="157"/>
      <c r="K22" s="159">
        <f t="shared" si="1"/>
        <v>0</v>
      </c>
    </row>
    <row r="23" spans="1:11" ht="18" customHeight="1">
      <c r="A23" s="151" t="s">
        <v>77</v>
      </c>
      <c r="B23" s="147" t="s">
        <v>43</v>
      </c>
      <c r="F23" s="156"/>
      <c r="G23" s="156"/>
      <c r="H23" s="157"/>
      <c r="I23" s="158">
        <f t="shared" si="0"/>
        <v>0</v>
      </c>
      <c r="J23" s="157"/>
      <c r="K23" s="159">
        <f t="shared" si="1"/>
        <v>0</v>
      </c>
    </row>
    <row r="24" spans="1:11" ht="18" customHeight="1">
      <c r="A24" s="151" t="s">
        <v>78</v>
      </c>
      <c r="B24" s="147" t="s">
        <v>44</v>
      </c>
      <c r="F24" s="156">
        <v>5150</v>
      </c>
      <c r="G24" s="156">
        <v>375</v>
      </c>
      <c r="H24" s="157">
        <v>126532</v>
      </c>
      <c r="I24" s="158">
        <f t="shared" si="0"/>
        <v>79335.563999999998</v>
      </c>
      <c r="J24" s="157">
        <v>111359</v>
      </c>
      <c r="K24" s="159">
        <f t="shared" si="1"/>
        <v>94508.564000000013</v>
      </c>
    </row>
    <row r="25" spans="1:11" ht="18" customHeight="1">
      <c r="A25" s="151" t="s">
        <v>79</v>
      </c>
      <c r="B25" s="147" t="s">
        <v>5</v>
      </c>
      <c r="F25" s="156"/>
      <c r="G25" s="156"/>
      <c r="H25" s="157"/>
      <c r="I25" s="158">
        <f t="shared" si="0"/>
        <v>0</v>
      </c>
      <c r="J25" s="157"/>
      <c r="K25" s="159">
        <f t="shared" si="1"/>
        <v>0</v>
      </c>
    </row>
    <row r="26" spans="1:11" ht="18" customHeight="1">
      <c r="A26" s="151" t="s">
        <v>80</v>
      </c>
      <c r="B26" s="147" t="s">
        <v>45</v>
      </c>
      <c r="F26" s="156"/>
      <c r="G26" s="156"/>
      <c r="H26" s="157"/>
      <c r="I26" s="158">
        <f t="shared" si="0"/>
        <v>0</v>
      </c>
      <c r="J26" s="157"/>
      <c r="K26" s="159">
        <f t="shared" si="1"/>
        <v>0</v>
      </c>
    </row>
    <row r="27" spans="1:11" ht="18" customHeight="1">
      <c r="A27" s="151" t="s">
        <v>81</v>
      </c>
      <c r="B27" s="147" t="s">
        <v>46</v>
      </c>
      <c r="F27" s="156"/>
      <c r="G27" s="156"/>
      <c r="H27" s="157"/>
      <c r="I27" s="158">
        <f t="shared" si="0"/>
        <v>0</v>
      </c>
      <c r="J27" s="157"/>
      <c r="K27" s="159">
        <f t="shared" si="1"/>
        <v>0</v>
      </c>
    </row>
    <row r="28" spans="1:11" ht="18" customHeight="1">
      <c r="A28" s="151" t="s">
        <v>82</v>
      </c>
      <c r="B28" s="147" t="s">
        <v>47</v>
      </c>
      <c r="F28" s="156"/>
      <c r="G28" s="156"/>
      <c r="H28" s="157"/>
      <c r="I28" s="158">
        <f t="shared" si="0"/>
        <v>0</v>
      </c>
      <c r="J28" s="157"/>
      <c r="K28" s="159">
        <f t="shared" si="1"/>
        <v>0</v>
      </c>
    </row>
    <row r="29" spans="1:11" ht="18" customHeight="1">
      <c r="A29" s="151" t="s">
        <v>83</v>
      </c>
      <c r="B29" s="147" t="s">
        <v>48</v>
      </c>
      <c r="F29" s="156">
        <v>38695</v>
      </c>
      <c r="G29" s="156">
        <v>2471</v>
      </c>
      <c r="H29" s="157">
        <v>2170706</v>
      </c>
      <c r="I29" s="158">
        <f t="shared" si="0"/>
        <v>1361032.662</v>
      </c>
      <c r="J29" s="157">
        <v>878561</v>
      </c>
      <c r="K29" s="159">
        <f t="shared" si="1"/>
        <v>2653177.662</v>
      </c>
    </row>
    <row r="30" spans="1:11" ht="18" customHeight="1">
      <c r="A30" s="151" t="s">
        <v>84</v>
      </c>
      <c r="B30" s="898"/>
      <c r="C30" s="899"/>
      <c r="D30" s="900"/>
      <c r="F30" s="156"/>
      <c r="G30" s="156"/>
      <c r="H30" s="157"/>
      <c r="I30" s="158">
        <f t="shared" si="0"/>
        <v>0</v>
      </c>
      <c r="J30" s="157"/>
      <c r="K30" s="159">
        <f t="shared" si="1"/>
        <v>0</v>
      </c>
    </row>
    <row r="31" spans="1:11" ht="18" customHeight="1">
      <c r="A31" s="151" t="s">
        <v>133</v>
      </c>
      <c r="B31" s="898"/>
      <c r="C31" s="899"/>
      <c r="D31" s="900"/>
      <c r="F31" s="156"/>
      <c r="G31" s="156"/>
      <c r="H31" s="157"/>
      <c r="I31" s="158">
        <f t="shared" si="0"/>
        <v>0</v>
      </c>
      <c r="J31" s="157"/>
      <c r="K31" s="159">
        <f t="shared" si="1"/>
        <v>0</v>
      </c>
    </row>
    <row r="32" spans="1:11" ht="18" customHeight="1">
      <c r="A32" s="151" t="s">
        <v>134</v>
      </c>
      <c r="B32" s="393"/>
      <c r="C32" s="394"/>
      <c r="D32" s="395"/>
      <c r="F32" s="156"/>
      <c r="G32" s="160" t="s">
        <v>85</v>
      </c>
      <c r="H32" s="157"/>
      <c r="I32" s="158">
        <f t="shared" si="0"/>
        <v>0</v>
      </c>
      <c r="J32" s="157"/>
      <c r="K32" s="159">
        <f t="shared" si="1"/>
        <v>0</v>
      </c>
    </row>
    <row r="33" spans="1:11" ht="18" customHeight="1">
      <c r="A33" s="151" t="s">
        <v>135</v>
      </c>
      <c r="B33" s="393"/>
      <c r="C33" s="394"/>
      <c r="D33" s="395"/>
      <c r="F33" s="156"/>
      <c r="G33" s="160" t="s">
        <v>85</v>
      </c>
      <c r="H33" s="157"/>
      <c r="I33" s="158">
        <f t="shared" si="0"/>
        <v>0</v>
      </c>
      <c r="J33" s="157"/>
      <c r="K33" s="159">
        <f t="shared" si="1"/>
        <v>0</v>
      </c>
    </row>
    <row r="34" spans="1:11" ht="18" customHeight="1">
      <c r="A34" s="151" t="s">
        <v>136</v>
      </c>
      <c r="B34" s="898"/>
      <c r="C34" s="899"/>
      <c r="D34" s="900"/>
      <c r="F34" s="156"/>
      <c r="G34" s="160" t="s">
        <v>85</v>
      </c>
      <c r="H34" s="157"/>
      <c r="I34" s="158">
        <f t="shared" si="0"/>
        <v>0</v>
      </c>
      <c r="J34" s="157"/>
      <c r="K34" s="159">
        <f t="shared" si="1"/>
        <v>0</v>
      </c>
    </row>
    <row r="35" spans="1:11" ht="18" customHeight="1">
      <c r="K35" s="161"/>
    </row>
    <row r="36" spans="1:11" ht="18" customHeight="1">
      <c r="A36" s="154" t="s">
        <v>137</v>
      </c>
      <c r="B36" s="150" t="s">
        <v>138</v>
      </c>
      <c r="E36" s="150" t="s">
        <v>7</v>
      </c>
      <c r="F36" s="162">
        <f t="shared" ref="F36:K36" si="2">SUM(F21:F34)</f>
        <v>47790</v>
      </c>
      <c r="G36" s="162">
        <f t="shared" si="2"/>
        <v>15325</v>
      </c>
      <c r="H36" s="162">
        <f t="shared" si="2"/>
        <v>2397464</v>
      </c>
      <c r="I36" s="159">
        <f t="shared" si="2"/>
        <v>1503209.9280000001</v>
      </c>
      <c r="J36" s="159">
        <f t="shared" si="2"/>
        <v>1059199</v>
      </c>
      <c r="K36" s="159">
        <f t="shared" si="2"/>
        <v>2841474.9279999998</v>
      </c>
    </row>
    <row r="37" spans="1:11" ht="18" customHeight="1" thickBot="1">
      <c r="B37" s="150"/>
      <c r="F37" s="163"/>
      <c r="G37" s="163"/>
      <c r="H37" s="164"/>
      <c r="I37" s="164"/>
      <c r="J37" s="164"/>
      <c r="K37" s="165"/>
    </row>
    <row r="38" spans="1:11" ht="42.75" customHeight="1">
      <c r="F38" s="153" t="s">
        <v>9</v>
      </c>
      <c r="G38" s="153" t="s">
        <v>37</v>
      </c>
      <c r="H38" s="153" t="s">
        <v>29</v>
      </c>
      <c r="I38" s="153" t="s">
        <v>30</v>
      </c>
      <c r="J38" s="153" t="s">
        <v>33</v>
      </c>
      <c r="K38" s="153" t="s">
        <v>34</v>
      </c>
    </row>
    <row r="39" spans="1:11" ht="18.75" customHeight="1">
      <c r="A39" s="154" t="s">
        <v>86</v>
      </c>
      <c r="B39" s="150" t="s">
        <v>49</v>
      </c>
    </row>
    <row r="40" spans="1:11" ht="18" customHeight="1">
      <c r="A40" s="151" t="s">
        <v>87</v>
      </c>
      <c r="B40" s="147" t="s">
        <v>31</v>
      </c>
      <c r="F40" s="156">
        <v>386994</v>
      </c>
      <c r="G40" s="156"/>
      <c r="H40" s="157">
        <v>13110326</v>
      </c>
      <c r="I40" s="158">
        <f>H40*F$114</f>
        <v>8220174.4019999998</v>
      </c>
      <c r="J40" s="157"/>
      <c r="K40" s="159">
        <f t="shared" ref="K40:K47" si="3">(H40+I40)-J40</f>
        <v>21330500.401999999</v>
      </c>
    </row>
    <row r="41" spans="1:11" ht="18" customHeight="1">
      <c r="A41" s="151" t="s">
        <v>88</v>
      </c>
      <c r="B41" s="904" t="s">
        <v>50</v>
      </c>
      <c r="C41" s="907"/>
      <c r="F41" s="156">
        <v>7870</v>
      </c>
      <c r="G41" s="156"/>
      <c r="H41" s="157">
        <v>485393</v>
      </c>
      <c r="I41" s="158">
        <f>H41*F$114</f>
        <v>304341.41100000002</v>
      </c>
      <c r="J41" s="157"/>
      <c r="K41" s="159">
        <f t="shared" si="3"/>
        <v>789734.41100000008</v>
      </c>
    </row>
    <row r="42" spans="1:11" ht="18" customHeight="1">
      <c r="A42" s="151" t="s">
        <v>89</v>
      </c>
      <c r="B42" s="155" t="s">
        <v>11</v>
      </c>
      <c r="F42" s="156">
        <v>14493</v>
      </c>
      <c r="G42" s="156"/>
      <c r="H42" s="157">
        <v>469317</v>
      </c>
      <c r="I42" s="158">
        <f>H42*F$114</f>
        <v>294261.75900000002</v>
      </c>
      <c r="J42" s="157">
        <v>106835</v>
      </c>
      <c r="K42" s="159">
        <f t="shared" si="3"/>
        <v>656743.75900000008</v>
      </c>
    </row>
    <row r="43" spans="1:11" ht="18" customHeight="1">
      <c r="A43" s="151" t="s">
        <v>90</v>
      </c>
      <c r="B43" s="166" t="s">
        <v>10</v>
      </c>
      <c r="C43" s="167"/>
      <c r="D43" s="167"/>
      <c r="F43" s="156"/>
      <c r="G43" s="156"/>
      <c r="H43" s="157"/>
      <c r="I43" s="158">
        <v>0</v>
      </c>
      <c r="J43" s="157"/>
      <c r="K43" s="159">
        <f t="shared" si="3"/>
        <v>0</v>
      </c>
    </row>
    <row r="44" spans="1:11" ht="18" customHeight="1">
      <c r="A44" s="151" t="s">
        <v>91</v>
      </c>
      <c r="B44" s="898"/>
      <c r="C44" s="899"/>
      <c r="D44" s="900"/>
      <c r="F44" s="168"/>
      <c r="G44" s="168"/>
      <c r="H44" s="168"/>
      <c r="I44" s="169">
        <v>0</v>
      </c>
      <c r="J44" s="168"/>
      <c r="K44" s="170">
        <f t="shared" si="3"/>
        <v>0</v>
      </c>
    </row>
    <row r="45" spans="1:11" ht="18" customHeight="1">
      <c r="A45" s="151" t="s">
        <v>139</v>
      </c>
      <c r="B45" s="898"/>
      <c r="C45" s="899"/>
      <c r="D45" s="900"/>
      <c r="F45" s="156"/>
      <c r="G45" s="156"/>
      <c r="H45" s="157"/>
      <c r="I45" s="158">
        <v>0</v>
      </c>
      <c r="J45" s="157"/>
      <c r="K45" s="159">
        <f t="shared" si="3"/>
        <v>0</v>
      </c>
    </row>
    <row r="46" spans="1:11" ht="18" customHeight="1">
      <c r="A46" s="151" t="s">
        <v>140</v>
      </c>
      <c r="B46" s="898"/>
      <c r="C46" s="899"/>
      <c r="D46" s="900"/>
      <c r="F46" s="156"/>
      <c r="G46" s="156"/>
      <c r="H46" s="157"/>
      <c r="I46" s="158">
        <v>0</v>
      </c>
      <c r="J46" s="157"/>
      <c r="K46" s="159">
        <f t="shared" si="3"/>
        <v>0</v>
      </c>
    </row>
    <row r="47" spans="1:11" ht="18" customHeight="1">
      <c r="A47" s="151" t="s">
        <v>141</v>
      </c>
      <c r="B47" s="898"/>
      <c r="C47" s="899"/>
      <c r="D47" s="900"/>
      <c r="F47" s="156"/>
      <c r="G47" s="156"/>
      <c r="H47" s="157"/>
      <c r="I47" s="158">
        <v>0</v>
      </c>
      <c r="J47" s="157"/>
      <c r="K47" s="159">
        <f t="shared" si="3"/>
        <v>0</v>
      </c>
    </row>
    <row r="49" spans="1:11" ht="18" customHeight="1">
      <c r="A49" s="154" t="s">
        <v>142</v>
      </c>
      <c r="B49" s="150" t="s">
        <v>143</v>
      </c>
      <c r="E49" s="150" t="s">
        <v>7</v>
      </c>
      <c r="F49" s="171">
        <f t="shared" ref="F49:K49" si="4">SUM(F40:F47)</f>
        <v>409357</v>
      </c>
      <c r="G49" s="171">
        <f t="shared" si="4"/>
        <v>0</v>
      </c>
      <c r="H49" s="159">
        <f t="shared" si="4"/>
        <v>14065036</v>
      </c>
      <c r="I49" s="159">
        <f t="shared" si="4"/>
        <v>8818777.5719999988</v>
      </c>
      <c r="J49" s="159">
        <f t="shared" si="4"/>
        <v>106835</v>
      </c>
      <c r="K49" s="159">
        <f t="shared" si="4"/>
        <v>22776978.571999997</v>
      </c>
    </row>
    <row r="50" spans="1:11" ht="18" customHeight="1" thickBot="1">
      <c r="G50" s="172"/>
      <c r="H50" s="172"/>
      <c r="I50" s="172"/>
      <c r="J50" s="172"/>
      <c r="K50" s="172"/>
    </row>
    <row r="51" spans="1:11" ht="42.75" customHeight="1">
      <c r="F51" s="153" t="s">
        <v>9</v>
      </c>
      <c r="G51" s="153" t="s">
        <v>37</v>
      </c>
      <c r="H51" s="153" t="s">
        <v>29</v>
      </c>
      <c r="I51" s="153" t="s">
        <v>30</v>
      </c>
      <c r="J51" s="153" t="s">
        <v>33</v>
      </c>
      <c r="K51" s="153" t="s">
        <v>34</v>
      </c>
    </row>
    <row r="52" spans="1:11" ht="18" customHeight="1">
      <c r="A52" s="154" t="s">
        <v>92</v>
      </c>
      <c r="B52" s="905" t="s">
        <v>38</v>
      </c>
      <c r="C52" s="906"/>
    </row>
    <row r="53" spans="1:11" ht="18" customHeight="1">
      <c r="A53" s="151" t="s">
        <v>51</v>
      </c>
      <c r="B53" s="908" t="s">
        <v>533</v>
      </c>
      <c r="C53" s="909"/>
      <c r="D53" s="903"/>
      <c r="F53" s="156"/>
      <c r="G53" s="156"/>
      <c r="H53" s="157">
        <v>4288460</v>
      </c>
      <c r="I53" s="158">
        <f t="shared" ref="I53:I59" si="5">H53*F$114</f>
        <v>2688864.42</v>
      </c>
      <c r="J53" s="157"/>
      <c r="K53" s="159">
        <f t="shared" ref="K53:K62" si="6">(H53+I53)-J53</f>
        <v>6977324.4199999999</v>
      </c>
    </row>
    <row r="54" spans="1:11" ht="18" customHeight="1">
      <c r="A54" s="151" t="s">
        <v>93</v>
      </c>
      <c r="B54" s="396" t="s">
        <v>588</v>
      </c>
      <c r="C54" s="397"/>
      <c r="D54" s="392"/>
      <c r="F54" s="156"/>
      <c r="G54" s="156"/>
      <c r="H54" s="157">
        <v>54107</v>
      </c>
      <c r="I54" s="158">
        <f t="shared" si="5"/>
        <v>33925.089</v>
      </c>
      <c r="J54" s="157"/>
      <c r="K54" s="159">
        <f t="shared" si="6"/>
        <v>88032.089000000007</v>
      </c>
    </row>
    <row r="55" spans="1:11" ht="18" customHeight="1">
      <c r="A55" s="151" t="s">
        <v>94</v>
      </c>
      <c r="B55" s="901" t="s">
        <v>534</v>
      </c>
      <c r="C55" s="902"/>
      <c r="D55" s="903"/>
      <c r="F55" s="156"/>
      <c r="G55" s="156"/>
      <c r="H55" s="157">
        <v>337500</v>
      </c>
      <c r="I55" s="158">
        <f t="shared" si="5"/>
        <v>211612.5</v>
      </c>
      <c r="J55" s="157"/>
      <c r="K55" s="159">
        <f t="shared" si="6"/>
        <v>549112.5</v>
      </c>
    </row>
    <row r="56" spans="1:11" ht="18" customHeight="1">
      <c r="A56" s="151" t="s">
        <v>95</v>
      </c>
      <c r="B56" s="901" t="s">
        <v>536</v>
      </c>
      <c r="C56" s="902"/>
      <c r="D56" s="903"/>
      <c r="F56" s="156"/>
      <c r="G56" s="156"/>
      <c r="H56" s="157">
        <v>315231</v>
      </c>
      <c r="I56" s="158">
        <f t="shared" si="5"/>
        <v>197649.837</v>
      </c>
      <c r="J56" s="157"/>
      <c r="K56" s="159">
        <f t="shared" si="6"/>
        <v>512880.837</v>
      </c>
    </row>
    <row r="57" spans="1:11" ht="18" customHeight="1">
      <c r="A57" s="151" t="s">
        <v>96</v>
      </c>
      <c r="B57" s="901" t="s">
        <v>589</v>
      </c>
      <c r="C57" s="902"/>
      <c r="D57" s="903"/>
      <c r="F57" s="156"/>
      <c r="G57" s="156"/>
      <c r="H57" s="157">
        <v>588157</v>
      </c>
      <c r="I57" s="158">
        <f t="shared" si="5"/>
        <v>368774.43900000001</v>
      </c>
      <c r="J57" s="157"/>
      <c r="K57" s="159">
        <f t="shared" si="6"/>
        <v>956931.43900000001</v>
      </c>
    </row>
    <row r="58" spans="1:11" ht="18" customHeight="1">
      <c r="A58" s="151" t="s">
        <v>97</v>
      </c>
      <c r="B58" s="396" t="s">
        <v>590</v>
      </c>
      <c r="C58" s="397"/>
      <c r="D58" s="392"/>
      <c r="F58" s="156"/>
      <c r="G58" s="156"/>
      <c r="H58" s="157">
        <v>1351553</v>
      </c>
      <c r="I58" s="158">
        <f t="shared" si="5"/>
        <v>847423.73100000003</v>
      </c>
      <c r="J58" s="157"/>
      <c r="K58" s="159">
        <f t="shared" si="6"/>
        <v>2198976.7310000001</v>
      </c>
    </row>
    <row r="59" spans="1:11" ht="18" customHeight="1">
      <c r="A59" s="151" t="s">
        <v>98</v>
      </c>
      <c r="B59" s="901" t="s">
        <v>591</v>
      </c>
      <c r="C59" s="902"/>
      <c r="D59" s="903"/>
      <c r="F59" s="156">
        <v>17906</v>
      </c>
      <c r="G59" s="156"/>
      <c r="H59" s="157">
        <v>2931155</v>
      </c>
      <c r="I59" s="158">
        <f t="shared" si="5"/>
        <v>1837834.1850000001</v>
      </c>
      <c r="J59" s="157">
        <v>562062</v>
      </c>
      <c r="K59" s="159">
        <f t="shared" si="6"/>
        <v>4206927.1850000005</v>
      </c>
    </row>
    <row r="60" spans="1:11" ht="18" customHeight="1">
      <c r="A60" s="151" t="s">
        <v>99</v>
      </c>
      <c r="B60" s="396"/>
      <c r="C60" s="397"/>
      <c r="D60" s="392"/>
      <c r="F60" s="156"/>
      <c r="G60" s="156"/>
      <c r="H60" s="157"/>
      <c r="I60" s="158">
        <v>0</v>
      </c>
      <c r="J60" s="157"/>
      <c r="K60" s="159">
        <f t="shared" si="6"/>
        <v>0</v>
      </c>
    </row>
    <row r="61" spans="1:11" ht="18" customHeight="1">
      <c r="A61" s="151" t="s">
        <v>100</v>
      </c>
      <c r="B61" s="396"/>
      <c r="C61" s="397"/>
      <c r="D61" s="392"/>
      <c r="F61" s="156"/>
      <c r="G61" s="156"/>
      <c r="H61" s="157"/>
      <c r="I61" s="158">
        <v>0</v>
      </c>
      <c r="J61" s="157"/>
      <c r="K61" s="159">
        <f t="shared" si="6"/>
        <v>0</v>
      </c>
    </row>
    <row r="62" spans="1:11" ht="18" customHeight="1">
      <c r="A62" s="151" t="s">
        <v>101</v>
      </c>
      <c r="B62" s="901"/>
      <c r="C62" s="902"/>
      <c r="D62" s="903"/>
      <c r="F62" s="156"/>
      <c r="G62" s="156"/>
      <c r="H62" s="157"/>
      <c r="I62" s="158">
        <v>0</v>
      </c>
      <c r="J62" s="157"/>
      <c r="K62" s="159">
        <f t="shared" si="6"/>
        <v>0</v>
      </c>
    </row>
    <row r="63" spans="1:11" ht="18" customHeight="1">
      <c r="A63" s="151"/>
      <c r="I63" s="173"/>
    </row>
    <row r="64" spans="1:11" ht="18" customHeight="1">
      <c r="A64" s="151" t="s">
        <v>144</v>
      </c>
      <c r="B64" s="150" t="s">
        <v>145</v>
      </c>
      <c r="E64" s="150" t="s">
        <v>7</v>
      </c>
      <c r="F64" s="162">
        <f t="shared" ref="F64:K64" si="7">SUM(F53:F62)</f>
        <v>17906</v>
      </c>
      <c r="G64" s="162">
        <f t="shared" si="7"/>
        <v>0</v>
      </c>
      <c r="H64" s="159">
        <f t="shared" si="7"/>
        <v>9866163</v>
      </c>
      <c r="I64" s="159">
        <f t="shared" si="7"/>
        <v>6186084.2009999994</v>
      </c>
      <c r="J64" s="159">
        <f t="shared" si="7"/>
        <v>562062</v>
      </c>
      <c r="K64" s="159">
        <f t="shared" si="7"/>
        <v>15490185.201000001</v>
      </c>
    </row>
    <row r="65" spans="1:11" ht="18" customHeight="1">
      <c r="F65" s="174"/>
      <c r="G65" s="174"/>
      <c r="H65" s="174"/>
      <c r="I65" s="174"/>
      <c r="J65" s="174"/>
      <c r="K65" s="174"/>
    </row>
    <row r="66" spans="1:11" ht="42.75" customHeight="1">
      <c r="F66" s="175" t="s">
        <v>9</v>
      </c>
      <c r="G66" s="175" t="s">
        <v>37</v>
      </c>
      <c r="H66" s="175" t="s">
        <v>29</v>
      </c>
      <c r="I66" s="175" t="s">
        <v>30</v>
      </c>
      <c r="J66" s="175" t="s">
        <v>33</v>
      </c>
      <c r="K66" s="175" t="s">
        <v>34</v>
      </c>
    </row>
    <row r="67" spans="1:11" ht="18" customHeight="1">
      <c r="A67" s="154" t="s">
        <v>102</v>
      </c>
      <c r="B67" s="150" t="s">
        <v>12</v>
      </c>
      <c r="F67" s="176"/>
      <c r="G67" s="176"/>
      <c r="H67" s="176"/>
      <c r="I67" s="177"/>
      <c r="J67" s="176"/>
      <c r="K67" s="178"/>
    </row>
    <row r="68" spans="1:11" ht="18" customHeight="1">
      <c r="A68" s="151" t="s">
        <v>103</v>
      </c>
      <c r="B68" s="147" t="s">
        <v>52</v>
      </c>
      <c r="F68" s="179">
        <v>3141</v>
      </c>
      <c r="G68" s="179"/>
      <c r="H68" s="179">
        <v>626028</v>
      </c>
      <c r="I68" s="158">
        <f>H68*F$114</f>
        <v>392519.55599999998</v>
      </c>
      <c r="J68" s="179"/>
      <c r="K68" s="159">
        <f>(H68+I68)-J68</f>
        <v>1018547.556</v>
      </c>
    </row>
    <row r="69" spans="1:11" ht="18" customHeight="1">
      <c r="A69" s="151" t="s">
        <v>104</v>
      </c>
      <c r="B69" s="155" t="s">
        <v>53</v>
      </c>
      <c r="F69" s="179"/>
      <c r="G69" s="179"/>
      <c r="H69" s="179"/>
      <c r="I69" s="158">
        <v>0</v>
      </c>
      <c r="J69" s="179"/>
      <c r="K69" s="159">
        <f>(H69+I69)-J69</f>
        <v>0</v>
      </c>
    </row>
    <row r="70" spans="1:11" ht="18" customHeight="1">
      <c r="A70" s="151" t="s">
        <v>178</v>
      </c>
      <c r="B70" s="396"/>
      <c r="C70" s="397"/>
      <c r="D70" s="392"/>
      <c r="E70" s="150"/>
      <c r="F70" s="180"/>
      <c r="G70" s="180"/>
      <c r="H70" s="181"/>
      <c r="I70" s="158">
        <v>0</v>
      </c>
      <c r="J70" s="181"/>
      <c r="K70" s="159">
        <f>(H70+I70)-J70</f>
        <v>0</v>
      </c>
    </row>
    <row r="71" spans="1:11" ht="18" customHeight="1">
      <c r="A71" s="151" t="s">
        <v>179</v>
      </c>
      <c r="B71" s="396"/>
      <c r="C71" s="397"/>
      <c r="D71" s="392"/>
      <c r="E71" s="150"/>
      <c r="F71" s="180"/>
      <c r="G71" s="180"/>
      <c r="H71" s="181"/>
      <c r="I71" s="158">
        <v>0</v>
      </c>
      <c r="J71" s="181"/>
      <c r="K71" s="159">
        <f>(H71+I71)-J71</f>
        <v>0</v>
      </c>
    </row>
    <row r="72" spans="1:11" ht="18" customHeight="1">
      <c r="A72" s="151" t="s">
        <v>180</v>
      </c>
      <c r="B72" s="390"/>
      <c r="C72" s="391"/>
      <c r="D72" s="182"/>
      <c r="E72" s="150"/>
      <c r="F72" s="156"/>
      <c r="G72" s="156"/>
      <c r="H72" s="157"/>
      <c r="I72" s="158">
        <v>0</v>
      </c>
      <c r="J72" s="157"/>
      <c r="K72" s="159">
        <f>(H72+I72)-J72</f>
        <v>0</v>
      </c>
    </row>
    <row r="73" spans="1:11" ht="18" customHeight="1">
      <c r="A73" s="151"/>
      <c r="B73" s="155"/>
      <c r="E73" s="150"/>
      <c r="F73" s="183"/>
      <c r="G73" s="183"/>
      <c r="H73" s="184"/>
      <c r="I73" s="177"/>
      <c r="J73" s="184"/>
      <c r="K73" s="178"/>
    </row>
    <row r="74" spans="1:11" ht="18" customHeight="1">
      <c r="A74" s="154" t="s">
        <v>146</v>
      </c>
      <c r="B74" s="150" t="s">
        <v>147</v>
      </c>
      <c r="E74" s="150" t="s">
        <v>7</v>
      </c>
      <c r="F74" s="185">
        <f t="shared" ref="F74:K74" si="8">SUM(F68:F72)</f>
        <v>3141</v>
      </c>
      <c r="G74" s="185">
        <f t="shared" si="8"/>
        <v>0</v>
      </c>
      <c r="H74" s="185">
        <f t="shared" si="8"/>
        <v>626028</v>
      </c>
      <c r="I74" s="186">
        <f t="shared" si="8"/>
        <v>392519.55599999998</v>
      </c>
      <c r="J74" s="185">
        <f t="shared" si="8"/>
        <v>0</v>
      </c>
      <c r="K74" s="187">
        <f t="shared" si="8"/>
        <v>1018547.556</v>
      </c>
    </row>
    <row r="75" spans="1:11" ht="42.75" customHeight="1">
      <c r="F75" s="153" t="s">
        <v>9</v>
      </c>
      <c r="G75" s="153" t="s">
        <v>37</v>
      </c>
      <c r="H75" s="153" t="s">
        <v>29</v>
      </c>
      <c r="I75" s="153" t="s">
        <v>30</v>
      </c>
      <c r="J75" s="153" t="s">
        <v>33</v>
      </c>
      <c r="K75" s="153" t="s">
        <v>34</v>
      </c>
    </row>
    <row r="76" spans="1:11" ht="18" customHeight="1">
      <c r="A76" s="154" t="s">
        <v>105</v>
      </c>
      <c r="B76" s="150" t="s">
        <v>106</v>
      </c>
    </row>
    <row r="77" spans="1:11" ht="18" customHeight="1">
      <c r="A77" s="151" t="s">
        <v>107</v>
      </c>
      <c r="B77" s="155" t="s">
        <v>54</v>
      </c>
      <c r="F77" s="156"/>
      <c r="G77" s="156"/>
      <c r="H77" s="157">
        <v>173809</v>
      </c>
      <c r="I77" s="158">
        <v>0</v>
      </c>
      <c r="J77" s="157"/>
      <c r="K77" s="159">
        <f>(H77+I77)-J77</f>
        <v>173809</v>
      </c>
    </row>
    <row r="78" spans="1:11" ht="18" customHeight="1">
      <c r="A78" s="151" t="s">
        <v>108</v>
      </c>
      <c r="B78" s="155" t="s">
        <v>55</v>
      </c>
      <c r="F78" s="156"/>
      <c r="G78" s="156"/>
      <c r="H78" s="157">
        <v>14670</v>
      </c>
      <c r="I78" s="158">
        <v>0</v>
      </c>
      <c r="J78" s="157"/>
      <c r="K78" s="159">
        <f>(H78+I78)-J78</f>
        <v>14670</v>
      </c>
    </row>
    <row r="79" spans="1:11" ht="18" customHeight="1">
      <c r="A79" s="151" t="s">
        <v>109</v>
      </c>
      <c r="B79" s="155" t="s">
        <v>13</v>
      </c>
      <c r="F79" s="156"/>
      <c r="G79" s="156"/>
      <c r="H79" s="157">
        <v>223942</v>
      </c>
      <c r="I79" s="158">
        <v>0</v>
      </c>
      <c r="J79" s="157"/>
      <c r="K79" s="159">
        <f>(H79+I79)-J79</f>
        <v>223942</v>
      </c>
    </row>
    <row r="80" spans="1:11" ht="18" customHeight="1">
      <c r="A80" s="151" t="s">
        <v>110</v>
      </c>
      <c r="B80" s="155" t="s">
        <v>56</v>
      </c>
      <c r="F80" s="156"/>
      <c r="G80" s="156"/>
      <c r="H80" s="157"/>
      <c r="I80" s="158">
        <v>0</v>
      </c>
      <c r="J80" s="157"/>
      <c r="K80" s="159">
        <f>(H80+I80)-J80</f>
        <v>0</v>
      </c>
    </row>
    <row r="81" spans="1:11" ht="18" customHeight="1">
      <c r="A81" s="151"/>
      <c r="K81" s="188"/>
    </row>
    <row r="82" spans="1:11" ht="18" customHeight="1">
      <c r="A82" s="151" t="s">
        <v>148</v>
      </c>
      <c r="B82" s="150" t="s">
        <v>149</v>
      </c>
      <c r="E82" s="150" t="s">
        <v>7</v>
      </c>
      <c r="F82" s="185">
        <f t="shared" ref="F82:K82" si="9">SUM(F77:F80)</f>
        <v>0</v>
      </c>
      <c r="G82" s="185">
        <f t="shared" si="9"/>
        <v>0</v>
      </c>
      <c r="H82" s="187">
        <f t="shared" si="9"/>
        <v>412421</v>
      </c>
      <c r="I82" s="187">
        <f t="shared" si="9"/>
        <v>0</v>
      </c>
      <c r="J82" s="187">
        <f t="shared" si="9"/>
        <v>0</v>
      </c>
      <c r="K82" s="187">
        <f t="shared" si="9"/>
        <v>412421</v>
      </c>
    </row>
    <row r="83" spans="1:11" ht="18" customHeight="1" thickBot="1">
      <c r="A83" s="151"/>
      <c r="F83" s="172"/>
      <c r="G83" s="172"/>
      <c r="H83" s="172"/>
      <c r="I83" s="172"/>
      <c r="J83" s="172"/>
      <c r="K83" s="172"/>
    </row>
    <row r="84" spans="1:11" ht="42.75" customHeight="1">
      <c r="F84" s="153" t="s">
        <v>9</v>
      </c>
      <c r="G84" s="153" t="s">
        <v>37</v>
      </c>
      <c r="H84" s="153" t="s">
        <v>29</v>
      </c>
      <c r="I84" s="153" t="s">
        <v>30</v>
      </c>
      <c r="J84" s="153" t="s">
        <v>33</v>
      </c>
      <c r="K84" s="153" t="s">
        <v>34</v>
      </c>
    </row>
    <row r="85" spans="1:11" ht="18" customHeight="1">
      <c r="A85" s="154" t="s">
        <v>111</v>
      </c>
      <c r="B85" s="150" t="s">
        <v>57</v>
      </c>
    </row>
    <row r="86" spans="1:11" ht="18" customHeight="1">
      <c r="A86" s="151" t="s">
        <v>112</v>
      </c>
      <c r="B86" s="155" t="s">
        <v>113</v>
      </c>
      <c r="F86" s="156"/>
      <c r="G86" s="156"/>
      <c r="H86" s="157"/>
      <c r="I86" s="158">
        <f t="shared" ref="I86:I96" si="10">H86*F$114</f>
        <v>0</v>
      </c>
      <c r="J86" s="157"/>
      <c r="K86" s="159">
        <f t="shared" ref="K86:K96" si="11">(H86+I86)-J86</f>
        <v>0</v>
      </c>
    </row>
    <row r="87" spans="1:11" ht="18" customHeight="1">
      <c r="A87" s="151" t="s">
        <v>114</v>
      </c>
      <c r="B87" s="155" t="s">
        <v>14</v>
      </c>
      <c r="F87" s="156"/>
      <c r="G87" s="156"/>
      <c r="H87" s="157"/>
      <c r="I87" s="158">
        <f t="shared" si="10"/>
        <v>0</v>
      </c>
      <c r="J87" s="157"/>
      <c r="K87" s="159">
        <f t="shared" si="11"/>
        <v>0</v>
      </c>
    </row>
    <row r="88" spans="1:11" ht="18" customHeight="1">
      <c r="A88" s="151" t="s">
        <v>115</v>
      </c>
      <c r="B88" s="155" t="s">
        <v>116</v>
      </c>
      <c r="F88" s="156"/>
      <c r="G88" s="156"/>
      <c r="H88" s="157"/>
      <c r="I88" s="158">
        <f t="shared" si="10"/>
        <v>0</v>
      </c>
      <c r="J88" s="157"/>
      <c r="K88" s="159">
        <f t="shared" si="11"/>
        <v>0</v>
      </c>
    </row>
    <row r="89" spans="1:11" ht="18" customHeight="1">
      <c r="A89" s="151" t="s">
        <v>117</v>
      </c>
      <c r="B89" s="155" t="s">
        <v>58</v>
      </c>
      <c r="F89" s="156"/>
      <c r="G89" s="156"/>
      <c r="H89" s="157"/>
      <c r="I89" s="158">
        <f t="shared" si="10"/>
        <v>0</v>
      </c>
      <c r="J89" s="157"/>
      <c r="K89" s="159">
        <f t="shared" si="11"/>
        <v>0</v>
      </c>
    </row>
    <row r="90" spans="1:11" ht="18" customHeight="1">
      <c r="A90" s="151" t="s">
        <v>118</v>
      </c>
      <c r="B90" s="904" t="s">
        <v>59</v>
      </c>
      <c r="C90" s="907"/>
      <c r="F90" s="156"/>
      <c r="G90" s="156"/>
      <c r="H90" s="157"/>
      <c r="I90" s="158">
        <f t="shared" si="10"/>
        <v>0</v>
      </c>
      <c r="J90" s="157"/>
      <c r="K90" s="159">
        <f t="shared" si="11"/>
        <v>0</v>
      </c>
    </row>
    <row r="91" spans="1:11" ht="18" customHeight="1">
      <c r="A91" s="151" t="s">
        <v>119</v>
      </c>
      <c r="B91" s="155" t="s">
        <v>60</v>
      </c>
      <c r="F91" s="156">
        <v>2375</v>
      </c>
      <c r="G91" s="156"/>
      <c r="H91" s="157">
        <v>77236</v>
      </c>
      <c r="I91" s="158">
        <f t="shared" si="10"/>
        <v>48426.972000000002</v>
      </c>
      <c r="J91" s="157">
        <v>76784</v>
      </c>
      <c r="K91" s="159">
        <f t="shared" si="11"/>
        <v>48878.972000000009</v>
      </c>
    </row>
    <row r="92" spans="1:11" ht="18" customHeight="1">
      <c r="A92" s="151" t="s">
        <v>120</v>
      </c>
      <c r="B92" s="155" t="s">
        <v>121</v>
      </c>
      <c r="F92" s="189"/>
      <c r="G92" s="189"/>
      <c r="H92" s="190"/>
      <c r="I92" s="158">
        <f t="shared" si="10"/>
        <v>0</v>
      </c>
      <c r="J92" s="190"/>
      <c r="K92" s="159">
        <f t="shared" si="11"/>
        <v>0</v>
      </c>
    </row>
    <row r="93" spans="1:11" ht="18" customHeight="1">
      <c r="A93" s="151" t="s">
        <v>122</v>
      </c>
      <c r="B93" s="155" t="s">
        <v>123</v>
      </c>
      <c r="F93" s="156">
        <v>6945</v>
      </c>
      <c r="G93" s="156"/>
      <c r="H93" s="157">
        <v>376527</v>
      </c>
      <c r="I93" s="158">
        <f t="shared" si="10"/>
        <v>236082.429</v>
      </c>
      <c r="J93" s="157">
        <v>274035</v>
      </c>
      <c r="K93" s="159">
        <f t="shared" si="11"/>
        <v>338574.429</v>
      </c>
    </row>
    <row r="94" spans="1:11" ht="18" customHeight="1">
      <c r="A94" s="151" t="s">
        <v>124</v>
      </c>
      <c r="B94" s="901"/>
      <c r="C94" s="902"/>
      <c r="D94" s="903"/>
      <c r="F94" s="156"/>
      <c r="G94" s="156"/>
      <c r="H94" s="157"/>
      <c r="I94" s="158">
        <f t="shared" si="10"/>
        <v>0</v>
      </c>
      <c r="J94" s="157"/>
      <c r="K94" s="159">
        <f t="shared" si="11"/>
        <v>0</v>
      </c>
    </row>
    <row r="95" spans="1:11" ht="18" customHeight="1">
      <c r="A95" s="151" t="s">
        <v>125</v>
      </c>
      <c r="B95" s="901"/>
      <c r="C95" s="902"/>
      <c r="D95" s="903"/>
      <c r="F95" s="156"/>
      <c r="G95" s="156"/>
      <c r="H95" s="157"/>
      <c r="I95" s="158">
        <f t="shared" si="10"/>
        <v>0</v>
      </c>
      <c r="J95" s="157"/>
      <c r="K95" s="159">
        <f t="shared" si="11"/>
        <v>0</v>
      </c>
    </row>
    <row r="96" spans="1:11" ht="18" customHeight="1">
      <c r="A96" s="151" t="s">
        <v>126</v>
      </c>
      <c r="B96" s="901"/>
      <c r="C96" s="902"/>
      <c r="D96" s="903"/>
      <c r="F96" s="156"/>
      <c r="G96" s="156"/>
      <c r="H96" s="157"/>
      <c r="I96" s="158">
        <f t="shared" si="10"/>
        <v>0</v>
      </c>
      <c r="J96" s="157"/>
      <c r="K96" s="159">
        <f t="shared" si="11"/>
        <v>0</v>
      </c>
    </row>
    <row r="97" spans="1:11" ht="18" customHeight="1">
      <c r="A97" s="151"/>
      <c r="B97" s="155"/>
    </row>
    <row r="98" spans="1:11" ht="18" customHeight="1">
      <c r="A98" s="154" t="s">
        <v>150</v>
      </c>
      <c r="B98" s="150" t="s">
        <v>151</v>
      </c>
      <c r="E98" s="150" t="s">
        <v>7</v>
      </c>
      <c r="F98" s="162">
        <f t="shared" ref="F98:K98" si="12">SUM(F86:F96)</f>
        <v>9320</v>
      </c>
      <c r="G98" s="162">
        <f t="shared" si="12"/>
        <v>0</v>
      </c>
      <c r="H98" s="162">
        <f t="shared" si="12"/>
        <v>453763</v>
      </c>
      <c r="I98" s="162">
        <f t="shared" si="12"/>
        <v>284509.40100000001</v>
      </c>
      <c r="J98" s="162">
        <f t="shared" si="12"/>
        <v>350819</v>
      </c>
      <c r="K98" s="162">
        <f t="shared" si="12"/>
        <v>387453.40100000001</v>
      </c>
    </row>
    <row r="99" spans="1:11" ht="18" customHeight="1" thickBot="1">
      <c r="B99" s="150"/>
      <c r="F99" s="172"/>
      <c r="G99" s="172"/>
      <c r="H99" s="172"/>
      <c r="I99" s="172"/>
      <c r="J99" s="172"/>
      <c r="K99" s="172"/>
    </row>
    <row r="100" spans="1:11" ht="42.75" customHeight="1">
      <c r="F100" s="153" t="s">
        <v>9</v>
      </c>
      <c r="G100" s="153" t="s">
        <v>37</v>
      </c>
      <c r="H100" s="153" t="s">
        <v>29</v>
      </c>
      <c r="I100" s="153" t="s">
        <v>30</v>
      </c>
      <c r="J100" s="153" t="s">
        <v>33</v>
      </c>
      <c r="K100" s="153" t="s">
        <v>34</v>
      </c>
    </row>
    <row r="101" spans="1:11" ht="18" customHeight="1">
      <c r="A101" s="154" t="s">
        <v>130</v>
      </c>
      <c r="B101" s="150" t="s">
        <v>63</v>
      </c>
    </row>
    <row r="102" spans="1:11" ht="18" customHeight="1">
      <c r="A102" s="151" t="s">
        <v>131</v>
      </c>
      <c r="B102" s="155" t="s">
        <v>152</v>
      </c>
      <c r="F102" s="156">
        <v>6083</v>
      </c>
      <c r="G102" s="156"/>
      <c r="H102" s="157">
        <v>264773</v>
      </c>
      <c r="I102" s="158">
        <f>H102*F$114</f>
        <v>166012.671</v>
      </c>
      <c r="J102" s="157"/>
      <c r="K102" s="159">
        <f>(H102+I102)-J102</f>
        <v>430785.67099999997</v>
      </c>
    </row>
    <row r="103" spans="1:11" ht="18" customHeight="1">
      <c r="A103" s="151" t="s">
        <v>132</v>
      </c>
      <c r="B103" s="904" t="s">
        <v>62</v>
      </c>
      <c r="C103" s="904"/>
      <c r="F103" s="156"/>
      <c r="G103" s="156"/>
      <c r="H103" s="157"/>
      <c r="I103" s="158">
        <f>H103*F$114</f>
        <v>0</v>
      </c>
      <c r="J103" s="157"/>
      <c r="K103" s="159">
        <f>(H103+I103)-J103</f>
        <v>0</v>
      </c>
    </row>
    <row r="104" spans="1:11" ht="18" customHeight="1">
      <c r="A104" s="151" t="s">
        <v>128</v>
      </c>
      <c r="B104" s="901" t="s">
        <v>592</v>
      </c>
      <c r="C104" s="902"/>
      <c r="D104" s="903"/>
      <c r="F104" s="156">
        <v>1560</v>
      </c>
      <c r="G104" s="156"/>
      <c r="H104" s="157">
        <v>202799</v>
      </c>
      <c r="I104" s="158">
        <f>H104*F$114</f>
        <v>127154.973</v>
      </c>
      <c r="J104" s="157"/>
      <c r="K104" s="159">
        <f>(H104+I104)-J104</f>
        <v>329953.973</v>
      </c>
    </row>
    <row r="105" spans="1:11" ht="18" customHeight="1">
      <c r="A105" s="151" t="s">
        <v>127</v>
      </c>
      <c r="B105" s="901"/>
      <c r="C105" s="902"/>
      <c r="D105" s="903"/>
      <c r="F105" s="156"/>
      <c r="G105" s="156"/>
      <c r="H105" s="157"/>
      <c r="I105" s="158">
        <f>H105*F$114</f>
        <v>0</v>
      </c>
      <c r="J105" s="157"/>
      <c r="K105" s="159">
        <f>(H105+I105)-J105</f>
        <v>0</v>
      </c>
    </row>
    <row r="106" spans="1:11" ht="18" customHeight="1">
      <c r="A106" s="151" t="s">
        <v>129</v>
      </c>
      <c r="B106" s="901"/>
      <c r="C106" s="902"/>
      <c r="D106" s="903"/>
      <c r="F106" s="156"/>
      <c r="G106" s="156"/>
      <c r="H106" s="157"/>
      <c r="I106" s="158">
        <f>H106*F$114</f>
        <v>0</v>
      </c>
      <c r="J106" s="157"/>
      <c r="K106" s="159">
        <f>(H106+I106)-J106</f>
        <v>0</v>
      </c>
    </row>
    <row r="107" spans="1:11" ht="18" customHeight="1">
      <c r="B107" s="150"/>
    </row>
    <row r="108" spans="1:11" s="167" customFormat="1" ht="18" customHeight="1">
      <c r="A108" s="154" t="s">
        <v>153</v>
      </c>
      <c r="B108" s="191" t="s">
        <v>154</v>
      </c>
      <c r="C108" s="147"/>
      <c r="D108" s="147"/>
      <c r="E108" s="150" t="s">
        <v>7</v>
      </c>
      <c r="F108" s="162">
        <f t="shared" ref="F108:K108" si="13">SUM(F102:F106)</f>
        <v>7643</v>
      </c>
      <c r="G108" s="162">
        <f t="shared" si="13"/>
        <v>0</v>
      </c>
      <c r="H108" s="159">
        <f t="shared" si="13"/>
        <v>467572</v>
      </c>
      <c r="I108" s="159">
        <f t="shared" si="13"/>
        <v>293167.64399999997</v>
      </c>
      <c r="J108" s="159">
        <f t="shared" si="13"/>
        <v>0</v>
      </c>
      <c r="K108" s="159">
        <f t="shared" si="13"/>
        <v>760739.64399999997</v>
      </c>
    </row>
    <row r="109" spans="1:11" s="167" customFormat="1" ht="18" customHeight="1" thickBot="1">
      <c r="A109" s="192"/>
      <c r="B109" s="193"/>
      <c r="C109" s="194"/>
      <c r="D109" s="194"/>
      <c r="E109" s="194"/>
      <c r="F109" s="172"/>
      <c r="G109" s="172"/>
      <c r="H109" s="172"/>
      <c r="I109" s="172"/>
      <c r="J109" s="172"/>
      <c r="K109" s="172"/>
    </row>
    <row r="110" spans="1:11" s="167" customFormat="1" ht="18" customHeight="1">
      <c r="A110" s="154" t="s">
        <v>156</v>
      </c>
      <c r="B110" s="150" t="s">
        <v>39</v>
      </c>
      <c r="C110" s="147"/>
      <c r="D110" s="147"/>
      <c r="E110" s="147"/>
      <c r="F110" s="147"/>
      <c r="G110" s="147"/>
      <c r="H110" s="147"/>
      <c r="I110" s="147"/>
      <c r="J110" s="147"/>
      <c r="K110" s="147"/>
    </row>
    <row r="111" spans="1:11" ht="18" customHeight="1">
      <c r="A111" s="154" t="s">
        <v>155</v>
      </c>
      <c r="B111" s="150" t="s">
        <v>164</v>
      </c>
      <c r="E111" s="150" t="s">
        <v>7</v>
      </c>
      <c r="F111" s="157">
        <v>4172967</v>
      </c>
    </row>
    <row r="112" spans="1:11" ht="18" customHeight="1">
      <c r="B112" s="150"/>
      <c r="E112" s="150"/>
      <c r="F112" s="195"/>
    </row>
    <row r="113" spans="1:6" ht="18" customHeight="1">
      <c r="A113" s="154"/>
      <c r="B113" s="150" t="s">
        <v>15</v>
      </c>
    </row>
    <row r="114" spans="1:6" ht="18" customHeight="1">
      <c r="A114" s="151" t="s">
        <v>171</v>
      </c>
      <c r="B114" s="155" t="s">
        <v>35</v>
      </c>
      <c r="F114" s="196">
        <v>0.627</v>
      </c>
    </row>
    <row r="115" spans="1:6" ht="18" customHeight="1">
      <c r="A115" s="151"/>
      <c r="B115" s="150"/>
    </row>
    <row r="116" spans="1:6" ht="18" customHeight="1">
      <c r="A116" s="151" t="s">
        <v>170</v>
      </c>
      <c r="B116" s="150" t="s">
        <v>16</v>
      </c>
    </row>
    <row r="117" spans="1:6" ht="18" customHeight="1">
      <c r="A117" s="151" t="s">
        <v>172</v>
      </c>
      <c r="B117" s="155" t="s">
        <v>17</v>
      </c>
      <c r="F117" s="157">
        <v>677793000</v>
      </c>
    </row>
    <row r="118" spans="1:6" ht="18" customHeight="1">
      <c r="A118" s="151" t="s">
        <v>173</v>
      </c>
      <c r="B118" s="147" t="s">
        <v>18</v>
      </c>
      <c r="F118" s="157">
        <v>50162000</v>
      </c>
    </row>
    <row r="119" spans="1:6" ht="18" customHeight="1">
      <c r="A119" s="151" t="s">
        <v>174</v>
      </c>
      <c r="B119" s="150" t="s">
        <v>19</v>
      </c>
      <c r="F119" s="187">
        <f>SUM(F117:F118)</f>
        <v>727955000</v>
      </c>
    </row>
    <row r="120" spans="1:6" ht="18" customHeight="1">
      <c r="A120" s="151"/>
      <c r="B120" s="150"/>
    </row>
    <row r="121" spans="1:6" ht="18" customHeight="1">
      <c r="A121" s="151" t="s">
        <v>167</v>
      </c>
      <c r="B121" s="150" t="s">
        <v>36</v>
      </c>
      <c r="F121" s="157">
        <v>690482000</v>
      </c>
    </row>
    <row r="122" spans="1:6" ht="18" customHeight="1">
      <c r="A122" s="151"/>
    </row>
    <row r="123" spans="1:6" ht="18" customHeight="1">
      <c r="A123" s="151" t="s">
        <v>175</v>
      </c>
      <c r="B123" s="150" t="s">
        <v>20</v>
      </c>
      <c r="F123" s="157">
        <f>F119-F121</f>
        <v>37473000</v>
      </c>
    </row>
    <row r="124" spans="1:6" ht="18" customHeight="1">
      <c r="A124" s="151"/>
    </row>
    <row r="125" spans="1:6" ht="18" customHeight="1">
      <c r="A125" s="151" t="s">
        <v>176</v>
      </c>
      <c r="B125" s="150" t="s">
        <v>21</v>
      </c>
      <c r="F125" s="157">
        <v>7728000</v>
      </c>
    </row>
    <row r="126" spans="1:6" ht="18" customHeight="1">
      <c r="A126" s="151"/>
    </row>
    <row r="127" spans="1:6" ht="18" customHeight="1">
      <c r="A127" s="151" t="s">
        <v>177</v>
      </c>
      <c r="B127" s="150" t="s">
        <v>22</v>
      </c>
      <c r="F127" s="157">
        <f>F123+F125</f>
        <v>45201000</v>
      </c>
    </row>
    <row r="128" spans="1:6" ht="18" customHeight="1">
      <c r="A128" s="151"/>
    </row>
    <row r="129" spans="1:11" ht="42.75" customHeight="1">
      <c r="F129" s="153" t="s">
        <v>9</v>
      </c>
      <c r="G129" s="153" t="s">
        <v>37</v>
      </c>
      <c r="H129" s="153" t="s">
        <v>29</v>
      </c>
      <c r="I129" s="153" t="s">
        <v>30</v>
      </c>
      <c r="J129" s="153" t="s">
        <v>33</v>
      </c>
      <c r="K129" s="153" t="s">
        <v>34</v>
      </c>
    </row>
    <row r="130" spans="1:11" ht="18" customHeight="1">
      <c r="A130" s="154" t="s">
        <v>157</v>
      </c>
      <c r="B130" s="150" t="s">
        <v>23</v>
      </c>
    </row>
    <row r="131" spans="1:11" ht="18" customHeight="1">
      <c r="A131" s="151" t="s">
        <v>158</v>
      </c>
      <c r="B131" s="147" t="s">
        <v>24</v>
      </c>
      <c r="F131" s="156"/>
      <c r="G131" s="156"/>
      <c r="H131" s="157"/>
      <c r="I131" s="158">
        <v>0</v>
      </c>
      <c r="J131" s="157"/>
      <c r="K131" s="159">
        <f>(H131+I131)-J131</f>
        <v>0</v>
      </c>
    </row>
    <row r="132" spans="1:11" ht="18" customHeight="1">
      <c r="A132" s="151" t="s">
        <v>159</v>
      </c>
      <c r="B132" s="147" t="s">
        <v>25</v>
      </c>
      <c r="F132" s="156"/>
      <c r="G132" s="156"/>
      <c r="H132" s="157"/>
      <c r="I132" s="158">
        <v>0</v>
      </c>
      <c r="J132" s="157"/>
      <c r="K132" s="159">
        <f>(H132+I132)-J132</f>
        <v>0</v>
      </c>
    </row>
    <row r="133" spans="1:11" ht="18" customHeight="1">
      <c r="A133" s="151" t="s">
        <v>160</v>
      </c>
      <c r="B133" s="898"/>
      <c r="C133" s="899"/>
      <c r="D133" s="900"/>
      <c r="F133" s="156"/>
      <c r="G133" s="156"/>
      <c r="H133" s="157"/>
      <c r="I133" s="158">
        <v>0</v>
      </c>
      <c r="J133" s="157"/>
      <c r="K133" s="159">
        <f>(H133+I133)-J133</f>
        <v>0</v>
      </c>
    </row>
    <row r="134" spans="1:11" ht="18" customHeight="1">
      <c r="A134" s="151" t="s">
        <v>161</v>
      </c>
      <c r="B134" s="898"/>
      <c r="C134" s="899"/>
      <c r="D134" s="900"/>
      <c r="F134" s="156"/>
      <c r="G134" s="156"/>
      <c r="H134" s="157"/>
      <c r="I134" s="158">
        <v>0</v>
      </c>
      <c r="J134" s="157"/>
      <c r="K134" s="159">
        <f>(H134+I134)-J134</f>
        <v>0</v>
      </c>
    </row>
    <row r="135" spans="1:11" ht="18" customHeight="1">
      <c r="A135" s="151" t="s">
        <v>162</v>
      </c>
      <c r="B135" s="898"/>
      <c r="C135" s="899"/>
      <c r="D135" s="900"/>
      <c r="F135" s="156"/>
      <c r="G135" s="156"/>
      <c r="H135" s="157"/>
      <c r="I135" s="158">
        <v>0</v>
      </c>
      <c r="J135" s="157"/>
      <c r="K135" s="159">
        <f>(H135+I135)-J135</f>
        <v>0</v>
      </c>
    </row>
    <row r="136" spans="1:11" ht="18" customHeight="1">
      <c r="A136" s="154"/>
    </row>
    <row r="137" spans="1:11" ht="18" customHeight="1">
      <c r="A137" s="154" t="s">
        <v>163</v>
      </c>
      <c r="B137" s="150" t="s">
        <v>27</v>
      </c>
      <c r="F137" s="162">
        <f t="shared" ref="F137:K137" si="14">SUM(F131:F135)</f>
        <v>0</v>
      </c>
      <c r="G137" s="162">
        <f t="shared" si="14"/>
        <v>0</v>
      </c>
      <c r="H137" s="159">
        <f t="shared" si="14"/>
        <v>0</v>
      </c>
      <c r="I137" s="159">
        <f t="shared" si="14"/>
        <v>0</v>
      </c>
      <c r="J137" s="159">
        <f t="shared" si="14"/>
        <v>0</v>
      </c>
      <c r="K137" s="159">
        <f t="shared" si="14"/>
        <v>0</v>
      </c>
    </row>
    <row r="138" spans="1:11" ht="18" customHeight="1">
      <c r="A138" s="147"/>
    </row>
    <row r="139" spans="1:11" ht="42.75" customHeight="1">
      <c r="F139" s="153" t="s">
        <v>9</v>
      </c>
      <c r="G139" s="153" t="s">
        <v>37</v>
      </c>
      <c r="H139" s="153" t="s">
        <v>29</v>
      </c>
      <c r="I139" s="153" t="s">
        <v>30</v>
      </c>
      <c r="J139" s="153" t="s">
        <v>33</v>
      </c>
      <c r="K139" s="153" t="s">
        <v>34</v>
      </c>
    </row>
    <row r="140" spans="1:11" ht="18" customHeight="1">
      <c r="A140" s="154" t="s">
        <v>166</v>
      </c>
      <c r="B140" s="150" t="s">
        <v>26</v>
      </c>
    </row>
    <row r="141" spans="1:11" ht="18" customHeight="1">
      <c r="A141" s="151" t="s">
        <v>137</v>
      </c>
      <c r="B141" s="150" t="s">
        <v>64</v>
      </c>
      <c r="F141" s="197">
        <f t="shared" ref="F141:K141" si="15">F36</f>
        <v>47790</v>
      </c>
      <c r="G141" s="197">
        <f t="shared" si="15"/>
        <v>15325</v>
      </c>
      <c r="H141" s="197">
        <f t="shared" si="15"/>
        <v>2397464</v>
      </c>
      <c r="I141" s="197">
        <f t="shared" si="15"/>
        <v>1503209.9280000001</v>
      </c>
      <c r="J141" s="197">
        <f t="shared" si="15"/>
        <v>1059199</v>
      </c>
      <c r="K141" s="197">
        <f t="shared" si="15"/>
        <v>2841474.9279999998</v>
      </c>
    </row>
    <row r="142" spans="1:11" ht="18" customHeight="1">
      <c r="A142" s="151" t="s">
        <v>142</v>
      </c>
      <c r="B142" s="150" t="s">
        <v>65</v>
      </c>
      <c r="F142" s="197">
        <f t="shared" ref="F142:K142" si="16">F49</f>
        <v>409357</v>
      </c>
      <c r="G142" s="197">
        <f t="shared" si="16"/>
        <v>0</v>
      </c>
      <c r="H142" s="197">
        <f t="shared" si="16"/>
        <v>14065036</v>
      </c>
      <c r="I142" s="197">
        <f t="shared" si="16"/>
        <v>8818777.5719999988</v>
      </c>
      <c r="J142" s="197">
        <f t="shared" si="16"/>
        <v>106835</v>
      </c>
      <c r="K142" s="197">
        <f t="shared" si="16"/>
        <v>22776978.571999997</v>
      </c>
    </row>
    <row r="143" spans="1:11" ht="18" customHeight="1">
      <c r="A143" s="151" t="s">
        <v>144</v>
      </c>
      <c r="B143" s="150" t="s">
        <v>66</v>
      </c>
      <c r="F143" s="197">
        <f t="shared" ref="F143:K143" si="17">F64</f>
        <v>17906</v>
      </c>
      <c r="G143" s="197">
        <f t="shared" si="17"/>
        <v>0</v>
      </c>
      <c r="H143" s="197">
        <f t="shared" si="17"/>
        <v>9866163</v>
      </c>
      <c r="I143" s="197">
        <f t="shared" si="17"/>
        <v>6186084.2009999994</v>
      </c>
      <c r="J143" s="197">
        <f t="shared" si="17"/>
        <v>562062</v>
      </c>
      <c r="K143" s="197">
        <f t="shared" si="17"/>
        <v>15490185.201000001</v>
      </c>
    </row>
    <row r="144" spans="1:11" ht="18" customHeight="1">
      <c r="A144" s="151" t="s">
        <v>146</v>
      </c>
      <c r="B144" s="150" t="s">
        <v>67</v>
      </c>
      <c r="F144" s="197">
        <f t="shared" ref="F144:K144" si="18">F74</f>
        <v>3141</v>
      </c>
      <c r="G144" s="197">
        <f t="shared" si="18"/>
        <v>0</v>
      </c>
      <c r="H144" s="197">
        <f t="shared" si="18"/>
        <v>626028</v>
      </c>
      <c r="I144" s="197">
        <f t="shared" si="18"/>
        <v>392519.55599999998</v>
      </c>
      <c r="J144" s="197">
        <f t="shared" si="18"/>
        <v>0</v>
      </c>
      <c r="K144" s="197">
        <f t="shared" si="18"/>
        <v>1018547.556</v>
      </c>
    </row>
    <row r="145" spans="1:11" ht="18" customHeight="1">
      <c r="A145" s="151" t="s">
        <v>148</v>
      </c>
      <c r="B145" s="150" t="s">
        <v>68</v>
      </c>
      <c r="F145" s="197">
        <f t="shared" ref="F145:K145" si="19">F82</f>
        <v>0</v>
      </c>
      <c r="G145" s="197">
        <f t="shared" si="19"/>
        <v>0</v>
      </c>
      <c r="H145" s="197">
        <f t="shared" si="19"/>
        <v>412421</v>
      </c>
      <c r="I145" s="197">
        <f t="shared" si="19"/>
        <v>0</v>
      </c>
      <c r="J145" s="197">
        <f t="shared" si="19"/>
        <v>0</v>
      </c>
      <c r="K145" s="197">
        <f t="shared" si="19"/>
        <v>412421</v>
      </c>
    </row>
    <row r="146" spans="1:11" ht="18" customHeight="1">
      <c r="A146" s="151" t="s">
        <v>150</v>
      </c>
      <c r="B146" s="150" t="s">
        <v>69</v>
      </c>
      <c r="F146" s="197">
        <f t="shared" ref="F146:K146" si="20">F98</f>
        <v>9320</v>
      </c>
      <c r="G146" s="197">
        <f t="shared" si="20"/>
        <v>0</v>
      </c>
      <c r="H146" s="197">
        <f t="shared" si="20"/>
        <v>453763</v>
      </c>
      <c r="I146" s="197">
        <f t="shared" si="20"/>
        <v>284509.40100000001</v>
      </c>
      <c r="J146" s="197">
        <f t="shared" si="20"/>
        <v>350819</v>
      </c>
      <c r="K146" s="197">
        <f t="shared" si="20"/>
        <v>387453.40100000001</v>
      </c>
    </row>
    <row r="147" spans="1:11" ht="18" customHeight="1">
      <c r="A147" s="151" t="s">
        <v>153</v>
      </c>
      <c r="B147" s="150" t="s">
        <v>61</v>
      </c>
      <c r="F147" s="162">
        <f t="shared" ref="F147:K147" si="21">F108</f>
        <v>7643</v>
      </c>
      <c r="G147" s="162">
        <f t="shared" si="21"/>
        <v>0</v>
      </c>
      <c r="H147" s="162">
        <f t="shared" si="21"/>
        <v>467572</v>
      </c>
      <c r="I147" s="162">
        <f t="shared" si="21"/>
        <v>293167.64399999997</v>
      </c>
      <c r="J147" s="162">
        <f t="shared" si="21"/>
        <v>0</v>
      </c>
      <c r="K147" s="162">
        <f t="shared" si="21"/>
        <v>760739.64399999997</v>
      </c>
    </row>
    <row r="148" spans="1:11" ht="18" customHeight="1">
      <c r="A148" s="151" t="s">
        <v>155</v>
      </c>
      <c r="B148" s="150" t="s">
        <v>70</v>
      </c>
      <c r="F148" s="198" t="s">
        <v>73</v>
      </c>
      <c r="G148" s="198" t="s">
        <v>73</v>
      </c>
      <c r="H148" s="199" t="s">
        <v>73</v>
      </c>
      <c r="I148" s="199" t="s">
        <v>73</v>
      </c>
      <c r="J148" s="199" t="s">
        <v>73</v>
      </c>
      <c r="K148" s="200">
        <f>F111</f>
        <v>4172967</v>
      </c>
    </row>
    <row r="149" spans="1:11" ht="18" customHeight="1">
      <c r="A149" s="151" t="s">
        <v>163</v>
      </c>
      <c r="B149" s="150" t="s">
        <v>71</v>
      </c>
      <c r="F149" s="162">
        <f t="shared" ref="F149:K149" si="22">F137</f>
        <v>0</v>
      </c>
      <c r="G149" s="162">
        <f t="shared" si="22"/>
        <v>0</v>
      </c>
      <c r="H149" s="162">
        <f t="shared" si="22"/>
        <v>0</v>
      </c>
      <c r="I149" s="162">
        <f t="shared" si="22"/>
        <v>0</v>
      </c>
      <c r="J149" s="162">
        <f t="shared" si="22"/>
        <v>0</v>
      </c>
      <c r="K149" s="162">
        <f t="shared" si="22"/>
        <v>0</v>
      </c>
    </row>
    <row r="150" spans="1:11" ht="18" customHeight="1">
      <c r="A150" s="151" t="s">
        <v>185</v>
      </c>
      <c r="B150" s="150" t="s">
        <v>186</v>
      </c>
      <c r="F150" s="198" t="s">
        <v>73</v>
      </c>
      <c r="G150" s="198" t="s">
        <v>73</v>
      </c>
      <c r="H150" s="162">
        <f>H18</f>
        <v>17676463</v>
      </c>
      <c r="I150" s="162">
        <f>I18</f>
        <v>0</v>
      </c>
      <c r="J150" s="162">
        <f>J18</f>
        <v>15115586</v>
      </c>
      <c r="K150" s="162">
        <f>K18</f>
        <v>2560877</v>
      </c>
    </row>
    <row r="151" spans="1:11" ht="18" customHeight="1">
      <c r="B151" s="150"/>
      <c r="F151" s="174"/>
      <c r="G151" s="174"/>
      <c r="H151" s="174"/>
      <c r="I151" s="174"/>
      <c r="J151" s="174"/>
      <c r="K151" s="174"/>
    </row>
    <row r="152" spans="1:11" ht="18" customHeight="1">
      <c r="A152" s="154" t="s">
        <v>165</v>
      </c>
      <c r="B152" s="150" t="s">
        <v>26</v>
      </c>
      <c r="F152" s="201">
        <f t="shared" ref="F152:K152" si="23">SUM(F141:F150)</f>
        <v>495157</v>
      </c>
      <c r="G152" s="201">
        <f t="shared" si="23"/>
        <v>15325</v>
      </c>
      <c r="H152" s="201">
        <f t="shared" si="23"/>
        <v>45964910</v>
      </c>
      <c r="I152" s="201">
        <f t="shared" si="23"/>
        <v>17478268.302000001</v>
      </c>
      <c r="J152" s="201">
        <f t="shared" si="23"/>
        <v>17194501</v>
      </c>
      <c r="K152" s="201">
        <f t="shared" si="23"/>
        <v>50421644.302000001</v>
      </c>
    </row>
    <row r="154" spans="1:11" ht="18" customHeight="1">
      <c r="A154" s="154" t="s">
        <v>168</v>
      </c>
      <c r="B154" s="150" t="s">
        <v>28</v>
      </c>
      <c r="F154" s="53">
        <f>K152/F121</f>
        <v>7.3023835960966399E-2</v>
      </c>
    </row>
    <row r="155" spans="1:11" ht="18" customHeight="1">
      <c r="A155" s="154" t="s">
        <v>169</v>
      </c>
      <c r="B155" s="150" t="s">
        <v>72</v>
      </c>
      <c r="F155" s="53">
        <f>K152/F127</f>
        <v>1.1154984248578572</v>
      </c>
      <c r="G155" s="150"/>
    </row>
    <row r="156" spans="1:11" ht="18" customHeight="1">
      <c r="G156" s="150"/>
    </row>
  </sheetData>
  <sheetProtection algorithmName="SHA-512" hashValue="iVvdvBFvLJrCQayOzWBOnlmmkvSOlg0vsuWfxw4ykvUWsRMIU69Eos4F9LU4n3blGdfrud4L5z60Zw6vfmvLvQ==" saltValue="dNfDTr1s26G+Dg2uXX89nw==" spinCount="100000" sheet="1" objects="1" scenarios="1"/>
  <mergeCells count="34">
    <mergeCell ref="B41:C41"/>
    <mergeCell ref="D2:H2"/>
    <mergeCell ref="C5:G5"/>
    <mergeCell ref="C6:G6"/>
    <mergeCell ref="C7:G7"/>
    <mergeCell ref="C9:G9"/>
    <mergeCell ref="C10:G10"/>
    <mergeCell ref="C11:G11"/>
    <mergeCell ref="B13:H13"/>
    <mergeCell ref="B30:D30"/>
    <mergeCell ref="B31:D31"/>
    <mergeCell ref="B34:D34"/>
    <mergeCell ref="B90:C90"/>
    <mergeCell ref="B44:D44"/>
    <mergeCell ref="B45:D45"/>
    <mergeCell ref="B46:D46"/>
    <mergeCell ref="B47:D47"/>
    <mergeCell ref="B52:C52"/>
    <mergeCell ref="B53:D53"/>
    <mergeCell ref="B55:D55"/>
    <mergeCell ref="B56:D56"/>
    <mergeCell ref="B57:D57"/>
    <mergeCell ref="B59:D59"/>
    <mergeCell ref="B62:D62"/>
    <mergeCell ref="B106:D106"/>
    <mergeCell ref="B133:D133"/>
    <mergeCell ref="B134:D134"/>
    <mergeCell ref="B135:D135"/>
    <mergeCell ref="B94:D94"/>
    <mergeCell ref="B95:D95"/>
    <mergeCell ref="B96:D96"/>
    <mergeCell ref="B103:C103"/>
    <mergeCell ref="B104:D104"/>
    <mergeCell ref="B105:D105"/>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K156"/>
  <sheetViews>
    <sheetView showGridLines="0" zoomScaleNormal="100" zoomScaleSheetLayoutView="70" workbookViewId="0">
      <selection activeCell="H18" sqref="H18"/>
    </sheetView>
  </sheetViews>
  <sheetFormatPr defaultRowHeight="18" customHeight="1"/>
  <cols>
    <col min="1" max="1" width="8.28515625" style="146" customWidth="1"/>
    <col min="2" max="2" width="55.42578125" style="147" bestFit="1" customWidth="1"/>
    <col min="3" max="3" width="9.5703125" style="147" customWidth="1"/>
    <col min="4" max="4" width="9.140625" style="147"/>
    <col min="5" max="5" width="12.42578125" style="147" customWidth="1"/>
    <col min="6" max="6" width="18.5703125" style="147" customWidth="1"/>
    <col min="7" max="7" width="23.5703125" style="147" customWidth="1"/>
    <col min="8" max="8" width="17.140625" style="147" customWidth="1"/>
    <col min="9" max="9" width="21.140625" style="147" customWidth="1"/>
    <col min="10" max="10" width="19.85546875" style="147" customWidth="1"/>
    <col min="11" max="11" width="17.5703125" style="147" customWidth="1"/>
    <col min="12" max="16384" width="9.140625" style="147"/>
  </cols>
  <sheetData>
    <row r="1" spans="1:11" ht="18" customHeight="1">
      <c r="C1" s="148"/>
      <c r="D1" s="149"/>
      <c r="E1" s="148"/>
      <c r="F1" s="148"/>
      <c r="G1" s="148"/>
      <c r="H1" s="148"/>
      <c r="I1" s="148"/>
      <c r="J1" s="148"/>
      <c r="K1" s="148"/>
    </row>
    <row r="2" spans="1:11" ht="18" customHeight="1">
      <c r="D2" s="910" t="s">
        <v>713</v>
      </c>
      <c r="E2" s="911"/>
      <c r="F2" s="911"/>
      <c r="G2" s="911"/>
      <c r="H2" s="911"/>
    </row>
    <row r="3" spans="1:11" ht="18" customHeight="1">
      <c r="B3" s="150" t="s">
        <v>0</v>
      </c>
    </row>
    <row r="5" spans="1:11" ht="18" customHeight="1">
      <c r="B5" s="151" t="s">
        <v>40</v>
      </c>
      <c r="C5" s="912" t="s">
        <v>782</v>
      </c>
      <c r="D5" s="918"/>
      <c r="E5" s="918"/>
      <c r="F5" s="918"/>
      <c r="G5" s="919"/>
    </row>
    <row r="6" spans="1:11" ht="18" customHeight="1">
      <c r="B6" s="151" t="s">
        <v>3</v>
      </c>
      <c r="C6" s="920" t="s">
        <v>783</v>
      </c>
      <c r="D6" s="921"/>
      <c r="E6" s="921"/>
      <c r="F6" s="921"/>
      <c r="G6" s="922"/>
    </row>
    <row r="7" spans="1:11" ht="18" customHeight="1">
      <c r="B7" s="151" t="s">
        <v>4</v>
      </c>
      <c r="C7" s="930">
        <v>725</v>
      </c>
      <c r="D7" s="924"/>
      <c r="E7" s="924"/>
      <c r="F7" s="924"/>
      <c r="G7" s="925"/>
    </row>
    <row r="9" spans="1:11" ht="18" customHeight="1">
      <c r="B9" s="151" t="s">
        <v>1</v>
      </c>
      <c r="C9" s="912" t="s">
        <v>784</v>
      </c>
      <c r="D9" s="918"/>
      <c r="E9" s="918"/>
      <c r="F9" s="918"/>
      <c r="G9" s="919"/>
    </row>
    <row r="10" spans="1:11" ht="18" customHeight="1">
      <c r="B10" s="151" t="s">
        <v>2</v>
      </c>
      <c r="C10" s="980" t="s">
        <v>366</v>
      </c>
      <c r="D10" s="927"/>
      <c r="E10" s="927"/>
      <c r="F10" s="927"/>
      <c r="G10" s="928"/>
    </row>
    <row r="11" spans="1:11" ht="18" customHeight="1">
      <c r="B11" s="151" t="s">
        <v>32</v>
      </c>
      <c r="C11" s="917" t="s">
        <v>367</v>
      </c>
      <c r="D11" s="913"/>
      <c r="E11" s="913"/>
      <c r="F11" s="913"/>
      <c r="G11" s="913"/>
    </row>
    <row r="12" spans="1:11" ht="18" customHeight="1">
      <c r="B12" s="151"/>
      <c r="C12" s="151"/>
      <c r="D12" s="151"/>
      <c r="E12" s="151"/>
      <c r="F12" s="151"/>
      <c r="G12" s="151"/>
    </row>
    <row r="13" spans="1:11" ht="24.6" customHeight="1">
      <c r="B13" s="914"/>
      <c r="C13" s="915"/>
      <c r="D13" s="915"/>
      <c r="E13" s="915"/>
      <c r="F13" s="915"/>
      <c r="G13" s="915"/>
      <c r="H13" s="916"/>
      <c r="I13" s="148"/>
    </row>
    <row r="14" spans="1:11" ht="18" customHeight="1">
      <c r="B14" s="152"/>
    </row>
    <row r="15" spans="1:11" ht="18" customHeight="1">
      <c r="B15" s="152"/>
    </row>
    <row r="16" spans="1:11" ht="45" customHeight="1">
      <c r="A16" s="149" t="s">
        <v>181</v>
      </c>
      <c r="B16" s="148"/>
      <c r="C16" s="148"/>
      <c r="D16" s="148"/>
      <c r="E16" s="148"/>
      <c r="F16" s="153" t="s">
        <v>9</v>
      </c>
      <c r="G16" s="153" t="s">
        <v>37</v>
      </c>
      <c r="H16" s="153" t="s">
        <v>29</v>
      </c>
      <c r="I16" s="153" t="s">
        <v>30</v>
      </c>
      <c r="J16" s="153" t="s">
        <v>33</v>
      </c>
      <c r="K16" s="153" t="s">
        <v>34</v>
      </c>
    </row>
    <row r="17" spans="1:11" ht="18" customHeight="1">
      <c r="A17" s="154" t="s">
        <v>184</v>
      </c>
      <c r="B17" s="150" t="s">
        <v>182</v>
      </c>
    </row>
    <row r="18" spans="1:11" ht="18" customHeight="1">
      <c r="A18" s="151" t="s">
        <v>185</v>
      </c>
      <c r="B18" s="155" t="s">
        <v>183</v>
      </c>
      <c r="F18" s="156" t="s">
        <v>73</v>
      </c>
      <c r="G18" s="156" t="s">
        <v>73</v>
      </c>
      <c r="H18" s="157">
        <v>3132449</v>
      </c>
      <c r="I18" s="158">
        <v>0</v>
      </c>
      <c r="J18" s="157">
        <v>2678635</v>
      </c>
      <c r="K18" s="159">
        <f>(H18+I18)-J18</f>
        <v>453814</v>
      </c>
    </row>
    <row r="19" spans="1:11" ht="45" customHeight="1">
      <c r="A19" s="149" t="s">
        <v>8</v>
      </c>
      <c r="B19" s="148"/>
      <c r="C19" s="148"/>
      <c r="D19" s="148"/>
      <c r="E19" s="148"/>
      <c r="F19" s="153" t="s">
        <v>9</v>
      </c>
      <c r="G19" s="153" t="s">
        <v>37</v>
      </c>
      <c r="H19" s="153" t="s">
        <v>29</v>
      </c>
      <c r="I19" s="153" t="s">
        <v>30</v>
      </c>
      <c r="J19" s="153" t="s">
        <v>33</v>
      </c>
      <c r="K19" s="153" t="s">
        <v>34</v>
      </c>
    </row>
    <row r="20" spans="1:11" ht="18" customHeight="1">
      <c r="A20" s="154" t="s">
        <v>74</v>
      </c>
      <c r="B20" s="150" t="s">
        <v>41</v>
      </c>
    </row>
    <row r="21" spans="1:11" ht="18" customHeight="1">
      <c r="A21" s="151" t="s">
        <v>75</v>
      </c>
      <c r="B21" s="155" t="s">
        <v>42</v>
      </c>
      <c r="F21" s="156">
        <v>2199</v>
      </c>
      <c r="G21" s="156">
        <v>4326</v>
      </c>
      <c r="H21" s="157">
        <v>103777</v>
      </c>
      <c r="I21" s="158">
        <f t="shared" ref="I21:I34" si="0">H21*F$114</f>
        <v>0</v>
      </c>
      <c r="J21" s="157">
        <v>0</v>
      </c>
      <c r="K21" s="159">
        <f t="shared" ref="K21:K34" si="1">(H21+I21)-J21</f>
        <v>103777</v>
      </c>
    </row>
    <row r="22" spans="1:11" ht="18" customHeight="1">
      <c r="A22" s="151" t="s">
        <v>76</v>
      </c>
      <c r="B22" s="147" t="s">
        <v>6</v>
      </c>
      <c r="F22" s="156"/>
      <c r="G22" s="156"/>
      <c r="H22" s="157"/>
      <c r="I22" s="158">
        <f t="shared" si="0"/>
        <v>0</v>
      </c>
      <c r="J22" s="157"/>
      <c r="K22" s="159">
        <f t="shared" si="1"/>
        <v>0</v>
      </c>
    </row>
    <row r="23" spans="1:11" ht="18" customHeight="1">
      <c r="A23" s="151" t="s">
        <v>77</v>
      </c>
      <c r="B23" s="147" t="s">
        <v>43</v>
      </c>
      <c r="F23" s="156"/>
      <c r="G23" s="156"/>
      <c r="H23" s="157"/>
      <c r="I23" s="158">
        <f t="shared" si="0"/>
        <v>0</v>
      </c>
      <c r="J23" s="157"/>
      <c r="K23" s="159">
        <f t="shared" si="1"/>
        <v>0</v>
      </c>
    </row>
    <row r="24" spans="1:11" ht="18" customHeight="1">
      <c r="A24" s="151" t="s">
        <v>78</v>
      </c>
      <c r="B24" s="147" t="s">
        <v>44</v>
      </c>
      <c r="F24" s="156">
        <v>210300</v>
      </c>
      <c r="G24" s="156">
        <v>312481</v>
      </c>
      <c r="H24" s="157">
        <v>7529527</v>
      </c>
      <c r="I24" s="158">
        <f t="shared" si="0"/>
        <v>0</v>
      </c>
      <c r="J24" s="157">
        <v>5656893</v>
      </c>
      <c r="K24" s="159">
        <f t="shared" si="1"/>
        <v>1872634</v>
      </c>
    </row>
    <row r="25" spans="1:11" ht="18" customHeight="1">
      <c r="A25" s="151" t="s">
        <v>79</v>
      </c>
      <c r="B25" s="147" t="s">
        <v>5</v>
      </c>
      <c r="F25" s="156"/>
      <c r="G25" s="156"/>
      <c r="H25" s="157"/>
      <c r="I25" s="158">
        <f t="shared" si="0"/>
        <v>0</v>
      </c>
      <c r="J25" s="157"/>
      <c r="K25" s="159">
        <f t="shared" si="1"/>
        <v>0</v>
      </c>
    </row>
    <row r="26" spans="1:11" ht="18" customHeight="1">
      <c r="A26" s="151" t="s">
        <v>80</v>
      </c>
      <c r="B26" s="147" t="s">
        <v>45</v>
      </c>
      <c r="F26" s="156"/>
      <c r="G26" s="156"/>
      <c r="H26" s="157"/>
      <c r="I26" s="158">
        <f t="shared" si="0"/>
        <v>0</v>
      </c>
      <c r="J26" s="157"/>
      <c r="K26" s="159">
        <f t="shared" si="1"/>
        <v>0</v>
      </c>
    </row>
    <row r="27" spans="1:11" ht="18" customHeight="1">
      <c r="A27" s="151" t="s">
        <v>81</v>
      </c>
      <c r="B27" s="147" t="s">
        <v>46</v>
      </c>
      <c r="F27" s="156"/>
      <c r="G27" s="156"/>
      <c r="H27" s="157"/>
      <c r="I27" s="158">
        <f t="shared" si="0"/>
        <v>0</v>
      </c>
      <c r="J27" s="157"/>
      <c r="K27" s="159">
        <f t="shared" si="1"/>
        <v>0</v>
      </c>
    </row>
    <row r="28" spans="1:11" ht="18" customHeight="1">
      <c r="A28" s="151" t="s">
        <v>82</v>
      </c>
      <c r="B28" s="147" t="s">
        <v>47</v>
      </c>
      <c r="F28" s="156"/>
      <c r="G28" s="156"/>
      <c r="H28" s="157"/>
      <c r="I28" s="158">
        <f t="shared" si="0"/>
        <v>0</v>
      </c>
      <c r="J28" s="157"/>
      <c r="K28" s="159">
        <f t="shared" si="1"/>
        <v>0</v>
      </c>
    </row>
    <row r="29" spans="1:11" ht="18" customHeight="1">
      <c r="A29" s="151" t="s">
        <v>83</v>
      </c>
      <c r="B29" s="147" t="s">
        <v>48</v>
      </c>
      <c r="F29" s="156">
        <v>0</v>
      </c>
      <c r="G29" s="156">
        <v>10321</v>
      </c>
      <c r="H29" s="157">
        <v>977</v>
      </c>
      <c r="I29" s="158">
        <f t="shared" si="0"/>
        <v>0</v>
      </c>
      <c r="J29" s="157">
        <v>0</v>
      </c>
      <c r="K29" s="159">
        <f t="shared" si="1"/>
        <v>977</v>
      </c>
    </row>
    <row r="30" spans="1:11" ht="18" customHeight="1">
      <c r="A30" s="151" t="s">
        <v>84</v>
      </c>
      <c r="B30" s="898" t="s">
        <v>368</v>
      </c>
      <c r="C30" s="899"/>
      <c r="D30" s="900"/>
      <c r="F30" s="156">
        <v>12675</v>
      </c>
      <c r="G30" s="156">
        <v>8018</v>
      </c>
      <c r="H30" s="157">
        <v>885449</v>
      </c>
      <c r="I30" s="158">
        <f t="shared" si="0"/>
        <v>0</v>
      </c>
      <c r="J30" s="157">
        <v>0</v>
      </c>
      <c r="K30" s="159">
        <f t="shared" si="1"/>
        <v>885449</v>
      </c>
    </row>
    <row r="31" spans="1:11" ht="18" customHeight="1">
      <c r="A31" s="151" t="s">
        <v>133</v>
      </c>
      <c r="B31" s="898"/>
      <c r="C31" s="899"/>
      <c r="D31" s="900"/>
      <c r="F31" s="156"/>
      <c r="G31" s="156"/>
      <c r="H31" s="157"/>
      <c r="I31" s="158">
        <f t="shared" si="0"/>
        <v>0</v>
      </c>
      <c r="J31" s="157"/>
      <c r="K31" s="159">
        <f t="shared" si="1"/>
        <v>0</v>
      </c>
    </row>
    <row r="32" spans="1:11" ht="18" customHeight="1">
      <c r="A32" s="151" t="s">
        <v>134</v>
      </c>
      <c r="B32" s="393"/>
      <c r="C32" s="394"/>
      <c r="D32" s="395"/>
      <c r="F32" s="156"/>
      <c r="G32" s="160" t="s">
        <v>85</v>
      </c>
      <c r="H32" s="157"/>
      <c r="I32" s="158">
        <f t="shared" si="0"/>
        <v>0</v>
      </c>
      <c r="J32" s="157"/>
      <c r="K32" s="159">
        <f t="shared" si="1"/>
        <v>0</v>
      </c>
    </row>
    <row r="33" spans="1:11" ht="18" customHeight="1">
      <c r="A33" s="151" t="s">
        <v>135</v>
      </c>
      <c r="B33" s="393"/>
      <c r="C33" s="394"/>
      <c r="D33" s="395"/>
      <c r="F33" s="156"/>
      <c r="G33" s="160" t="s">
        <v>85</v>
      </c>
      <c r="H33" s="157"/>
      <c r="I33" s="158">
        <f t="shared" si="0"/>
        <v>0</v>
      </c>
      <c r="J33" s="157"/>
      <c r="K33" s="159">
        <f t="shared" si="1"/>
        <v>0</v>
      </c>
    </row>
    <row r="34" spans="1:11" ht="18" customHeight="1">
      <c r="A34" s="151" t="s">
        <v>136</v>
      </c>
      <c r="B34" s="898"/>
      <c r="C34" s="899"/>
      <c r="D34" s="900"/>
      <c r="F34" s="156"/>
      <c r="G34" s="160" t="s">
        <v>85</v>
      </c>
      <c r="H34" s="157"/>
      <c r="I34" s="158">
        <f t="shared" si="0"/>
        <v>0</v>
      </c>
      <c r="J34" s="157"/>
      <c r="K34" s="159">
        <f t="shared" si="1"/>
        <v>0</v>
      </c>
    </row>
    <row r="35" spans="1:11" ht="18" customHeight="1">
      <c r="K35" s="161"/>
    </row>
    <row r="36" spans="1:11" ht="18" customHeight="1">
      <c r="A36" s="154" t="s">
        <v>137</v>
      </c>
      <c r="B36" s="150" t="s">
        <v>138</v>
      </c>
      <c r="E36" s="150" t="s">
        <v>7</v>
      </c>
      <c r="F36" s="162">
        <f t="shared" ref="F36:K36" si="2">SUM(F21:F34)</f>
        <v>225174</v>
      </c>
      <c r="G36" s="162">
        <f t="shared" si="2"/>
        <v>335146</v>
      </c>
      <c r="H36" s="162">
        <f t="shared" si="2"/>
        <v>8519730</v>
      </c>
      <c r="I36" s="159">
        <f t="shared" si="2"/>
        <v>0</v>
      </c>
      <c r="J36" s="159">
        <f t="shared" si="2"/>
        <v>5656893</v>
      </c>
      <c r="K36" s="159">
        <f t="shared" si="2"/>
        <v>2862837</v>
      </c>
    </row>
    <row r="37" spans="1:11" ht="18" customHeight="1" thickBot="1">
      <c r="B37" s="150"/>
      <c r="F37" s="163"/>
      <c r="G37" s="163"/>
      <c r="H37" s="164"/>
      <c r="I37" s="164"/>
      <c r="J37" s="164"/>
      <c r="K37" s="165"/>
    </row>
    <row r="38" spans="1:11" ht="42.75" customHeight="1">
      <c r="F38" s="153" t="s">
        <v>9</v>
      </c>
      <c r="G38" s="153" t="s">
        <v>37</v>
      </c>
      <c r="H38" s="153" t="s">
        <v>29</v>
      </c>
      <c r="I38" s="153" t="s">
        <v>30</v>
      </c>
      <c r="J38" s="153" t="s">
        <v>33</v>
      </c>
      <c r="K38" s="153" t="s">
        <v>34</v>
      </c>
    </row>
    <row r="39" spans="1:11" ht="18.75" customHeight="1">
      <c r="A39" s="154" t="s">
        <v>86</v>
      </c>
      <c r="B39" s="150" t="s">
        <v>49</v>
      </c>
    </row>
    <row r="40" spans="1:11" ht="18" customHeight="1">
      <c r="A40" s="151" t="s">
        <v>87</v>
      </c>
      <c r="B40" s="147" t="s">
        <v>31</v>
      </c>
      <c r="F40" s="156"/>
      <c r="G40" s="156"/>
      <c r="H40" s="157"/>
      <c r="I40" s="158">
        <v>0</v>
      </c>
      <c r="J40" s="157"/>
      <c r="K40" s="159">
        <f t="shared" ref="K40:K47" si="3">(H40+I40)-J40</f>
        <v>0</v>
      </c>
    </row>
    <row r="41" spans="1:11" ht="18" customHeight="1">
      <c r="A41" s="151" t="s">
        <v>88</v>
      </c>
      <c r="B41" s="904" t="s">
        <v>50</v>
      </c>
      <c r="C41" s="907"/>
      <c r="F41" s="156"/>
      <c r="G41" s="156"/>
      <c r="H41" s="157"/>
      <c r="I41" s="158">
        <v>0</v>
      </c>
      <c r="J41" s="157"/>
      <c r="K41" s="159">
        <f t="shared" si="3"/>
        <v>0</v>
      </c>
    </row>
    <row r="42" spans="1:11" ht="18" customHeight="1">
      <c r="A42" s="151" t="s">
        <v>89</v>
      </c>
      <c r="B42" s="155" t="s">
        <v>11</v>
      </c>
      <c r="F42" s="156">
        <v>176</v>
      </c>
      <c r="G42" s="156">
        <v>0</v>
      </c>
      <c r="H42" s="157">
        <v>59515</v>
      </c>
      <c r="I42" s="158">
        <v>0</v>
      </c>
      <c r="J42" s="157">
        <v>0</v>
      </c>
      <c r="K42" s="159">
        <f t="shared" si="3"/>
        <v>59515</v>
      </c>
    </row>
    <row r="43" spans="1:11" ht="18" customHeight="1">
      <c r="A43" s="151" t="s">
        <v>90</v>
      </c>
      <c r="B43" s="166" t="s">
        <v>10</v>
      </c>
      <c r="C43" s="167"/>
      <c r="D43" s="167"/>
      <c r="F43" s="156"/>
      <c r="G43" s="156"/>
      <c r="H43" s="157"/>
      <c r="I43" s="158">
        <v>0</v>
      </c>
      <c r="J43" s="157"/>
      <c r="K43" s="159">
        <f t="shared" si="3"/>
        <v>0</v>
      </c>
    </row>
    <row r="44" spans="1:11" ht="18" customHeight="1">
      <c r="A44" s="151" t="s">
        <v>91</v>
      </c>
      <c r="B44" s="898"/>
      <c r="C44" s="899"/>
      <c r="D44" s="900"/>
      <c r="F44" s="168"/>
      <c r="G44" s="168"/>
      <c r="H44" s="168"/>
      <c r="I44" s="169">
        <v>0</v>
      </c>
      <c r="J44" s="168"/>
      <c r="K44" s="170">
        <f t="shared" si="3"/>
        <v>0</v>
      </c>
    </row>
    <row r="45" spans="1:11" ht="18" customHeight="1">
      <c r="A45" s="151" t="s">
        <v>139</v>
      </c>
      <c r="B45" s="898"/>
      <c r="C45" s="899"/>
      <c r="D45" s="900"/>
      <c r="F45" s="156"/>
      <c r="G45" s="156"/>
      <c r="H45" s="157"/>
      <c r="I45" s="158">
        <v>0</v>
      </c>
      <c r="J45" s="157"/>
      <c r="K45" s="159">
        <f t="shared" si="3"/>
        <v>0</v>
      </c>
    </row>
    <row r="46" spans="1:11" ht="18" customHeight="1">
      <c r="A46" s="151" t="s">
        <v>140</v>
      </c>
      <c r="B46" s="898"/>
      <c r="C46" s="899"/>
      <c r="D46" s="900"/>
      <c r="F46" s="156"/>
      <c r="G46" s="156"/>
      <c r="H46" s="157"/>
      <c r="I46" s="158">
        <v>0</v>
      </c>
      <c r="J46" s="157"/>
      <c r="K46" s="159">
        <f t="shared" si="3"/>
        <v>0</v>
      </c>
    </row>
    <row r="47" spans="1:11" ht="18" customHeight="1">
      <c r="A47" s="151" t="s">
        <v>141</v>
      </c>
      <c r="B47" s="898"/>
      <c r="C47" s="899"/>
      <c r="D47" s="900"/>
      <c r="F47" s="156"/>
      <c r="G47" s="156"/>
      <c r="H47" s="157"/>
      <c r="I47" s="158">
        <v>0</v>
      </c>
      <c r="J47" s="157"/>
      <c r="K47" s="159">
        <f t="shared" si="3"/>
        <v>0</v>
      </c>
    </row>
    <row r="49" spans="1:11" ht="18" customHeight="1">
      <c r="A49" s="154" t="s">
        <v>142</v>
      </c>
      <c r="B49" s="150" t="s">
        <v>143</v>
      </c>
      <c r="E49" s="150" t="s">
        <v>7</v>
      </c>
      <c r="F49" s="171">
        <f t="shared" ref="F49:K49" si="4">SUM(F40:F47)</f>
        <v>176</v>
      </c>
      <c r="G49" s="171">
        <f t="shared" si="4"/>
        <v>0</v>
      </c>
      <c r="H49" s="159">
        <f t="shared" si="4"/>
        <v>59515</v>
      </c>
      <c r="I49" s="159">
        <f t="shared" si="4"/>
        <v>0</v>
      </c>
      <c r="J49" s="159">
        <f t="shared" si="4"/>
        <v>0</v>
      </c>
      <c r="K49" s="159">
        <f t="shared" si="4"/>
        <v>59515</v>
      </c>
    </row>
    <row r="50" spans="1:11" ht="18" customHeight="1" thickBot="1">
      <c r="G50" s="172"/>
      <c r="H50" s="172"/>
      <c r="I50" s="172"/>
      <c r="J50" s="172"/>
      <c r="K50" s="172"/>
    </row>
    <row r="51" spans="1:11" ht="42.75" customHeight="1">
      <c r="F51" s="153" t="s">
        <v>9</v>
      </c>
      <c r="G51" s="153" t="s">
        <v>37</v>
      </c>
      <c r="H51" s="153" t="s">
        <v>29</v>
      </c>
      <c r="I51" s="153" t="s">
        <v>30</v>
      </c>
      <c r="J51" s="153" t="s">
        <v>33</v>
      </c>
      <c r="K51" s="153" t="s">
        <v>34</v>
      </c>
    </row>
    <row r="52" spans="1:11" ht="18" customHeight="1">
      <c r="A52" s="154" t="s">
        <v>92</v>
      </c>
      <c r="B52" s="905" t="s">
        <v>38</v>
      </c>
      <c r="C52" s="906"/>
    </row>
    <row r="53" spans="1:11" ht="18" customHeight="1">
      <c r="A53" s="151" t="s">
        <v>51</v>
      </c>
      <c r="B53" s="908" t="s">
        <v>373</v>
      </c>
      <c r="C53" s="909"/>
      <c r="D53" s="903"/>
      <c r="F53" s="156">
        <v>12467</v>
      </c>
      <c r="G53" s="156">
        <v>35760</v>
      </c>
      <c r="H53" s="157">
        <v>371781</v>
      </c>
      <c r="I53" s="158">
        <v>0</v>
      </c>
      <c r="J53" s="157">
        <v>0</v>
      </c>
      <c r="K53" s="159">
        <f t="shared" ref="K53:K62" si="5">(H53+I53)-J53</f>
        <v>371781</v>
      </c>
    </row>
    <row r="54" spans="1:11" ht="18" customHeight="1">
      <c r="A54" s="151" t="s">
        <v>93</v>
      </c>
      <c r="B54" s="396"/>
      <c r="C54" s="397"/>
      <c r="D54" s="392"/>
      <c r="F54" s="156"/>
      <c r="G54" s="156"/>
      <c r="H54" s="157"/>
      <c r="I54" s="158">
        <v>0</v>
      </c>
      <c r="J54" s="157"/>
      <c r="K54" s="159">
        <f t="shared" si="5"/>
        <v>0</v>
      </c>
    </row>
    <row r="55" spans="1:11" ht="18" customHeight="1">
      <c r="A55" s="151" t="s">
        <v>94</v>
      </c>
      <c r="B55" s="901"/>
      <c r="C55" s="902"/>
      <c r="D55" s="903"/>
      <c r="F55" s="156"/>
      <c r="G55" s="156"/>
      <c r="H55" s="157"/>
      <c r="I55" s="158">
        <v>0</v>
      </c>
      <c r="J55" s="157"/>
      <c r="K55" s="159">
        <f t="shared" si="5"/>
        <v>0</v>
      </c>
    </row>
    <row r="56" spans="1:11" ht="18" customHeight="1">
      <c r="A56" s="151" t="s">
        <v>95</v>
      </c>
      <c r="B56" s="901"/>
      <c r="C56" s="902"/>
      <c r="D56" s="903"/>
      <c r="F56" s="156"/>
      <c r="G56" s="156"/>
      <c r="H56" s="157"/>
      <c r="I56" s="158">
        <v>0</v>
      </c>
      <c r="J56" s="157"/>
      <c r="K56" s="159">
        <f t="shared" si="5"/>
        <v>0</v>
      </c>
    </row>
    <row r="57" spans="1:11" ht="18" customHeight="1">
      <c r="A57" s="151" t="s">
        <v>96</v>
      </c>
      <c r="B57" s="901"/>
      <c r="C57" s="902"/>
      <c r="D57" s="903"/>
      <c r="F57" s="156"/>
      <c r="G57" s="156"/>
      <c r="H57" s="157"/>
      <c r="I57" s="158">
        <v>0</v>
      </c>
      <c r="J57" s="157"/>
      <c r="K57" s="159">
        <f t="shared" si="5"/>
        <v>0</v>
      </c>
    </row>
    <row r="58" spans="1:11" ht="18" customHeight="1">
      <c r="A58" s="151" t="s">
        <v>97</v>
      </c>
      <c r="B58" s="396"/>
      <c r="C58" s="397"/>
      <c r="D58" s="392"/>
      <c r="F58" s="156"/>
      <c r="G58" s="156"/>
      <c r="H58" s="157"/>
      <c r="I58" s="158">
        <v>0</v>
      </c>
      <c r="J58" s="157"/>
      <c r="K58" s="159">
        <f t="shared" si="5"/>
        <v>0</v>
      </c>
    </row>
    <row r="59" spans="1:11" ht="18" customHeight="1">
      <c r="A59" s="151" t="s">
        <v>98</v>
      </c>
      <c r="B59" s="901"/>
      <c r="C59" s="902"/>
      <c r="D59" s="903"/>
      <c r="F59" s="156"/>
      <c r="G59" s="156"/>
      <c r="H59" s="157"/>
      <c r="I59" s="158">
        <v>0</v>
      </c>
      <c r="J59" s="157"/>
      <c r="K59" s="159">
        <f t="shared" si="5"/>
        <v>0</v>
      </c>
    </row>
    <row r="60" spans="1:11" ht="18" customHeight="1">
      <c r="A60" s="151" t="s">
        <v>99</v>
      </c>
      <c r="B60" s="396"/>
      <c r="C60" s="397"/>
      <c r="D60" s="392"/>
      <c r="F60" s="156"/>
      <c r="G60" s="156"/>
      <c r="H60" s="157"/>
      <c r="I60" s="158">
        <v>0</v>
      </c>
      <c r="J60" s="157"/>
      <c r="K60" s="159">
        <f t="shared" si="5"/>
        <v>0</v>
      </c>
    </row>
    <row r="61" spans="1:11" ht="18" customHeight="1">
      <c r="A61" s="151" t="s">
        <v>100</v>
      </c>
      <c r="B61" s="396"/>
      <c r="C61" s="397"/>
      <c r="D61" s="392"/>
      <c r="F61" s="156"/>
      <c r="G61" s="156"/>
      <c r="H61" s="157"/>
      <c r="I61" s="158">
        <v>0</v>
      </c>
      <c r="J61" s="157"/>
      <c r="K61" s="159">
        <f t="shared" si="5"/>
        <v>0</v>
      </c>
    </row>
    <row r="62" spans="1:11" ht="18" customHeight="1">
      <c r="A62" s="151" t="s">
        <v>101</v>
      </c>
      <c r="B62" s="901"/>
      <c r="C62" s="902"/>
      <c r="D62" s="903"/>
      <c r="F62" s="156"/>
      <c r="G62" s="156"/>
      <c r="H62" s="157"/>
      <c r="I62" s="158">
        <v>0</v>
      </c>
      <c r="J62" s="157"/>
      <c r="K62" s="159">
        <f t="shared" si="5"/>
        <v>0</v>
      </c>
    </row>
    <row r="63" spans="1:11" ht="18" customHeight="1">
      <c r="A63" s="151"/>
      <c r="I63" s="173"/>
    </row>
    <row r="64" spans="1:11" ht="18" customHeight="1">
      <c r="A64" s="151" t="s">
        <v>144</v>
      </c>
      <c r="B64" s="150" t="s">
        <v>145</v>
      </c>
      <c r="E64" s="150" t="s">
        <v>7</v>
      </c>
      <c r="F64" s="162">
        <f t="shared" ref="F64:K64" si="6">SUM(F53:F62)</f>
        <v>12467</v>
      </c>
      <c r="G64" s="162">
        <f t="shared" si="6"/>
        <v>35760</v>
      </c>
      <c r="H64" s="159">
        <f t="shared" si="6"/>
        <v>371781</v>
      </c>
      <c r="I64" s="159">
        <f t="shared" si="6"/>
        <v>0</v>
      </c>
      <c r="J64" s="159">
        <f t="shared" si="6"/>
        <v>0</v>
      </c>
      <c r="K64" s="159">
        <f t="shared" si="6"/>
        <v>371781</v>
      </c>
    </row>
    <row r="65" spans="1:11" ht="18" customHeight="1">
      <c r="F65" s="174"/>
      <c r="G65" s="174"/>
      <c r="H65" s="174"/>
      <c r="I65" s="174"/>
      <c r="J65" s="174"/>
      <c r="K65" s="174"/>
    </row>
    <row r="66" spans="1:11" ht="42.75" customHeight="1">
      <c r="F66" s="175" t="s">
        <v>9</v>
      </c>
      <c r="G66" s="175" t="s">
        <v>37</v>
      </c>
      <c r="H66" s="175" t="s">
        <v>29</v>
      </c>
      <c r="I66" s="175" t="s">
        <v>30</v>
      </c>
      <c r="J66" s="175" t="s">
        <v>33</v>
      </c>
      <c r="K66" s="175" t="s">
        <v>34</v>
      </c>
    </row>
    <row r="67" spans="1:11" ht="18" customHeight="1">
      <c r="A67" s="154" t="s">
        <v>102</v>
      </c>
      <c r="B67" s="150" t="s">
        <v>12</v>
      </c>
      <c r="F67" s="176"/>
      <c r="G67" s="176"/>
      <c r="H67" s="176"/>
      <c r="I67" s="177"/>
      <c r="J67" s="176"/>
      <c r="K67" s="178"/>
    </row>
    <row r="68" spans="1:11" ht="18" customHeight="1">
      <c r="A68" s="151" t="s">
        <v>103</v>
      </c>
      <c r="B68" s="147" t="s">
        <v>52</v>
      </c>
      <c r="F68" s="179">
        <v>1043</v>
      </c>
      <c r="G68" s="179">
        <v>0</v>
      </c>
      <c r="H68" s="179">
        <v>64191</v>
      </c>
      <c r="I68" s="158">
        <v>0</v>
      </c>
      <c r="J68" s="179">
        <v>0</v>
      </c>
      <c r="K68" s="159">
        <f>(H68+I68)-J68</f>
        <v>64191</v>
      </c>
    </row>
    <row r="69" spans="1:11" ht="18" customHeight="1">
      <c r="A69" s="151" t="s">
        <v>104</v>
      </c>
      <c r="B69" s="155" t="s">
        <v>53</v>
      </c>
      <c r="F69" s="179"/>
      <c r="G69" s="179"/>
      <c r="H69" s="179"/>
      <c r="I69" s="158">
        <v>0</v>
      </c>
      <c r="J69" s="179"/>
      <c r="K69" s="159">
        <f>(H69+I69)-J69</f>
        <v>0</v>
      </c>
    </row>
    <row r="70" spans="1:11" ht="18" customHeight="1">
      <c r="A70" s="151" t="s">
        <v>178</v>
      </c>
      <c r="B70" s="396"/>
      <c r="C70" s="397"/>
      <c r="D70" s="392"/>
      <c r="E70" s="150"/>
      <c r="F70" s="180"/>
      <c r="G70" s="180"/>
      <c r="H70" s="181"/>
      <c r="I70" s="158">
        <v>0</v>
      </c>
      <c r="J70" s="181"/>
      <c r="K70" s="159">
        <f>(H70+I70)-J70</f>
        <v>0</v>
      </c>
    </row>
    <row r="71" spans="1:11" ht="18" customHeight="1">
      <c r="A71" s="151" t="s">
        <v>179</v>
      </c>
      <c r="B71" s="396"/>
      <c r="C71" s="397"/>
      <c r="D71" s="392"/>
      <c r="E71" s="150"/>
      <c r="F71" s="180"/>
      <c r="G71" s="180"/>
      <c r="H71" s="181"/>
      <c r="I71" s="158">
        <v>0</v>
      </c>
      <c r="J71" s="181"/>
      <c r="K71" s="159">
        <f>(H71+I71)-J71</f>
        <v>0</v>
      </c>
    </row>
    <row r="72" spans="1:11" ht="18" customHeight="1">
      <c r="A72" s="151" t="s">
        <v>180</v>
      </c>
      <c r="B72" s="390"/>
      <c r="C72" s="391"/>
      <c r="D72" s="182"/>
      <c r="E72" s="150"/>
      <c r="F72" s="156"/>
      <c r="G72" s="156"/>
      <c r="H72" s="157"/>
      <c r="I72" s="158">
        <v>0</v>
      </c>
      <c r="J72" s="157"/>
      <c r="K72" s="159">
        <f>(H72+I72)-J72</f>
        <v>0</v>
      </c>
    </row>
    <row r="73" spans="1:11" ht="18" customHeight="1">
      <c r="A73" s="151"/>
      <c r="B73" s="155"/>
      <c r="E73" s="150"/>
      <c r="F73" s="183"/>
      <c r="G73" s="183"/>
      <c r="H73" s="184"/>
      <c r="I73" s="177"/>
      <c r="J73" s="184"/>
      <c r="K73" s="178"/>
    </row>
    <row r="74" spans="1:11" ht="18" customHeight="1">
      <c r="A74" s="154" t="s">
        <v>146</v>
      </c>
      <c r="B74" s="150" t="s">
        <v>147</v>
      </c>
      <c r="E74" s="150" t="s">
        <v>7</v>
      </c>
      <c r="F74" s="185">
        <f t="shared" ref="F74:K74" si="7">SUM(F68:F72)</f>
        <v>1043</v>
      </c>
      <c r="G74" s="185">
        <f t="shared" si="7"/>
        <v>0</v>
      </c>
      <c r="H74" s="185">
        <f t="shared" si="7"/>
        <v>64191</v>
      </c>
      <c r="I74" s="186">
        <f t="shared" si="7"/>
        <v>0</v>
      </c>
      <c r="J74" s="185">
        <f t="shared" si="7"/>
        <v>0</v>
      </c>
      <c r="K74" s="187">
        <f t="shared" si="7"/>
        <v>64191</v>
      </c>
    </row>
    <row r="75" spans="1:11" ht="42.75" customHeight="1">
      <c r="F75" s="153" t="s">
        <v>9</v>
      </c>
      <c r="G75" s="153" t="s">
        <v>37</v>
      </c>
      <c r="H75" s="153" t="s">
        <v>29</v>
      </c>
      <c r="I75" s="153" t="s">
        <v>30</v>
      </c>
      <c r="J75" s="153" t="s">
        <v>33</v>
      </c>
      <c r="K75" s="153" t="s">
        <v>34</v>
      </c>
    </row>
    <row r="76" spans="1:11" ht="18" customHeight="1">
      <c r="A76" s="154" t="s">
        <v>105</v>
      </c>
      <c r="B76" s="150" t="s">
        <v>106</v>
      </c>
    </row>
    <row r="77" spans="1:11" ht="18" customHeight="1">
      <c r="A77" s="151" t="s">
        <v>107</v>
      </c>
      <c r="B77" s="155" t="s">
        <v>54</v>
      </c>
      <c r="F77" s="156"/>
      <c r="G77" s="156"/>
      <c r="H77" s="157"/>
      <c r="I77" s="158">
        <v>0</v>
      </c>
      <c r="J77" s="157"/>
      <c r="K77" s="159">
        <f>(H77+I77)-J77</f>
        <v>0</v>
      </c>
    </row>
    <row r="78" spans="1:11" ht="18" customHeight="1">
      <c r="A78" s="151" t="s">
        <v>108</v>
      </c>
      <c r="B78" s="155" t="s">
        <v>55</v>
      </c>
      <c r="F78" s="156"/>
      <c r="G78" s="156"/>
      <c r="H78" s="157"/>
      <c r="I78" s="158">
        <v>0</v>
      </c>
      <c r="J78" s="157"/>
      <c r="K78" s="159">
        <f>(H78+I78)-J78</f>
        <v>0</v>
      </c>
    </row>
    <row r="79" spans="1:11" ht="18" customHeight="1">
      <c r="A79" s="151" t="s">
        <v>109</v>
      </c>
      <c r="B79" s="155" t="s">
        <v>13</v>
      </c>
      <c r="F79" s="156"/>
      <c r="G79" s="156"/>
      <c r="H79" s="157"/>
      <c r="I79" s="158">
        <v>0</v>
      </c>
      <c r="J79" s="157"/>
      <c r="K79" s="159">
        <f>(H79+I79)-J79</f>
        <v>0</v>
      </c>
    </row>
    <row r="80" spans="1:11" ht="18" customHeight="1">
      <c r="A80" s="151" t="s">
        <v>110</v>
      </c>
      <c r="B80" s="155" t="s">
        <v>56</v>
      </c>
      <c r="F80" s="156"/>
      <c r="G80" s="156"/>
      <c r="H80" s="157"/>
      <c r="I80" s="158">
        <v>0</v>
      </c>
      <c r="J80" s="157"/>
      <c r="K80" s="159">
        <f>(H80+I80)-J80</f>
        <v>0</v>
      </c>
    </row>
    <row r="81" spans="1:11" ht="18" customHeight="1">
      <c r="A81" s="151"/>
      <c r="K81" s="188"/>
    </row>
    <row r="82" spans="1:11" ht="18" customHeight="1">
      <c r="A82" s="151" t="s">
        <v>148</v>
      </c>
      <c r="B82" s="150" t="s">
        <v>149</v>
      </c>
      <c r="E82" s="150" t="s">
        <v>7</v>
      </c>
      <c r="F82" s="185">
        <f t="shared" ref="F82:K82" si="8">SUM(F77:F80)</f>
        <v>0</v>
      </c>
      <c r="G82" s="185">
        <f t="shared" si="8"/>
        <v>0</v>
      </c>
      <c r="H82" s="187">
        <f t="shared" si="8"/>
        <v>0</v>
      </c>
      <c r="I82" s="187">
        <f t="shared" si="8"/>
        <v>0</v>
      </c>
      <c r="J82" s="187">
        <f t="shared" si="8"/>
        <v>0</v>
      </c>
      <c r="K82" s="187">
        <f t="shared" si="8"/>
        <v>0</v>
      </c>
    </row>
    <row r="83" spans="1:11" ht="18" customHeight="1" thickBot="1">
      <c r="A83" s="151"/>
      <c r="F83" s="172"/>
      <c r="G83" s="172"/>
      <c r="H83" s="172"/>
      <c r="I83" s="172"/>
      <c r="J83" s="172"/>
      <c r="K83" s="172"/>
    </row>
    <row r="84" spans="1:11" ht="42.75" customHeight="1">
      <c r="F84" s="153" t="s">
        <v>9</v>
      </c>
      <c r="G84" s="153" t="s">
        <v>37</v>
      </c>
      <c r="H84" s="153" t="s">
        <v>29</v>
      </c>
      <c r="I84" s="153" t="s">
        <v>30</v>
      </c>
      <c r="J84" s="153" t="s">
        <v>33</v>
      </c>
      <c r="K84" s="153" t="s">
        <v>34</v>
      </c>
    </row>
    <row r="85" spans="1:11" ht="18" customHeight="1">
      <c r="A85" s="154" t="s">
        <v>111</v>
      </c>
      <c r="B85" s="150" t="s">
        <v>57</v>
      </c>
    </row>
    <row r="86" spans="1:11" ht="18" customHeight="1">
      <c r="A86" s="151" t="s">
        <v>112</v>
      </c>
      <c r="B86" s="155" t="s">
        <v>113</v>
      </c>
      <c r="F86" s="156">
        <v>7561</v>
      </c>
      <c r="G86" s="156">
        <v>0</v>
      </c>
      <c r="H86" s="157">
        <v>2464278</v>
      </c>
      <c r="I86" s="158">
        <f t="shared" ref="I86:I96" si="9">H86*F$114</f>
        <v>0</v>
      </c>
      <c r="J86" s="157">
        <v>2094996</v>
      </c>
      <c r="K86" s="159">
        <f t="shared" ref="K86:K96" si="10">(H86+I86)-J86</f>
        <v>369282</v>
      </c>
    </row>
    <row r="87" spans="1:11" ht="18" customHeight="1">
      <c r="A87" s="151" t="s">
        <v>114</v>
      </c>
      <c r="B87" s="155" t="s">
        <v>14</v>
      </c>
      <c r="F87" s="156"/>
      <c r="G87" s="156"/>
      <c r="H87" s="157"/>
      <c r="I87" s="158">
        <f t="shared" si="9"/>
        <v>0</v>
      </c>
      <c r="J87" s="157"/>
      <c r="K87" s="159">
        <f t="shared" si="10"/>
        <v>0</v>
      </c>
    </row>
    <row r="88" spans="1:11" ht="18" customHeight="1">
      <c r="A88" s="151" t="s">
        <v>115</v>
      </c>
      <c r="B88" s="155" t="s">
        <v>116</v>
      </c>
      <c r="F88" s="156"/>
      <c r="G88" s="156"/>
      <c r="H88" s="157"/>
      <c r="I88" s="158">
        <f t="shared" si="9"/>
        <v>0</v>
      </c>
      <c r="J88" s="157"/>
      <c r="K88" s="159">
        <f t="shared" si="10"/>
        <v>0</v>
      </c>
    </row>
    <row r="89" spans="1:11" ht="18" customHeight="1">
      <c r="A89" s="151" t="s">
        <v>117</v>
      </c>
      <c r="B89" s="155" t="s">
        <v>58</v>
      </c>
      <c r="F89" s="156"/>
      <c r="G89" s="156"/>
      <c r="H89" s="157"/>
      <c r="I89" s="158">
        <f t="shared" si="9"/>
        <v>0</v>
      </c>
      <c r="J89" s="157"/>
      <c r="K89" s="159">
        <f t="shared" si="10"/>
        <v>0</v>
      </c>
    </row>
    <row r="90" spans="1:11" ht="18" customHeight="1">
      <c r="A90" s="151" t="s">
        <v>118</v>
      </c>
      <c r="B90" s="904" t="s">
        <v>59</v>
      </c>
      <c r="C90" s="907"/>
      <c r="F90" s="156"/>
      <c r="G90" s="156"/>
      <c r="H90" s="157"/>
      <c r="I90" s="158">
        <f t="shared" si="9"/>
        <v>0</v>
      </c>
      <c r="J90" s="157"/>
      <c r="K90" s="159">
        <f t="shared" si="10"/>
        <v>0</v>
      </c>
    </row>
    <row r="91" spans="1:11" ht="18" customHeight="1">
      <c r="A91" s="151" t="s">
        <v>119</v>
      </c>
      <c r="B91" s="155" t="s">
        <v>60</v>
      </c>
      <c r="F91" s="156"/>
      <c r="G91" s="156"/>
      <c r="H91" s="157"/>
      <c r="I91" s="158">
        <f t="shared" si="9"/>
        <v>0</v>
      </c>
      <c r="J91" s="157"/>
      <c r="K91" s="159">
        <f t="shared" si="10"/>
        <v>0</v>
      </c>
    </row>
    <row r="92" spans="1:11" ht="18" customHeight="1">
      <c r="A92" s="151" t="s">
        <v>120</v>
      </c>
      <c r="B92" s="155" t="s">
        <v>121</v>
      </c>
      <c r="F92" s="189"/>
      <c r="G92" s="189"/>
      <c r="H92" s="190"/>
      <c r="I92" s="158">
        <f t="shared" si="9"/>
        <v>0</v>
      </c>
      <c r="J92" s="190"/>
      <c r="K92" s="159">
        <f t="shared" si="10"/>
        <v>0</v>
      </c>
    </row>
    <row r="93" spans="1:11" ht="18" customHeight="1">
      <c r="A93" s="151" t="s">
        <v>122</v>
      </c>
      <c r="B93" s="155" t="s">
        <v>123</v>
      </c>
      <c r="F93" s="156"/>
      <c r="G93" s="156"/>
      <c r="H93" s="157"/>
      <c r="I93" s="158">
        <f t="shared" si="9"/>
        <v>0</v>
      </c>
      <c r="J93" s="157"/>
      <c r="K93" s="159">
        <f t="shared" si="10"/>
        <v>0</v>
      </c>
    </row>
    <row r="94" spans="1:11" ht="18" customHeight="1">
      <c r="A94" s="151" t="s">
        <v>124</v>
      </c>
      <c r="B94" s="901"/>
      <c r="C94" s="902"/>
      <c r="D94" s="903"/>
      <c r="F94" s="156"/>
      <c r="G94" s="156"/>
      <c r="H94" s="157"/>
      <c r="I94" s="158">
        <f t="shared" si="9"/>
        <v>0</v>
      </c>
      <c r="J94" s="157"/>
      <c r="K94" s="159">
        <f t="shared" si="10"/>
        <v>0</v>
      </c>
    </row>
    <row r="95" spans="1:11" ht="18" customHeight="1">
      <c r="A95" s="151" t="s">
        <v>125</v>
      </c>
      <c r="B95" s="901"/>
      <c r="C95" s="902"/>
      <c r="D95" s="903"/>
      <c r="F95" s="156"/>
      <c r="G95" s="156"/>
      <c r="H95" s="157"/>
      <c r="I95" s="158">
        <f t="shared" si="9"/>
        <v>0</v>
      </c>
      <c r="J95" s="157"/>
      <c r="K95" s="159">
        <f t="shared" si="10"/>
        <v>0</v>
      </c>
    </row>
    <row r="96" spans="1:11" ht="18" customHeight="1">
      <c r="A96" s="151" t="s">
        <v>126</v>
      </c>
      <c r="B96" s="901"/>
      <c r="C96" s="902"/>
      <c r="D96" s="903"/>
      <c r="F96" s="156"/>
      <c r="G96" s="156"/>
      <c r="H96" s="157"/>
      <c r="I96" s="158">
        <f t="shared" si="9"/>
        <v>0</v>
      </c>
      <c r="J96" s="157"/>
      <c r="K96" s="159">
        <f t="shared" si="10"/>
        <v>0</v>
      </c>
    </row>
    <row r="97" spans="1:11" ht="18" customHeight="1">
      <c r="A97" s="151"/>
      <c r="B97" s="155"/>
    </row>
    <row r="98" spans="1:11" ht="18" customHeight="1">
      <c r="A98" s="154" t="s">
        <v>150</v>
      </c>
      <c r="B98" s="150" t="s">
        <v>151</v>
      </c>
      <c r="E98" s="150" t="s">
        <v>7</v>
      </c>
      <c r="F98" s="162">
        <f t="shared" ref="F98:K98" si="11">SUM(F86:F96)</f>
        <v>7561</v>
      </c>
      <c r="G98" s="162">
        <f t="shared" si="11"/>
        <v>0</v>
      </c>
      <c r="H98" s="162">
        <f t="shared" si="11"/>
        <v>2464278</v>
      </c>
      <c r="I98" s="162">
        <f t="shared" si="11"/>
        <v>0</v>
      </c>
      <c r="J98" s="162">
        <f t="shared" si="11"/>
        <v>2094996</v>
      </c>
      <c r="K98" s="162">
        <f t="shared" si="11"/>
        <v>369282</v>
      </c>
    </row>
    <row r="99" spans="1:11" ht="18" customHeight="1" thickBot="1">
      <c r="B99" s="150"/>
      <c r="F99" s="172"/>
      <c r="G99" s="172"/>
      <c r="H99" s="172"/>
      <c r="I99" s="172"/>
      <c r="J99" s="172"/>
      <c r="K99" s="172"/>
    </row>
    <row r="100" spans="1:11" ht="42.75" customHeight="1">
      <c r="F100" s="153" t="s">
        <v>9</v>
      </c>
      <c r="G100" s="153" t="s">
        <v>37</v>
      </c>
      <c r="H100" s="153" t="s">
        <v>29</v>
      </c>
      <c r="I100" s="153" t="s">
        <v>30</v>
      </c>
      <c r="J100" s="153" t="s">
        <v>33</v>
      </c>
      <c r="K100" s="153" t="s">
        <v>34</v>
      </c>
    </row>
    <row r="101" spans="1:11" ht="18" customHeight="1">
      <c r="A101" s="154" t="s">
        <v>130</v>
      </c>
      <c r="B101" s="150" t="s">
        <v>63</v>
      </c>
    </row>
    <row r="102" spans="1:11" ht="18" customHeight="1">
      <c r="A102" s="151" t="s">
        <v>131</v>
      </c>
      <c r="B102" s="155" t="s">
        <v>152</v>
      </c>
      <c r="F102" s="156">
        <v>0</v>
      </c>
      <c r="G102" s="156">
        <v>0</v>
      </c>
      <c r="H102" s="157">
        <v>1094211</v>
      </c>
      <c r="I102" s="158">
        <f>H102*F$114</f>
        <v>0</v>
      </c>
      <c r="J102" s="157">
        <v>9678</v>
      </c>
      <c r="K102" s="159">
        <f>(H102+I102)-J102</f>
        <v>1084533</v>
      </c>
    </row>
    <row r="103" spans="1:11" ht="18" customHeight="1">
      <c r="A103" s="151" t="s">
        <v>132</v>
      </c>
      <c r="B103" s="904" t="s">
        <v>62</v>
      </c>
      <c r="C103" s="904"/>
      <c r="F103" s="156"/>
      <c r="G103" s="156"/>
      <c r="H103" s="157"/>
      <c r="I103" s="158">
        <f>H103*F$114</f>
        <v>0</v>
      </c>
      <c r="J103" s="157"/>
      <c r="K103" s="159">
        <f>(H103+I103)-J103</f>
        <v>0</v>
      </c>
    </row>
    <row r="104" spans="1:11" ht="18" customHeight="1">
      <c r="A104" s="151" t="s">
        <v>128</v>
      </c>
      <c r="B104" s="901"/>
      <c r="C104" s="902"/>
      <c r="D104" s="903"/>
      <c r="F104" s="156"/>
      <c r="G104" s="156"/>
      <c r="H104" s="157"/>
      <c r="I104" s="158">
        <f>H104*F$114</f>
        <v>0</v>
      </c>
      <c r="J104" s="157"/>
      <c r="K104" s="159">
        <f>(H104+I104)-J104</f>
        <v>0</v>
      </c>
    </row>
    <row r="105" spans="1:11" ht="18" customHeight="1">
      <c r="A105" s="151" t="s">
        <v>127</v>
      </c>
      <c r="B105" s="901"/>
      <c r="C105" s="902"/>
      <c r="D105" s="903"/>
      <c r="F105" s="156"/>
      <c r="G105" s="156"/>
      <c r="H105" s="157"/>
      <c r="I105" s="158">
        <f>H105*F$114</f>
        <v>0</v>
      </c>
      <c r="J105" s="157"/>
      <c r="K105" s="159">
        <f>(H105+I105)-J105</f>
        <v>0</v>
      </c>
    </row>
    <row r="106" spans="1:11" ht="18" customHeight="1">
      <c r="A106" s="151" t="s">
        <v>129</v>
      </c>
      <c r="B106" s="901"/>
      <c r="C106" s="902"/>
      <c r="D106" s="903"/>
      <c r="F106" s="156"/>
      <c r="G106" s="156"/>
      <c r="H106" s="157"/>
      <c r="I106" s="158">
        <f>H106*F$114</f>
        <v>0</v>
      </c>
      <c r="J106" s="157"/>
      <c r="K106" s="159">
        <f>(H106+I106)-J106</f>
        <v>0</v>
      </c>
    </row>
    <row r="107" spans="1:11" ht="18" customHeight="1">
      <c r="B107" s="150"/>
    </row>
    <row r="108" spans="1:11" s="167" customFormat="1" ht="18" customHeight="1">
      <c r="A108" s="154" t="s">
        <v>153</v>
      </c>
      <c r="B108" s="191" t="s">
        <v>154</v>
      </c>
      <c r="C108" s="147"/>
      <c r="D108" s="147"/>
      <c r="E108" s="150" t="s">
        <v>7</v>
      </c>
      <c r="F108" s="162">
        <f t="shared" ref="F108:K108" si="12">SUM(F102:F106)</f>
        <v>0</v>
      </c>
      <c r="G108" s="162">
        <f t="shared" si="12"/>
        <v>0</v>
      </c>
      <c r="H108" s="159">
        <f t="shared" si="12"/>
        <v>1094211</v>
      </c>
      <c r="I108" s="159">
        <f t="shared" si="12"/>
        <v>0</v>
      </c>
      <c r="J108" s="159">
        <f t="shared" si="12"/>
        <v>9678</v>
      </c>
      <c r="K108" s="159">
        <f t="shared" si="12"/>
        <v>1084533</v>
      </c>
    </row>
    <row r="109" spans="1:11" s="167" customFormat="1" ht="18" customHeight="1" thickBot="1">
      <c r="A109" s="192"/>
      <c r="B109" s="193"/>
      <c r="C109" s="194"/>
      <c r="D109" s="194"/>
      <c r="E109" s="194"/>
      <c r="F109" s="172"/>
      <c r="G109" s="172"/>
      <c r="H109" s="172"/>
      <c r="I109" s="172"/>
      <c r="J109" s="172"/>
      <c r="K109" s="172"/>
    </row>
    <row r="110" spans="1:11" s="167" customFormat="1" ht="18" customHeight="1">
      <c r="A110" s="154" t="s">
        <v>156</v>
      </c>
      <c r="B110" s="150" t="s">
        <v>39</v>
      </c>
      <c r="C110" s="147"/>
      <c r="D110" s="147"/>
      <c r="E110" s="147"/>
      <c r="F110" s="147"/>
      <c r="G110" s="147"/>
      <c r="H110" s="147"/>
      <c r="I110" s="147"/>
      <c r="J110" s="147"/>
      <c r="K110" s="147"/>
    </row>
    <row r="111" spans="1:11" ht="18" customHeight="1">
      <c r="A111" s="154" t="s">
        <v>155</v>
      </c>
      <c r="B111" s="150" t="s">
        <v>164</v>
      </c>
      <c r="E111" s="150" t="s">
        <v>7</v>
      </c>
      <c r="F111" s="157">
        <v>2390079</v>
      </c>
    </row>
    <row r="112" spans="1:11" ht="18" customHeight="1">
      <c r="B112" s="150"/>
      <c r="E112" s="150"/>
      <c r="F112" s="195"/>
    </row>
    <row r="113" spans="1:6" ht="18" customHeight="1">
      <c r="A113" s="154"/>
      <c r="B113" s="150" t="s">
        <v>15</v>
      </c>
    </row>
    <row r="114" spans="1:6" ht="18" customHeight="1">
      <c r="A114" s="151" t="s">
        <v>171</v>
      </c>
      <c r="B114" s="155" t="s">
        <v>35</v>
      </c>
      <c r="F114" s="196"/>
    </row>
    <row r="115" spans="1:6" ht="18" customHeight="1">
      <c r="A115" s="151"/>
      <c r="B115" s="150"/>
    </row>
    <row r="116" spans="1:6" ht="18" customHeight="1">
      <c r="A116" s="151" t="s">
        <v>170</v>
      </c>
      <c r="B116" s="150" t="s">
        <v>16</v>
      </c>
    </row>
    <row r="117" spans="1:6" ht="18" customHeight="1">
      <c r="A117" s="151" t="s">
        <v>172</v>
      </c>
      <c r="B117" s="155" t="s">
        <v>17</v>
      </c>
      <c r="F117" s="157">
        <v>114827159</v>
      </c>
    </row>
    <row r="118" spans="1:6" ht="18" customHeight="1">
      <c r="A118" s="151" t="s">
        <v>173</v>
      </c>
      <c r="B118" s="147" t="s">
        <v>18</v>
      </c>
      <c r="F118" s="157">
        <v>6964651</v>
      </c>
    </row>
    <row r="119" spans="1:6" ht="18" customHeight="1">
      <c r="A119" s="151" t="s">
        <v>174</v>
      </c>
      <c r="B119" s="150" t="s">
        <v>19</v>
      </c>
      <c r="F119" s="187">
        <f>SUM(F117:F118)</f>
        <v>121791810</v>
      </c>
    </row>
    <row r="120" spans="1:6" ht="18" customHeight="1">
      <c r="A120" s="151"/>
      <c r="B120" s="150"/>
    </row>
    <row r="121" spans="1:6" ht="18" customHeight="1">
      <c r="A121" s="151" t="s">
        <v>167</v>
      </c>
      <c r="B121" s="150" t="s">
        <v>36</v>
      </c>
      <c r="F121" s="157">
        <v>111386997</v>
      </c>
    </row>
    <row r="122" spans="1:6" ht="18" customHeight="1">
      <c r="A122" s="151"/>
    </row>
    <row r="123" spans="1:6" ht="18" customHeight="1">
      <c r="A123" s="151" t="s">
        <v>175</v>
      </c>
      <c r="B123" s="150" t="s">
        <v>20</v>
      </c>
      <c r="F123" s="157">
        <v>9028648</v>
      </c>
    </row>
    <row r="124" spans="1:6" ht="18" customHeight="1">
      <c r="A124" s="151"/>
    </row>
    <row r="125" spans="1:6" ht="18" customHeight="1">
      <c r="A125" s="151" t="s">
        <v>176</v>
      </c>
      <c r="B125" s="150" t="s">
        <v>21</v>
      </c>
      <c r="F125" s="157">
        <v>-725647</v>
      </c>
    </row>
    <row r="126" spans="1:6" ht="18" customHeight="1">
      <c r="A126" s="151"/>
    </row>
    <row r="127" spans="1:6" ht="18" customHeight="1">
      <c r="A127" s="151" t="s">
        <v>177</v>
      </c>
      <c r="B127" s="150" t="s">
        <v>22</v>
      </c>
      <c r="F127" s="157">
        <v>8303001</v>
      </c>
    </row>
    <row r="128" spans="1:6" ht="18" customHeight="1">
      <c r="A128" s="151"/>
    </row>
    <row r="129" spans="1:11" ht="42.75" customHeight="1">
      <c r="F129" s="153" t="s">
        <v>9</v>
      </c>
      <c r="G129" s="153" t="s">
        <v>37</v>
      </c>
      <c r="H129" s="153" t="s">
        <v>29</v>
      </c>
      <c r="I129" s="153" t="s">
        <v>30</v>
      </c>
      <c r="J129" s="153" t="s">
        <v>33</v>
      </c>
      <c r="K129" s="153" t="s">
        <v>34</v>
      </c>
    </row>
    <row r="130" spans="1:11" ht="18" customHeight="1">
      <c r="A130" s="154" t="s">
        <v>157</v>
      </c>
      <c r="B130" s="150" t="s">
        <v>23</v>
      </c>
    </row>
    <row r="131" spans="1:11" ht="18" customHeight="1">
      <c r="A131" s="151" t="s">
        <v>158</v>
      </c>
      <c r="B131" s="147" t="s">
        <v>24</v>
      </c>
      <c r="F131" s="156">
        <v>4979</v>
      </c>
      <c r="G131" s="156">
        <v>2253</v>
      </c>
      <c r="H131" s="157">
        <v>256107</v>
      </c>
      <c r="I131" s="158">
        <v>0</v>
      </c>
      <c r="J131" s="157">
        <v>0</v>
      </c>
      <c r="K131" s="159">
        <f>(H131+I131)-J131</f>
        <v>256107</v>
      </c>
    </row>
    <row r="132" spans="1:11" ht="18" customHeight="1">
      <c r="A132" s="151" t="s">
        <v>159</v>
      </c>
      <c r="B132" s="147" t="s">
        <v>25</v>
      </c>
      <c r="F132" s="156">
        <v>57937</v>
      </c>
      <c r="G132" s="156">
        <v>9306</v>
      </c>
      <c r="H132" s="157">
        <v>1772079</v>
      </c>
      <c r="I132" s="158">
        <v>0</v>
      </c>
      <c r="J132" s="157">
        <v>36000</v>
      </c>
      <c r="K132" s="159">
        <f>(H132+I132)-J132</f>
        <v>1736079</v>
      </c>
    </row>
    <row r="133" spans="1:11" ht="18" customHeight="1">
      <c r="A133" s="151" t="s">
        <v>160</v>
      </c>
      <c r="B133" s="898"/>
      <c r="C133" s="899"/>
      <c r="D133" s="900"/>
      <c r="F133" s="156"/>
      <c r="G133" s="156"/>
      <c r="H133" s="157"/>
      <c r="I133" s="158">
        <v>0</v>
      </c>
      <c r="J133" s="157"/>
      <c r="K133" s="159">
        <f>(H133+I133)-J133</f>
        <v>0</v>
      </c>
    </row>
    <row r="134" spans="1:11" ht="18" customHeight="1">
      <c r="A134" s="151" t="s">
        <v>161</v>
      </c>
      <c r="B134" s="898"/>
      <c r="C134" s="899"/>
      <c r="D134" s="900"/>
      <c r="F134" s="156"/>
      <c r="G134" s="156"/>
      <c r="H134" s="157"/>
      <c r="I134" s="158">
        <v>0</v>
      </c>
      <c r="J134" s="157"/>
      <c r="K134" s="159">
        <f>(H134+I134)-J134</f>
        <v>0</v>
      </c>
    </row>
    <row r="135" spans="1:11" ht="18" customHeight="1">
      <c r="A135" s="151" t="s">
        <v>162</v>
      </c>
      <c r="B135" s="898"/>
      <c r="C135" s="899"/>
      <c r="D135" s="900"/>
      <c r="F135" s="156"/>
      <c r="G135" s="156"/>
      <c r="H135" s="157"/>
      <c r="I135" s="158">
        <v>0</v>
      </c>
      <c r="J135" s="157"/>
      <c r="K135" s="159">
        <f>(H135+I135)-J135</f>
        <v>0</v>
      </c>
    </row>
    <row r="136" spans="1:11" ht="18" customHeight="1">
      <c r="A136" s="154"/>
    </row>
    <row r="137" spans="1:11" ht="18" customHeight="1">
      <c r="A137" s="154" t="s">
        <v>163</v>
      </c>
      <c r="B137" s="150" t="s">
        <v>27</v>
      </c>
      <c r="F137" s="162">
        <f t="shared" ref="F137:K137" si="13">SUM(F131:F135)</f>
        <v>62916</v>
      </c>
      <c r="G137" s="162">
        <f t="shared" si="13"/>
        <v>11559</v>
      </c>
      <c r="H137" s="159">
        <f t="shared" si="13"/>
        <v>2028186</v>
      </c>
      <c r="I137" s="159">
        <f t="shared" si="13"/>
        <v>0</v>
      </c>
      <c r="J137" s="159">
        <f t="shared" si="13"/>
        <v>36000</v>
      </c>
      <c r="K137" s="159">
        <f t="shared" si="13"/>
        <v>1992186</v>
      </c>
    </row>
    <row r="138" spans="1:11" ht="18" customHeight="1">
      <c r="A138" s="147"/>
    </row>
    <row r="139" spans="1:11" ht="42.75" customHeight="1">
      <c r="F139" s="153" t="s">
        <v>9</v>
      </c>
      <c r="G139" s="153" t="s">
        <v>37</v>
      </c>
      <c r="H139" s="153" t="s">
        <v>29</v>
      </c>
      <c r="I139" s="153" t="s">
        <v>30</v>
      </c>
      <c r="J139" s="153" t="s">
        <v>33</v>
      </c>
      <c r="K139" s="153" t="s">
        <v>34</v>
      </c>
    </row>
    <row r="140" spans="1:11" ht="18" customHeight="1">
      <c r="A140" s="154" t="s">
        <v>166</v>
      </c>
      <c r="B140" s="150" t="s">
        <v>26</v>
      </c>
    </row>
    <row r="141" spans="1:11" ht="18" customHeight="1">
      <c r="A141" s="151" t="s">
        <v>137</v>
      </c>
      <c r="B141" s="150" t="s">
        <v>64</v>
      </c>
      <c r="F141" s="197">
        <f t="shared" ref="F141:K141" si="14">F36</f>
        <v>225174</v>
      </c>
      <c r="G141" s="197">
        <f t="shared" si="14"/>
        <v>335146</v>
      </c>
      <c r="H141" s="197">
        <f t="shared" si="14"/>
        <v>8519730</v>
      </c>
      <c r="I141" s="197">
        <f t="shared" si="14"/>
        <v>0</v>
      </c>
      <c r="J141" s="197">
        <f t="shared" si="14"/>
        <v>5656893</v>
      </c>
      <c r="K141" s="197">
        <f t="shared" si="14"/>
        <v>2862837</v>
      </c>
    </row>
    <row r="142" spans="1:11" ht="18" customHeight="1">
      <c r="A142" s="151" t="s">
        <v>142</v>
      </c>
      <c r="B142" s="150" t="s">
        <v>65</v>
      </c>
      <c r="F142" s="197">
        <f t="shared" ref="F142:K142" si="15">F49</f>
        <v>176</v>
      </c>
      <c r="G142" s="197">
        <f t="shared" si="15"/>
        <v>0</v>
      </c>
      <c r="H142" s="197">
        <f t="shared" si="15"/>
        <v>59515</v>
      </c>
      <c r="I142" s="197">
        <f t="shared" si="15"/>
        <v>0</v>
      </c>
      <c r="J142" s="197">
        <f t="shared" si="15"/>
        <v>0</v>
      </c>
      <c r="K142" s="197">
        <f t="shared" si="15"/>
        <v>59515</v>
      </c>
    </row>
    <row r="143" spans="1:11" ht="18" customHeight="1">
      <c r="A143" s="151" t="s">
        <v>144</v>
      </c>
      <c r="B143" s="150" t="s">
        <v>66</v>
      </c>
      <c r="F143" s="197">
        <f t="shared" ref="F143:K143" si="16">F64</f>
        <v>12467</v>
      </c>
      <c r="G143" s="197">
        <f t="shared" si="16"/>
        <v>35760</v>
      </c>
      <c r="H143" s="197">
        <f t="shared" si="16"/>
        <v>371781</v>
      </c>
      <c r="I143" s="197">
        <f t="shared" si="16"/>
        <v>0</v>
      </c>
      <c r="J143" s="197">
        <f t="shared" si="16"/>
        <v>0</v>
      </c>
      <c r="K143" s="197">
        <f t="shared" si="16"/>
        <v>371781</v>
      </c>
    </row>
    <row r="144" spans="1:11" ht="18" customHeight="1">
      <c r="A144" s="151" t="s">
        <v>146</v>
      </c>
      <c r="B144" s="150" t="s">
        <v>67</v>
      </c>
      <c r="F144" s="197">
        <f t="shared" ref="F144:K144" si="17">F74</f>
        <v>1043</v>
      </c>
      <c r="G144" s="197">
        <f t="shared" si="17"/>
        <v>0</v>
      </c>
      <c r="H144" s="197">
        <f t="shared" si="17"/>
        <v>64191</v>
      </c>
      <c r="I144" s="197">
        <f t="shared" si="17"/>
        <v>0</v>
      </c>
      <c r="J144" s="197">
        <f t="shared" si="17"/>
        <v>0</v>
      </c>
      <c r="K144" s="197">
        <f t="shared" si="17"/>
        <v>64191</v>
      </c>
    </row>
    <row r="145" spans="1:11" ht="18" customHeight="1">
      <c r="A145" s="151" t="s">
        <v>148</v>
      </c>
      <c r="B145" s="150" t="s">
        <v>68</v>
      </c>
      <c r="F145" s="197">
        <f t="shared" ref="F145:K145" si="18">F82</f>
        <v>0</v>
      </c>
      <c r="G145" s="197">
        <f t="shared" si="18"/>
        <v>0</v>
      </c>
      <c r="H145" s="197">
        <f t="shared" si="18"/>
        <v>0</v>
      </c>
      <c r="I145" s="197">
        <f t="shared" si="18"/>
        <v>0</v>
      </c>
      <c r="J145" s="197">
        <f t="shared" si="18"/>
        <v>0</v>
      </c>
      <c r="K145" s="197">
        <f t="shared" si="18"/>
        <v>0</v>
      </c>
    </row>
    <row r="146" spans="1:11" ht="18" customHeight="1">
      <c r="A146" s="151" t="s">
        <v>150</v>
      </c>
      <c r="B146" s="150" t="s">
        <v>69</v>
      </c>
      <c r="F146" s="197">
        <f t="shared" ref="F146:K146" si="19">F98</f>
        <v>7561</v>
      </c>
      <c r="G146" s="197">
        <f t="shared" si="19"/>
        <v>0</v>
      </c>
      <c r="H146" s="197">
        <f t="shared" si="19"/>
        <v>2464278</v>
      </c>
      <c r="I146" s="197">
        <f t="shared" si="19"/>
        <v>0</v>
      </c>
      <c r="J146" s="197">
        <f t="shared" si="19"/>
        <v>2094996</v>
      </c>
      <c r="K146" s="197">
        <f t="shared" si="19"/>
        <v>369282</v>
      </c>
    </row>
    <row r="147" spans="1:11" ht="18" customHeight="1">
      <c r="A147" s="151" t="s">
        <v>153</v>
      </c>
      <c r="B147" s="150" t="s">
        <v>61</v>
      </c>
      <c r="F147" s="162">
        <f t="shared" ref="F147:K147" si="20">F108</f>
        <v>0</v>
      </c>
      <c r="G147" s="162">
        <f t="shared" si="20"/>
        <v>0</v>
      </c>
      <c r="H147" s="162">
        <f t="shared" si="20"/>
        <v>1094211</v>
      </c>
      <c r="I147" s="162">
        <f t="shared" si="20"/>
        <v>0</v>
      </c>
      <c r="J147" s="162">
        <f t="shared" si="20"/>
        <v>9678</v>
      </c>
      <c r="K147" s="162">
        <f t="shared" si="20"/>
        <v>1084533</v>
      </c>
    </row>
    <row r="148" spans="1:11" ht="18" customHeight="1">
      <c r="A148" s="151" t="s">
        <v>155</v>
      </c>
      <c r="B148" s="150" t="s">
        <v>70</v>
      </c>
      <c r="F148" s="198" t="s">
        <v>73</v>
      </c>
      <c r="G148" s="198" t="s">
        <v>73</v>
      </c>
      <c r="H148" s="199" t="s">
        <v>73</v>
      </c>
      <c r="I148" s="199" t="s">
        <v>73</v>
      </c>
      <c r="J148" s="199" t="s">
        <v>73</v>
      </c>
      <c r="K148" s="200">
        <f>F111</f>
        <v>2390079</v>
      </c>
    </row>
    <row r="149" spans="1:11" ht="18" customHeight="1">
      <c r="A149" s="151" t="s">
        <v>163</v>
      </c>
      <c r="B149" s="150" t="s">
        <v>71</v>
      </c>
      <c r="F149" s="162">
        <f t="shared" ref="F149:K149" si="21">F137</f>
        <v>62916</v>
      </c>
      <c r="G149" s="162">
        <f t="shared" si="21"/>
        <v>11559</v>
      </c>
      <c r="H149" s="162">
        <f t="shared" si="21"/>
        <v>2028186</v>
      </c>
      <c r="I149" s="162">
        <f t="shared" si="21"/>
        <v>0</v>
      </c>
      <c r="J149" s="162">
        <f t="shared" si="21"/>
        <v>36000</v>
      </c>
      <c r="K149" s="162">
        <f t="shared" si="21"/>
        <v>1992186</v>
      </c>
    </row>
    <row r="150" spans="1:11" ht="18" customHeight="1">
      <c r="A150" s="151" t="s">
        <v>185</v>
      </c>
      <c r="B150" s="150" t="s">
        <v>186</v>
      </c>
      <c r="F150" s="198" t="s">
        <v>73</v>
      </c>
      <c r="G150" s="198" t="s">
        <v>73</v>
      </c>
      <c r="H150" s="162">
        <f>H18</f>
        <v>3132449</v>
      </c>
      <c r="I150" s="162">
        <f>I18</f>
        <v>0</v>
      </c>
      <c r="J150" s="162">
        <f>J18</f>
        <v>2678635</v>
      </c>
      <c r="K150" s="162">
        <f>K18</f>
        <v>453814</v>
      </c>
    </row>
    <row r="151" spans="1:11" ht="18" customHeight="1">
      <c r="B151" s="150"/>
      <c r="F151" s="174"/>
      <c r="G151" s="174"/>
      <c r="H151" s="174"/>
      <c r="I151" s="174"/>
      <c r="J151" s="174"/>
      <c r="K151" s="174"/>
    </row>
    <row r="152" spans="1:11" ht="18" customHeight="1">
      <c r="A152" s="154" t="s">
        <v>165</v>
      </c>
      <c r="B152" s="150" t="s">
        <v>26</v>
      </c>
      <c r="F152" s="201">
        <f t="shared" ref="F152:K152" si="22">SUM(F141:F150)</f>
        <v>309337</v>
      </c>
      <c r="G152" s="201">
        <f t="shared" si="22"/>
        <v>382465</v>
      </c>
      <c r="H152" s="201">
        <f t="shared" si="22"/>
        <v>17734341</v>
      </c>
      <c r="I152" s="201">
        <f t="shared" si="22"/>
        <v>0</v>
      </c>
      <c r="J152" s="201">
        <f t="shared" si="22"/>
        <v>10476202</v>
      </c>
      <c r="K152" s="201">
        <f t="shared" si="22"/>
        <v>9648218</v>
      </c>
    </row>
    <row r="154" spans="1:11" ht="18" customHeight="1">
      <c r="A154" s="154" t="s">
        <v>168</v>
      </c>
      <c r="B154" s="150" t="s">
        <v>28</v>
      </c>
      <c r="F154" s="53">
        <f>K152/F121</f>
        <v>8.6618889635744462E-2</v>
      </c>
    </row>
    <row r="155" spans="1:11" ht="18" customHeight="1">
      <c r="A155" s="154" t="s">
        <v>169</v>
      </c>
      <c r="B155" s="150" t="s">
        <v>72</v>
      </c>
      <c r="F155" s="53">
        <f>K152/F127</f>
        <v>1.1620157579169266</v>
      </c>
      <c r="G155" s="150"/>
    </row>
    <row r="156" spans="1:11" ht="18" customHeight="1">
      <c r="G156" s="150"/>
    </row>
  </sheetData>
  <sheetProtection algorithmName="SHA-512" hashValue="iVvdvBFvLJrCQayOzWBOnlmmkvSOlg0vsuWfxw4ykvUWsRMIU69Eos4F9LU4n3blGdfrud4L5z60Zw6vfmvLvQ==" saltValue="dNfDTr1s26G+Dg2uXX89nw==" spinCount="100000" sheet="1" objects="1" scenarios="1"/>
  <mergeCells count="34">
    <mergeCell ref="B41:C41"/>
    <mergeCell ref="D2:H2"/>
    <mergeCell ref="C5:G5"/>
    <mergeCell ref="C6:G6"/>
    <mergeCell ref="C7:G7"/>
    <mergeCell ref="C9:G9"/>
    <mergeCell ref="C10:G10"/>
    <mergeCell ref="C11:G11"/>
    <mergeCell ref="B13:H13"/>
    <mergeCell ref="B30:D30"/>
    <mergeCell ref="B31:D31"/>
    <mergeCell ref="B34:D34"/>
    <mergeCell ref="B90:C90"/>
    <mergeCell ref="B44:D44"/>
    <mergeCell ref="B45:D45"/>
    <mergeCell ref="B46:D46"/>
    <mergeCell ref="B47:D47"/>
    <mergeCell ref="B52:C52"/>
    <mergeCell ref="B53:D53"/>
    <mergeCell ref="B55:D55"/>
    <mergeCell ref="B56:D56"/>
    <mergeCell ref="B57:D57"/>
    <mergeCell ref="B59:D59"/>
    <mergeCell ref="B62:D62"/>
    <mergeCell ref="B106:D106"/>
    <mergeCell ref="B133:D133"/>
    <mergeCell ref="B134:D134"/>
    <mergeCell ref="B135:D135"/>
    <mergeCell ref="B94:D94"/>
    <mergeCell ref="B95:D95"/>
    <mergeCell ref="B96:D96"/>
    <mergeCell ref="B103:C103"/>
    <mergeCell ref="B104:D104"/>
    <mergeCell ref="B105:D105"/>
  </mergeCells>
  <printOptions headings="1" gridLines="1"/>
  <pageMargins left="0.17" right="0.16" top="0.35" bottom="0.32" header="0.17" footer="0.17"/>
  <pageSetup paperSize="5" scale="75" fitToHeight="0" orientation="landscape"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M156"/>
  <sheetViews>
    <sheetView topLeftCell="B10" zoomScaleNormal="100" workbookViewId="0">
      <selection activeCell="K18" sqref="K18"/>
    </sheetView>
  </sheetViews>
  <sheetFormatPr defaultRowHeight="18" customHeight="1"/>
  <cols>
    <col min="1" max="1" width="8.28515625" style="493" customWidth="1"/>
    <col min="2" max="2" width="55.42578125" style="494" bestFit="1" customWidth="1"/>
    <col min="3" max="3" width="9.5703125" style="494" customWidth="1"/>
    <col min="4" max="4" width="9.140625" style="494"/>
    <col min="5" max="5" width="12.42578125" style="494" customWidth="1"/>
    <col min="6" max="6" width="18.5703125" style="494" customWidth="1"/>
    <col min="7" max="7" width="23.5703125" style="494" customWidth="1"/>
    <col min="8" max="8" width="17.140625" style="494" customWidth="1"/>
    <col min="9" max="9" width="21.140625" style="494" customWidth="1"/>
    <col min="10" max="10" width="19.85546875" style="494" customWidth="1"/>
    <col min="11" max="11" width="17.5703125" style="494" customWidth="1"/>
    <col min="12" max="12" width="9.140625" style="494"/>
    <col min="13" max="13" width="10.85546875" style="494" bestFit="1" customWidth="1"/>
    <col min="14" max="16384" width="9.140625" style="494"/>
  </cols>
  <sheetData>
    <row r="1" spans="1:11" ht="18" customHeight="1">
      <c r="C1" s="495"/>
      <c r="D1" s="485"/>
      <c r="E1" s="495"/>
      <c r="F1" s="495"/>
      <c r="G1" s="495"/>
      <c r="H1" s="495"/>
      <c r="I1" s="495"/>
      <c r="J1" s="495"/>
      <c r="K1" s="495"/>
    </row>
    <row r="2" spans="1:11" ht="18" customHeight="1">
      <c r="D2" s="996" t="s">
        <v>713</v>
      </c>
      <c r="E2" s="997"/>
      <c r="F2" s="997"/>
      <c r="G2" s="997"/>
      <c r="H2" s="997"/>
    </row>
    <row r="3" spans="1:11" ht="18" customHeight="1">
      <c r="B3" s="419" t="s">
        <v>0</v>
      </c>
    </row>
    <row r="5" spans="1:11" ht="18" customHeight="1">
      <c r="B5" s="427" t="s">
        <v>40</v>
      </c>
      <c r="C5" s="998" t="s">
        <v>785</v>
      </c>
      <c r="D5" s="999"/>
      <c r="E5" s="999"/>
      <c r="F5" s="999"/>
      <c r="G5" s="1000"/>
    </row>
    <row r="6" spans="1:11" ht="18" customHeight="1">
      <c r="B6" s="427" t="s">
        <v>3</v>
      </c>
      <c r="C6" s="1001">
        <v>15</v>
      </c>
      <c r="D6" s="1002"/>
      <c r="E6" s="1002"/>
      <c r="F6" s="1002"/>
      <c r="G6" s="1003"/>
    </row>
    <row r="7" spans="1:11" ht="18" customHeight="1">
      <c r="B7" s="488" t="s">
        <v>4</v>
      </c>
      <c r="C7" s="1004">
        <v>3426</v>
      </c>
      <c r="D7" s="1005"/>
      <c r="E7" s="1005"/>
      <c r="F7" s="1005"/>
      <c r="G7" s="1006"/>
    </row>
    <row r="8" spans="1:11" ht="18" customHeight="1">
      <c r="C8" s="496"/>
      <c r="D8" s="496"/>
      <c r="E8" s="496"/>
      <c r="F8" s="496"/>
      <c r="G8" s="496"/>
    </row>
    <row r="9" spans="1:11" ht="18" customHeight="1">
      <c r="B9" s="427" t="s">
        <v>1</v>
      </c>
      <c r="C9" s="1007" t="s">
        <v>490</v>
      </c>
      <c r="D9" s="1007"/>
      <c r="E9" s="1007"/>
      <c r="F9" s="1007"/>
      <c r="G9" s="1007"/>
    </row>
    <row r="10" spans="1:11" ht="18" customHeight="1">
      <c r="B10" s="427" t="s">
        <v>2</v>
      </c>
      <c r="C10" s="1007" t="s">
        <v>491</v>
      </c>
      <c r="D10" s="1007"/>
      <c r="E10" s="1007"/>
      <c r="F10" s="1007"/>
      <c r="G10" s="1007"/>
    </row>
    <row r="11" spans="1:11" ht="18" customHeight="1">
      <c r="B11" s="427" t="s">
        <v>32</v>
      </c>
      <c r="C11" s="1007" t="s">
        <v>492</v>
      </c>
      <c r="D11" s="1007"/>
      <c r="E11" s="1007"/>
      <c r="F11" s="1007"/>
      <c r="G11" s="1007"/>
    </row>
    <row r="12" spans="1:11" ht="18" customHeight="1">
      <c r="B12" s="427"/>
      <c r="C12" s="427"/>
      <c r="D12" s="427"/>
      <c r="E12" s="427"/>
      <c r="F12" s="427"/>
      <c r="G12" s="427"/>
    </row>
    <row r="13" spans="1:11" ht="24.6" customHeight="1">
      <c r="B13" s="1008"/>
      <c r="C13" s="1009"/>
      <c r="D13" s="1009"/>
      <c r="E13" s="1009"/>
      <c r="F13" s="1009"/>
      <c r="G13" s="1009"/>
      <c r="H13" s="987"/>
      <c r="I13" s="495"/>
    </row>
    <row r="14" spans="1:11" ht="18" customHeight="1">
      <c r="B14" s="497"/>
    </row>
    <row r="15" spans="1:11" ht="18" customHeight="1">
      <c r="B15" s="497"/>
    </row>
    <row r="16" spans="1:11" ht="45" customHeight="1">
      <c r="A16" s="485" t="s">
        <v>181</v>
      </c>
      <c r="B16" s="495"/>
      <c r="C16" s="495"/>
      <c r="D16" s="495"/>
      <c r="E16" s="495"/>
      <c r="F16" s="431" t="s">
        <v>9</v>
      </c>
      <c r="G16" s="431" t="s">
        <v>37</v>
      </c>
      <c r="H16" s="431" t="s">
        <v>29</v>
      </c>
      <c r="I16" s="431" t="s">
        <v>30</v>
      </c>
      <c r="J16" s="431" t="s">
        <v>33</v>
      </c>
      <c r="K16" s="431" t="s">
        <v>34</v>
      </c>
    </row>
    <row r="17" spans="1:11" ht="18" customHeight="1">
      <c r="A17" s="422" t="s">
        <v>184</v>
      </c>
      <c r="B17" s="419" t="s">
        <v>182</v>
      </c>
    </row>
    <row r="18" spans="1:11" ht="18" customHeight="1">
      <c r="A18" s="427" t="s">
        <v>185</v>
      </c>
      <c r="B18" s="439" t="s">
        <v>183</v>
      </c>
      <c r="F18" s="498" t="s">
        <v>73</v>
      </c>
      <c r="G18" s="498" t="s">
        <v>73</v>
      </c>
      <c r="H18" s="499">
        <v>12029175</v>
      </c>
      <c r="I18" s="499"/>
      <c r="J18" s="500">
        <v>10286448</v>
      </c>
      <c r="K18" s="501">
        <f>(H18+I18)-J18</f>
        <v>1742727</v>
      </c>
    </row>
    <row r="19" spans="1:11" ht="45" customHeight="1">
      <c r="A19" s="485" t="s">
        <v>8</v>
      </c>
      <c r="B19" s="495"/>
      <c r="C19" s="495"/>
      <c r="D19" s="495"/>
      <c r="E19" s="495"/>
      <c r="F19" s="431" t="s">
        <v>9</v>
      </c>
      <c r="G19" s="431" t="s">
        <v>37</v>
      </c>
      <c r="H19" s="431" t="s">
        <v>29</v>
      </c>
      <c r="I19" s="431" t="s">
        <v>30</v>
      </c>
      <c r="J19" s="431" t="s">
        <v>33</v>
      </c>
      <c r="K19" s="431" t="s">
        <v>34</v>
      </c>
    </row>
    <row r="20" spans="1:11" ht="18" customHeight="1">
      <c r="A20" s="422" t="s">
        <v>74</v>
      </c>
      <c r="B20" s="419" t="s">
        <v>41</v>
      </c>
    </row>
    <row r="21" spans="1:11" ht="18" customHeight="1">
      <c r="A21" s="427" t="s">
        <v>75</v>
      </c>
      <c r="B21" s="439" t="s">
        <v>42</v>
      </c>
      <c r="F21" s="498">
        <v>4292</v>
      </c>
      <c r="G21" s="498">
        <v>1742</v>
      </c>
      <c r="H21" s="502">
        <v>226311</v>
      </c>
      <c r="I21" s="503">
        <v>127713</v>
      </c>
      <c r="J21" s="502">
        <v>72360</v>
      </c>
      <c r="K21" s="504">
        <v>281664</v>
      </c>
    </row>
    <row r="22" spans="1:11" ht="18" customHeight="1">
      <c r="A22" s="427" t="s">
        <v>76</v>
      </c>
      <c r="B22" s="494" t="s">
        <v>6</v>
      </c>
      <c r="F22" s="498">
        <v>308.5</v>
      </c>
      <c r="G22" s="498">
        <v>1071</v>
      </c>
      <c r="H22" s="502">
        <v>35053</v>
      </c>
      <c r="I22" s="503">
        <v>21291</v>
      </c>
      <c r="J22" s="502"/>
      <c r="K22" s="504">
        <f t="shared" ref="K22:K34" si="0">(H22+I22)-J22</f>
        <v>56344</v>
      </c>
    </row>
    <row r="23" spans="1:11" ht="18" customHeight="1">
      <c r="A23" s="427" t="s">
        <v>77</v>
      </c>
      <c r="B23" s="494" t="s">
        <v>43</v>
      </c>
      <c r="F23" s="505"/>
      <c r="G23" s="505"/>
      <c r="H23" s="506"/>
      <c r="I23" s="507">
        <f t="shared" ref="I23:I34" si="1">H23*F$114</f>
        <v>0</v>
      </c>
      <c r="J23" s="506"/>
      <c r="K23" s="508">
        <f t="shared" si="0"/>
        <v>0</v>
      </c>
    </row>
    <row r="24" spans="1:11" ht="18" customHeight="1">
      <c r="A24" s="427" t="s">
        <v>78</v>
      </c>
      <c r="B24" s="494" t="s">
        <v>44</v>
      </c>
      <c r="F24" s="498">
        <v>2</v>
      </c>
      <c r="G24" s="498">
        <v>5</v>
      </c>
      <c r="H24" s="502">
        <v>95</v>
      </c>
      <c r="I24" s="503">
        <v>62</v>
      </c>
      <c r="J24" s="502"/>
      <c r="K24" s="504">
        <f t="shared" si="0"/>
        <v>157</v>
      </c>
    </row>
    <row r="25" spans="1:11" ht="18" customHeight="1">
      <c r="A25" s="427" t="s">
        <v>79</v>
      </c>
      <c r="B25" s="494" t="s">
        <v>5</v>
      </c>
      <c r="F25" s="505"/>
      <c r="G25" s="505"/>
      <c r="H25" s="506"/>
      <c r="I25" s="507">
        <f t="shared" si="1"/>
        <v>0</v>
      </c>
      <c r="J25" s="506"/>
      <c r="K25" s="508">
        <f t="shared" si="0"/>
        <v>0</v>
      </c>
    </row>
    <row r="26" spans="1:11" ht="18" customHeight="1">
      <c r="A26" s="427" t="s">
        <v>80</v>
      </c>
      <c r="B26" s="494" t="s">
        <v>45</v>
      </c>
      <c r="F26" s="509">
        <v>30</v>
      </c>
      <c r="G26" s="509">
        <v>1874</v>
      </c>
      <c r="H26" s="502">
        <v>24200</v>
      </c>
      <c r="I26" s="503">
        <v>0</v>
      </c>
      <c r="J26" s="502"/>
      <c r="K26" s="504">
        <f t="shared" si="0"/>
        <v>24200</v>
      </c>
    </row>
    <row r="27" spans="1:11" ht="18" customHeight="1">
      <c r="A27" s="427" t="s">
        <v>81</v>
      </c>
      <c r="B27" s="494" t="s">
        <v>46</v>
      </c>
      <c r="F27" s="505"/>
      <c r="G27" s="505"/>
      <c r="H27" s="506"/>
      <c r="I27" s="507">
        <f t="shared" si="1"/>
        <v>0</v>
      </c>
      <c r="J27" s="506"/>
      <c r="K27" s="508">
        <f t="shared" si="0"/>
        <v>0</v>
      </c>
    </row>
    <row r="28" spans="1:11" ht="18" customHeight="1">
      <c r="A28" s="427" t="s">
        <v>82</v>
      </c>
      <c r="B28" s="494" t="s">
        <v>47</v>
      </c>
      <c r="F28" s="505"/>
      <c r="G28" s="505"/>
      <c r="H28" s="506"/>
      <c r="I28" s="507">
        <f t="shared" si="1"/>
        <v>0</v>
      </c>
      <c r="J28" s="506"/>
      <c r="K28" s="508">
        <f t="shared" si="0"/>
        <v>0</v>
      </c>
    </row>
    <row r="29" spans="1:11" ht="18" customHeight="1">
      <c r="A29" s="427" t="s">
        <v>83</v>
      </c>
      <c r="B29" s="494" t="s">
        <v>48</v>
      </c>
      <c r="F29" s="498">
        <v>9</v>
      </c>
      <c r="G29" s="498"/>
      <c r="H29" s="502">
        <v>327316</v>
      </c>
      <c r="I29" s="503">
        <v>259</v>
      </c>
      <c r="J29" s="502"/>
      <c r="K29" s="504">
        <f t="shared" si="0"/>
        <v>327575</v>
      </c>
    </row>
    <row r="30" spans="1:11" ht="18" customHeight="1">
      <c r="A30" s="427" t="s">
        <v>84</v>
      </c>
      <c r="B30" s="1010" t="s">
        <v>514</v>
      </c>
      <c r="C30" s="1011"/>
      <c r="D30" s="1012"/>
      <c r="F30" s="498">
        <v>11</v>
      </c>
      <c r="G30" s="498"/>
      <c r="H30" s="502">
        <v>250</v>
      </c>
      <c r="I30" s="503">
        <v>163</v>
      </c>
      <c r="J30" s="502"/>
      <c r="K30" s="504">
        <f t="shared" si="0"/>
        <v>413</v>
      </c>
    </row>
    <row r="31" spans="1:11" ht="18" customHeight="1">
      <c r="A31" s="427" t="s">
        <v>133</v>
      </c>
      <c r="B31" s="984"/>
      <c r="C31" s="985"/>
      <c r="D31" s="986"/>
      <c r="F31" s="505"/>
      <c r="G31" s="505"/>
      <c r="H31" s="506"/>
      <c r="I31" s="507">
        <f t="shared" si="1"/>
        <v>0</v>
      </c>
      <c r="J31" s="506"/>
      <c r="K31" s="508">
        <f t="shared" si="0"/>
        <v>0</v>
      </c>
    </row>
    <row r="32" spans="1:11" ht="18" customHeight="1">
      <c r="A32" s="427" t="s">
        <v>134</v>
      </c>
      <c r="B32" s="510"/>
      <c r="C32" s="511"/>
      <c r="D32" s="512"/>
      <c r="F32" s="505"/>
      <c r="G32" s="513" t="s">
        <v>85</v>
      </c>
      <c r="H32" s="506"/>
      <c r="I32" s="507">
        <f t="shared" si="1"/>
        <v>0</v>
      </c>
      <c r="J32" s="506"/>
      <c r="K32" s="508">
        <f t="shared" si="0"/>
        <v>0</v>
      </c>
    </row>
    <row r="33" spans="1:11" ht="18" customHeight="1">
      <c r="A33" s="427" t="s">
        <v>135</v>
      </c>
      <c r="B33" s="510"/>
      <c r="C33" s="511"/>
      <c r="D33" s="512"/>
      <c r="F33" s="505"/>
      <c r="G33" s="513" t="s">
        <v>85</v>
      </c>
      <c r="H33" s="506"/>
      <c r="I33" s="507">
        <f t="shared" si="1"/>
        <v>0</v>
      </c>
      <c r="J33" s="506"/>
      <c r="K33" s="508">
        <f t="shared" si="0"/>
        <v>0</v>
      </c>
    </row>
    <row r="34" spans="1:11" ht="18" customHeight="1">
      <c r="A34" s="427" t="s">
        <v>136</v>
      </c>
      <c r="B34" s="984"/>
      <c r="C34" s="985"/>
      <c r="D34" s="986"/>
      <c r="F34" s="505"/>
      <c r="G34" s="513" t="s">
        <v>85</v>
      </c>
      <c r="H34" s="506"/>
      <c r="I34" s="507">
        <f t="shared" si="1"/>
        <v>0</v>
      </c>
      <c r="J34" s="506"/>
      <c r="K34" s="508">
        <f t="shared" si="0"/>
        <v>0</v>
      </c>
    </row>
    <row r="35" spans="1:11" ht="18" customHeight="1">
      <c r="K35" s="501"/>
    </row>
    <row r="36" spans="1:11" ht="18" customHeight="1">
      <c r="A36" s="422" t="s">
        <v>137</v>
      </c>
      <c r="B36" s="419" t="s">
        <v>138</v>
      </c>
      <c r="E36" s="419" t="s">
        <v>7</v>
      </c>
      <c r="F36" s="514">
        <f t="shared" ref="F36:K36" si="2">SUM(F21:F34)</f>
        <v>4652.5</v>
      </c>
      <c r="G36" s="514">
        <f t="shared" si="2"/>
        <v>4692</v>
      </c>
      <c r="H36" s="514">
        <f t="shared" si="2"/>
        <v>613225</v>
      </c>
      <c r="I36" s="504">
        <f t="shared" si="2"/>
        <v>149488</v>
      </c>
      <c r="J36" s="504">
        <f t="shared" si="2"/>
        <v>72360</v>
      </c>
      <c r="K36" s="504">
        <f t="shared" si="2"/>
        <v>690353</v>
      </c>
    </row>
    <row r="37" spans="1:11" ht="18" customHeight="1" thickBot="1">
      <c r="B37" s="419"/>
      <c r="F37" s="515"/>
      <c r="G37" s="515"/>
      <c r="H37" s="516"/>
      <c r="I37" s="516"/>
      <c r="J37" s="516"/>
      <c r="K37" s="517"/>
    </row>
    <row r="38" spans="1:11" ht="42.75" customHeight="1">
      <c r="F38" s="431" t="s">
        <v>9</v>
      </c>
      <c r="G38" s="431" t="s">
        <v>37</v>
      </c>
      <c r="H38" s="431" t="s">
        <v>29</v>
      </c>
      <c r="I38" s="431" t="s">
        <v>30</v>
      </c>
      <c r="J38" s="431" t="s">
        <v>33</v>
      </c>
      <c r="K38" s="431" t="s">
        <v>34</v>
      </c>
    </row>
    <row r="39" spans="1:11" ht="18.75" customHeight="1">
      <c r="A39" s="422" t="s">
        <v>86</v>
      </c>
      <c r="B39" s="419" t="s">
        <v>49</v>
      </c>
    </row>
    <row r="40" spans="1:11" ht="18" customHeight="1">
      <c r="A40" s="427" t="s">
        <v>87</v>
      </c>
      <c r="B40" s="494" t="s">
        <v>31</v>
      </c>
      <c r="F40" s="498">
        <v>177489</v>
      </c>
      <c r="G40" s="498"/>
      <c r="H40" s="502">
        <v>8704778</v>
      </c>
      <c r="I40" s="503">
        <v>5640813</v>
      </c>
      <c r="J40" s="502"/>
      <c r="K40" s="504">
        <f t="shared" ref="K40:K47" si="3">(H40+I40)-J40</f>
        <v>14345591</v>
      </c>
    </row>
    <row r="41" spans="1:11" ht="18" customHeight="1">
      <c r="A41" s="427" t="s">
        <v>88</v>
      </c>
      <c r="B41" s="987" t="s">
        <v>50</v>
      </c>
      <c r="C41" s="991"/>
      <c r="F41" s="498">
        <v>561</v>
      </c>
      <c r="G41" s="498"/>
      <c r="H41" s="502">
        <v>444771</v>
      </c>
      <c r="I41" s="503">
        <v>274418</v>
      </c>
      <c r="J41" s="502"/>
      <c r="K41" s="504">
        <f t="shared" si="3"/>
        <v>719189</v>
      </c>
    </row>
    <row r="42" spans="1:11" ht="18" customHeight="1">
      <c r="A42" s="427" t="s">
        <v>89</v>
      </c>
      <c r="B42" s="439" t="s">
        <v>11</v>
      </c>
      <c r="F42" s="498">
        <v>3428.5</v>
      </c>
      <c r="G42" s="498">
        <v>104</v>
      </c>
      <c r="H42" s="502">
        <v>87336</v>
      </c>
      <c r="I42" s="503">
        <v>56772</v>
      </c>
      <c r="J42" s="502"/>
      <c r="K42" s="504">
        <f t="shared" si="3"/>
        <v>144108</v>
      </c>
    </row>
    <row r="43" spans="1:11" ht="18" customHeight="1">
      <c r="A43" s="427" t="s">
        <v>90</v>
      </c>
      <c r="B43" s="518" t="s">
        <v>10</v>
      </c>
      <c r="C43" s="519"/>
      <c r="D43" s="519"/>
      <c r="E43" s="496"/>
      <c r="F43" s="505"/>
      <c r="G43" s="505"/>
      <c r="H43" s="506"/>
      <c r="I43" s="507">
        <v>0</v>
      </c>
      <c r="J43" s="506"/>
      <c r="K43" s="508">
        <f t="shared" si="3"/>
        <v>0</v>
      </c>
    </row>
    <row r="44" spans="1:11" ht="18" customHeight="1">
      <c r="A44" s="427" t="s">
        <v>91</v>
      </c>
      <c r="B44" s="984"/>
      <c r="C44" s="985"/>
      <c r="D44" s="986"/>
      <c r="E44" s="496"/>
      <c r="F44" s="505"/>
      <c r="G44" s="505"/>
      <c r="H44" s="505"/>
      <c r="I44" s="507">
        <v>0</v>
      </c>
      <c r="J44" s="505"/>
      <c r="K44" s="520">
        <f t="shared" si="3"/>
        <v>0</v>
      </c>
    </row>
    <row r="45" spans="1:11" ht="18" customHeight="1">
      <c r="A45" s="427" t="s">
        <v>139</v>
      </c>
      <c r="B45" s="984"/>
      <c r="C45" s="985"/>
      <c r="D45" s="986"/>
      <c r="E45" s="496"/>
      <c r="F45" s="505"/>
      <c r="G45" s="505"/>
      <c r="H45" s="506"/>
      <c r="I45" s="507">
        <v>0</v>
      </c>
      <c r="J45" s="506"/>
      <c r="K45" s="508">
        <f t="shared" si="3"/>
        <v>0</v>
      </c>
    </row>
    <row r="46" spans="1:11" ht="18" customHeight="1">
      <c r="A46" s="427" t="s">
        <v>140</v>
      </c>
      <c r="B46" s="984"/>
      <c r="C46" s="985"/>
      <c r="D46" s="986"/>
      <c r="E46" s="496"/>
      <c r="F46" s="505"/>
      <c r="G46" s="505"/>
      <c r="H46" s="506"/>
      <c r="I46" s="507">
        <v>0</v>
      </c>
      <c r="J46" s="506"/>
      <c r="K46" s="508">
        <f t="shared" si="3"/>
        <v>0</v>
      </c>
    </row>
    <row r="47" spans="1:11" ht="18" customHeight="1">
      <c r="A47" s="427" t="s">
        <v>141</v>
      </c>
      <c r="B47" s="984"/>
      <c r="C47" s="985"/>
      <c r="D47" s="986"/>
      <c r="E47" s="496"/>
      <c r="F47" s="505"/>
      <c r="G47" s="505"/>
      <c r="H47" s="506"/>
      <c r="I47" s="507">
        <v>0</v>
      </c>
      <c r="J47" s="506"/>
      <c r="K47" s="508">
        <f t="shared" si="3"/>
        <v>0</v>
      </c>
    </row>
    <row r="49" spans="1:11" ht="18" customHeight="1">
      <c r="A49" s="422" t="s">
        <v>142</v>
      </c>
      <c r="B49" s="419" t="s">
        <v>143</v>
      </c>
      <c r="E49" s="419" t="s">
        <v>7</v>
      </c>
      <c r="F49" s="521">
        <f t="shared" ref="F49:K49" si="4">SUM(F40:F47)</f>
        <v>181478.5</v>
      </c>
      <c r="G49" s="521">
        <f t="shared" si="4"/>
        <v>104</v>
      </c>
      <c r="H49" s="504">
        <f t="shared" si="4"/>
        <v>9236885</v>
      </c>
      <c r="I49" s="504">
        <f t="shared" si="4"/>
        <v>5972003</v>
      </c>
      <c r="J49" s="504">
        <f t="shared" si="4"/>
        <v>0</v>
      </c>
      <c r="K49" s="504">
        <f t="shared" si="4"/>
        <v>15208888</v>
      </c>
    </row>
    <row r="50" spans="1:11" ht="18" customHeight="1" thickBot="1">
      <c r="G50" s="522"/>
      <c r="H50" s="522"/>
      <c r="I50" s="522"/>
      <c r="J50" s="522"/>
      <c r="K50" s="522"/>
    </row>
    <row r="51" spans="1:11" ht="42.75" customHeight="1">
      <c r="F51" s="431" t="s">
        <v>9</v>
      </c>
      <c r="G51" s="431" t="s">
        <v>37</v>
      </c>
      <c r="H51" s="431" t="s">
        <v>29</v>
      </c>
      <c r="I51" s="431" t="s">
        <v>30</v>
      </c>
      <c r="J51" s="431" t="s">
        <v>33</v>
      </c>
      <c r="K51" s="431" t="s">
        <v>34</v>
      </c>
    </row>
    <row r="52" spans="1:11" ht="18" customHeight="1">
      <c r="A52" s="422" t="s">
        <v>92</v>
      </c>
      <c r="B52" s="992" t="s">
        <v>38</v>
      </c>
      <c r="C52" s="993"/>
    </row>
    <row r="53" spans="1:11" ht="18" customHeight="1">
      <c r="A53" s="427" t="s">
        <v>51</v>
      </c>
      <c r="B53" s="994" t="s">
        <v>786</v>
      </c>
      <c r="C53" s="995"/>
      <c r="D53" s="990"/>
      <c r="E53" s="496"/>
      <c r="F53" s="498"/>
      <c r="G53" s="498"/>
      <c r="H53" s="502">
        <v>120541</v>
      </c>
      <c r="I53" s="503">
        <v>0</v>
      </c>
      <c r="J53" s="502">
        <v>50856</v>
      </c>
      <c r="K53" s="504">
        <f t="shared" ref="K53:K62" si="5">(H53+I53)-J53</f>
        <v>69685</v>
      </c>
    </row>
    <row r="54" spans="1:11" ht="18" customHeight="1">
      <c r="A54" s="427" t="s">
        <v>93</v>
      </c>
      <c r="B54" s="523" t="s">
        <v>535</v>
      </c>
      <c r="C54" s="524"/>
      <c r="D54" s="525"/>
      <c r="E54" s="496"/>
      <c r="F54" s="498"/>
      <c r="G54" s="498"/>
      <c r="H54" s="502">
        <v>9328942</v>
      </c>
      <c r="I54" s="503">
        <v>0</v>
      </c>
      <c r="J54" s="502">
        <v>5241466</v>
      </c>
      <c r="K54" s="504">
        <f t="shared" si="5"/>
        <v>4087476</v>
      </c>
    </row>
    <row r="55" spans="1:11" ht="18" customHeight="1">
      <c r="A55" s="427" t="s">
        <v>94</v>
      </c>
      <c r="B55" s="988" t="s">
        <v>494</v>
      </c>
      <c r="C55" s="989"/>
      <c r="D55" s="990"/>
      <c r="E55" s="496"/>
      <c r="F55" s="498"/>
      <c r="G55" s="498"/>
      <c r="H55" s="502">
        <v>6243280</v>
      </c>
      <c r="I55" s="503">
        <v>0</v>
      </c>
      <c r="J55" s="502">
        <v>5777076</v>
      </c>
      <c r="K55" s="504">
        <f t="shared" si="5"/>
        <v>466204</v>
      </c>
    </row>
    <row r="56" spans="1:11" ht="18" customHeight="1">
      <c r="A56" s="427" t="s">
        <v>95</v>
      </c>
      <c r="B56" s="988" t="s">
        <v>787</v>
      </c>
      <c r="C56" s="989"/>
      <c r="D56" s="990"/>
      <c r="E56" s="496"/>
      <c r="F56" s="498"/>
      <c r="G56" s="498"/>
      <c r="H56" s="502">
        <v>13436650</v>
      </c>
      <c r="I56" s="503">
        <v>0</v>
      </c>
      <c r="J56" s="502">
        <v>12447442</v>
      </c>
      <c r="K56" s="504">
        <f t="shared" si="5"/>
        <v>989208</v>
      </c>
    </row>
    <row r="57" spans="1:11" ht="18" customHeight="1">
      <c r="A57" s="427" t="s">
        <v>96</v>
      </c>
      <c r="B57" s="981"/>
      <c r="C57" s="982"/>
      <c r="D57" s="983"/>
      <c r="F57" s="505"/>
      <c r="G57" s="505"/>
      <c r="H57" s="506"/>
      <c r="I57" s="507">
        <v>0</v>
      </c>
      <c r="J57" s="506"/>
      <c r="K57" s="508">
        <f t="shared" si="5"/>
        <v>0</v>
      </c>
    </row>
    <row r="58" spans="1:11" ht="18" customHeight="1">
      <c r="A58" s="427" t="s">
        <v>97</v>
      </c>
      <c r="B58" s="526"/>
      <c r="C58" s="527"/>
      <c r="D58" s="528"/>
      <c r="F58" s="505"/>
      <c r="G58" s="505"/>
      <c r="H58" s="506"/>
      <c r="I58" s="507">
        <v>0</v>
      </c>
      <c r="J58" s="506"/>
      <c r="K58" s="508">
        <f t="shared" si="5"/>
        <v>0</v>
      </c>
    </row>
    <row r="59" spans="1:11" ht="18" customHeight="1">
      <c r="A59" s="427" t="s">
        <v>98</v>
      </c>
      <c r="B59" s="981"/>
      <c r="C59" s="982"/>
      <c r="D59" s="983"/>
      <c r="F59" s="505"/>
      <c r="G59" s="505"/>
      <c r="H59" s="506"/>
      <c r="I59" s="507">
        <v>0</v>
      </c>
      <c r="J59" s="506"/>
      <c r="K59" s="508">
        <f t="shared" si="5"/>
        <v>0</v>
      </c>
    </row>
    <row r="60" spans="1:11" ht="18" customHeight="1">
      <c r="A60" s="427" t="s">
        <v>99</v>
      </c>
      <c r="B60" s="526"/>
      <c r="C60" s="527"/>
      <c r="D60" s="528"/>
      <c r="F60" s="505"/>
      <c r="G60" s="505"/>
      <c r="H60" s="506"/>
      <c r="I60" s="507">
        <v>0</v>
      </c>
      <c r="J60" s="506"/>
      <c r="K60" s="508">
        <f t="shared" si="5"/>
        <v>0</v>
      </c>
    </row>
    <row r="61" spans="1:11" ht="18" customHeight="1">
      <c r="A61" s="427" t="s">
        <v>100</v>
      </c>
      <c r="B61" s="526"/>
      <c r="C61" s="527"/>
      <c r="D61" s="528"/>
      <c r="F61" s="505"/>
      <c r="G61" s="505"/>
      <c r="H61" s="506"/>
      <c r="I61" s="507">
        <v>0</v>
      </c>
      <c r="J61" s="506"/>
      <c r="K61" s="508">
        <f t="shared" si="5"/>
        <v>0</v>
      </c>
    </row>
    <row r="62" spans="1:11" ht="18" customHeight="1">
      <c r="A62" s="427" t="s">
        <v>101</v>
      </c>
      <c r="B62" s="981"/>
      <c r="C62" s="982"/>
      <c r="D62" s="983"/>
      <c r="F62" s="505"/>
      <c r="G62" s="505"/>
      <c r="H62" s="506"/>
      <c r="I62" s="507">
        <v>0</v>
      </c>
      <c r="J62" s="506"/>
      <c r="K62" s="508">
        <f t="shared" si="5"/>
        <v>0</v>
      </c>
    </row>
    <row r="63" spans="1:11" ht="18" customHeight="1">
      <c r="A63" s="427"/>
      <c r="I63" s="529"/>
    </row>
    <row r="64" spans="1:11" ht="18" customHeight="1">
      <c r="A64" s="427" t="s">
        <v>144</v>
      </c>
      <c r="B64" s="419" t="s">
        <v>145</v>
      </c>
      <c r="E64" s="419" t="s">
        <v>7</v>
      </c>
      <c r="F64" s="514">
        <f t="shared" ref="F64:K64" si="6">SUM(F53:F62)</f>
        <v>0</v>
      </c>
      <c r="G64" s="514">
        <f t="shared" si="6"/>
        <v>0</v>
      </c>
      <c r="H64" s="504">
        <f t="shared" si="6"/>
        <v>29129413</v>
      </c>
      <c r="I64" s="504">
        <f t="shared" si="6"/>
        <v>0</v>
      </c>
      <c r="J64" s="504">
        <f t="shared" si="6"/>
        <v>23516840</v>
      </c>
      <c r="K64" s="504">
        <f t="shared" si="6"/>
        <v>5612573</v>
      </c>
    </row>
    <row r="65" spans="1:11" ht="18" customHeight="1">
      <c r="F65" s="530"/>
      <c r="G65" s="530"/>
      <c r="H65" s="530"/>
      <c r="I65" s="530"/>
      <c r="J65" s="530"/>
      <c r="K65" s="530"/>
    </row>
    <row r="66" spans="1:11" ht="42.75" customHeight="1">
      <c r="F66" s="469" t="s">
        <v>9</v>
      </c>
      <c r="G66" s="469" t="s">
        <v>37</v>
      </c>
      <c r="H66" s="469" t="s">
        <v>29</v>
      </c>
      <c r="I66" s="469" t="s">
        <v>30</v>
      </c>
      <c r="J66" s="469" t="s">
        <v>33</v>
      </c>
      <c r="K66" s="469" t="s">
        <v>34</v>
      </c>
    </row>
    <row r="67" spans="1:11" ht="18" customHeight="1">
      <c r="A67" s="422" t="s">
        <v>102</v>
      </c>
      <c r="B67" s="419" t="s">
        <v>12</v>
      </c>
      <c r="F67" s="531"/>
      <c r="G67" s="531"/>
      <c r="H67" s="531"/>
      <c r="I67" s="532"/>
      <c r="J67" s="531"/>
      <c r="K67" s="533"/>
    </row>
    <row r="68" spans="1:11" ht="18" customHeight="1">
      <c r="A68" s="427" t="s">
        <v>103</v>
      </c>
      <c r="B68" s="494" t="s">
        <v>52</v>
      </c>
      <c r="F68" s="534">
        <v>93</v>
      </c>
      <c r="G68" s="534"/>
      <c r="H68" s="534">
        <v>8254</v>
      </c>
      <c r="I68" s="503">
        <v>5366</v>
      </c>
      <c r="J68" s="534"/>
      <c r="K68" s="504">
        <f>(H68+I68)-J68</f>
        <v>13620</v>
      </c>
    </row>
    <row r="69" spans="1:11" ht="18" customHeight="1">
      <c r="A69" s="427" t="s">
        <v>104</v>
      </c>
      <c r="B69" s="535" t="s">
        <v>53</v>
      </c>
      <c r="C69" s="536"/>
      <c r="D69" s="536"/>
      <c r="F69" s="537"/>
      <c r="G69" s="537"/>
      <c r="H69" s="537"/>
      <c r="I69" s="507">
        <v>0</v>
      </c>
      <c r="J69" s="537"/>
      <c r="K69" s="508">
        <f>(H69+I69)-J69</f>
        <v>0</v>
      </c>
    </row>
    <row r="70" spans="1:11" ht="18" customHeight="1">
      <c r="A70" s="427" t="s">
        <v>178</v>
      </c>
      <c r="B70" s="526"/>
      <c r="C70" s="527"/>
      <c r="D70" s="528"/>
      <c r="E70" s="419"/>
      <c r="F70" s="538"/>
      <c r="G70" s="538"/>
      <c r="H70" s="539"/>
      <c r="I70" s="507">
        <v>0</v>
      </c>
      <c r="J70" s="539"/>
      <c r="K70" s="508">
        <f>(H70+I70)-J70</f>
        <v>0</v>
      </c>
    </row>
    <row r="71" spans="1:11" ht="18" customHeight="1">
      <c r="A71" s="427" t="s">
        <v>179</v>
      </c>
      <c r="B71" s="526"/>
      <c r="C71" s="527"/>
      <c r="D71" s="528"/>
      <c r="E71" s="419"/>
      <c r="F71" s="538"/>
      <c r="G71" s="538"/>
      <c r="H71" s="539"/>
      <c r="I71" s="507">
        <v>0</v>
      </c>
      <c r="J71" s="539"/>
      <c r="K71" s="508">
        <f>(H71+I71)-J71</f>
        <v>0</v>
      </c>
    </row>
    <row r="72" spans="1:11" ht="18" customHeight="1">
      <c r="A72" s="427" t="s">
        <v>180</v>
      </c>
      <c r="B72" s="540"/>
      <c r="C72" s="541"/>
      <c r="D72" s="542"/>
      <c r="E72" s="419"/>
      <c r="F72" s="505"/>
      <c r="G72" s="505"/>
      <c r="H72" s="506"/>
      <c r="I72" s="507">
        <v>0</v>
      </c>
      <c r="J72" s="506"/>
      <c r="K72" s="508">
        <f>(H72+I72)-J72</f>
        <v>0</v>
      </c>
    </row>
    <row r="73" spans="1:11" ht="18" customHeight="1">
      <c r="A73" s="427"/>
      <c r="B73" s="439"/>
      <c r="E73" s="419"/>
      <c r="F73" s="543"/>
      <c r="G73" s="543"/>
      <c r="H73" s="544"/>
      <c r="I73" s="532"/>
      <c r="J73" s="544"/>
      <c r="K73" s="533"/>
    </row>
    <row r="74" spans="1:11" ht="18" customHeight="1">
      <c r="A74" s="422" t="s">
        <v>146</v>
      </c>
      <c r="B74" s="419" t="s">
        <v>147</v>
      </c>
      <c r="E74" s="419" t="s">
        <v>7</v>
      </c>
      <c r="F74" s="545">
        <f t="shared" ref="F74:K74" si="7">SUM(F68:F72)</f>
        <v>93</v>
      </c>
      <c r="G74" s="545">
        <f t="shared" si="7"/>
        <v>0</v>
      </c>
      <c r="H74" s="545">
        <f t="shared" si="7"/>
        <v>8254</v>
      </c>
      <c r="I74" s="546">
        <f t="shared" si="7"/>
        <v>5366</v>
      </c>
      <c r="J74" s="545">
        <f t="shared" si="7"/>
        <v>0</v>
      </c>
      <c r="K74" s="547">
        <f t="shared" si="7"/>
        <v>13620</v>
      </c>
    </row>
    <row r="75" spans="1:11" ht="42.75" customHeight="1">
      <c r="F75" s="431" t="s">
        <v>9</v>
      </c>
      <c r="G75" s="431" t="s">
        <v>37</v>
      </c>
      <c r="H75" s="431" t="s">
        <v>29</v>
      </c>
      <c r="I75" s="431" t="s">
        <v>30</v>
      </c>
      <c r="J75" s="431" t="s">
        <v>33</v>
      </c>
      <c r="K75" s="431" t="s">
        <v>34</v>
      </c>
    </row>
    <row r="76" spans="1:11" ht="18" customHeight="1">
      <c r="A76" s="422" t="s">
        <v>105</v>
      </c>
      <c r="B76" s="419" t="s">
        <v>106</v>
      </c>
    </row>
    <row r="77" spans="1:11" ht="18" customHeight="1">
      <c r="A77" s="427" t="s">
        <v>107</v>
      </c>
      <c r="B77" s="439" t="s">
        <v>54</v>
      </c>
      <c r="F77" s="498">
        <v>11</v>
      </c>
      <c r="G77" s="498"/>
      <c r="H77" s="502">
        <v>37560</v>
      </c>
      <c r="I77" s="503">
        <v>0</v>
      </c>
      <c r="J77" s="502"/>
      <c r="K77" s="504">
        <f>(H77+I77)-J77</f>
        <v>37560</v>
      </c>
    </row>
    <row r="78" spans="1:11" ht="18" customHeight="1">
      <c r="A78" s="427" t="s">
        <v>108</v>
      </c>
      <c r="B78" s="439" t="s">
        <v>55</v>
      </c>
      <c r="F78" s="505"/>
      <c r="G78" s="505"/>
      <c r="H78" s="506"/>
      <c r="I78" s="507">
        <v>0</v>
      </c>
      <c r="J78" s="506"/>
      <c r="K78" s="508">
        <f>(H78+I78)-J78</f>
        <v>0</v>
      </c>
    </row>
    <row r="79" spans="1:11" ht="18" customHeight="1">
      <c r="A79" s="427" t="s">
        <v>109</v>
      </c>
      <c r="B79" s="439" t="s">
        <v>13</v>
      </c>
      <c r="F79" s="498">
        <v>73</v>
      </c>
      <c r="G79" s="498">
        <v>70</v>
      </c>
      <c r="H79" s="502">
        <v>11895</v>
      </c>
      <c r="I79" s="503">
        <v>4929</v>
      </c>
      <c r="J79" s="502">
        <v>595</v>
      </c>
      <c r="K79" s="504">
        <f>(H79+I79)-J79</f>
        <v>16229</v>
      </c>
    </row>
    <row r="80" spans="1:11" ht="18" customHeight="1">
      <c r="A80" s="427" t="s">
        <v>110</v>
      </c>
      <c r="B80" s="439" t="s">
        <v>56</v>
      </c>
      <c r="F80" s="505"/>
      <c r="G80" s="505"/>
      <c r="H80" s="506"/>
      <c r="I80" s="507">
        <v>0</v>
      </c>
      <c r="J80" s="506"/>
      <c r="K80" s="508">
        <f>(H80+I80)-J80</f>
        <v>0</v>
      </c>
    </row>
    <row r="81" spans="1:12" ht="18" customHeight="1">
      <c r="A81" s="427"/>
      <c r="F81" s="496"/>
      <c r="G81" s="496"/>
      <c r="H81" s="496"/>
      <c r="I81" s="496"/>
      <c r="J81" s="496"/>
      <c r="K81" s="504"/>
    </row>
    <row r="82" spans="1:12" ht="18" customHeight="1">
      <c r="A82" s="427" t="s">
        <v>148</v>
      </c>
      <c r="B82" s="419" t="s">
        <v>149</v>
      </c>
      <c r="E82" s="419" t="s">
        <v>7</v>
      </c>
      <c r="F82" s="545">
        <f t="shared" ref="F82:K82" si="8">SUM(F77:F80)</f>
        <v>84</v>
      </c>
      <c r="G82" s="545">
        <f t="shared" si="8"/>
        <v>70</v>
      </c>
      <c r="H82" s="547">
        <f t="shared" si="8"/>
        <v>49455</v>
      </c>
      <c r="I82" s="547">
        <f t="shared" si="8"/>
        <v>4929</v>
      </c>
      <c r="J82" s="547">
        <f t="shared" si="8"/>
        <v>595</v>
      </c>
      <c r="K82" s="547">
        <f t="shared" si="8"/>
        <v>53789</v>
      </c>
    </row>
    <row r="83" spans="1:12" ht="18" customHeight="1" thickBot="1">
      <c r="A83" s="427"/>
      <c r="F83" s="522"/>
      <c r="G83" s="522"/>
      <c r="H83" s="522"/>
      <c r="I83" s="522"/>
      <c r="J83" s="522"/>
      <c r="K83" s="522"/>
    </row>
    <row r="84" spans="1:12" ht="42.75" customHeight="1">
      <c r="F84" s="431" t="s">
        <v>9</v>
      </c>
      <c r="G84" s="431" t="s">
        <v>37</v>
      </c>
      <c r="H84" s="431" t="s">
        <v>29</v>
      </c>
      <c r="I84" s="431" t="s">
        <v>30</v>
      </c>
      <c r="J84" s="431" t="s">
        <v>33</v>
      </c>
      <c r="K84" s="431" t="s">
        <v>34</v>
      </c>
    </row>
    <row r="85" spans="1:12" ht="18" customHeight="1">
      <c r="A85" s="422" t="s">
        <v>111</v>
      </c>
      <c r="B85" s="419" t="s">
        <v>57</v>
      </c>
    </row>
    <row r="86" spans="1:12" ht="18" customHeight="1">
      <c r="A86" s="427" t="s">
        <v>112</v>
      </c>
      <c r="B86" s="439" t="s">
        <v>113</v>
      </c>
      <c r="F86" s="505"/>
      <c r="G86" s="505"/>
      <c r="H86" s="506"/>
      <c r="I86" s="507">
        <f t="shared" ref="I86:I96" si="9">H86*F$114</f>
        <v>0</v>
      </c>
      <c r="J86" s="506"/>
      <c r="K86" s="508">
        <f t="shared" ref="K86:K96" si="10">(H86+I86)-J86</f>
        <v>0</v>
      </c>
    </row>
    <row r="87" spans="1:12" ht="18" customHeight="1">
      <c r="A87" s="427" t="s">
        <v>114</v>
      </c>
      <c r="B87" s="439" t="s">
        <v>14</v>
      </c>
      <c r="F87" s="505"/>
      <c r="G87" s="505"/>
      <c r="H87" s="506"/>
      <c r="I87" s="507">
        <f t="shared" si="9"/>
        <v>0</v>
      </c>
      <c r="J87" s="506"/>
      <c r="K87" s="508">
        <f t="shared" si="10"/>
        <v>0</v>
      </c>
    </row>
    <row r="88" spans="1:12" ht="18" customHeight="1">
      <c r="A88" s="427" t="s">
        <v>115</v>
      </c>
      <c r="B88" s="439" t="s">
        <v>116</v>
      </c>
      <c r="F88" s="498">
        <v>282</v>
      </c>
      <c r="G88" s="498">
        <v>35</v>
      </c>
      <c r="H88" s="502">
        <v>28130</v>
      </c>
      <c r="I88" s="503">
        <v>12749</v>
      </c>
      <c r="J88" s="502">
        <v>18074</v>
      </c>
      <c r="K88" s="504">
        <f t="shared" si="10"/>
        <v>22805</v>
      </c>
    </row>
    <row r="89" spans="1:12" ht="18" customHeight="1">
      <c r="A89" s="427" t="s">
        <v>117</v>
      </c>
      <c r="B89" s="439" t="s">
        <v>58</v>
      </c>
      <c r="F89" s="505"/>
      <c r="G89" s="505"/>
      <c r="H89" s="506"/>
      <c r="I89" s="507">
        <f t="shared" si="9"/>
        <v>0</v>
      </c>
      <c r="J89" s="506"/>
      <c r="K89" s="508">
        <f t="shared" si="10"/>
        <v>0</v>
      </c>
    </row>
    <row r="90" spans="1:12" ht="18" customHeight="1">
      <c r="A90" s="427" t="s">
        <v>118</v>
      </c>
      <c r="B90" s="987" t="s">
        <v>59</v>
      </c>
      <c r="C90" s="991"/>
      <c r="F90" s="505"/>
      <c r="G90" s="505"/>
      <c r="H90" s="506"/>
      <c r="I90" s="507">
        <f t="shared" si="9"/>
        <v>0</v>
      </c>
      <c r="J90" s="506"/>
      <c r="K90" s="508">
        <f t="shared" si="10"/>
        <v>0</v>
      </c>
    </row>
    <row r="91" spans="1:12" ht="18" customHeight="1">
      <c r="A91" s="427" t="s">
        <v>119</v>
      </c>
      <c r="B91" s="439" t="s">
        <v>60</v>
      </c>
      <c r="F91" s="498">
        <v>10</v>
      </c>
      <c r="G91" s="498"/>
      <c r="H91" s="502">
        <v>521</v>
      </c>
      <c r="I91" s="503">
        <v>0</v>
      </c>
      <c r="J91" s="502"/>
      <c r="K91" s="504">
        <f t="shared" si="10"/>
        <v>521</v>
      </c>
    </row>
    <row r="92" spans="1:12" ht="18" customHeight="1">
      <c r="A92" s="427" t="s">
        <v>120</v>
      </c>
      <c r="B92" s="439" t="s">
        <v>121</v>
      </c>
      <c r="F92" s="548">
        <v>9</v>
      </c>
      <c r="G92" s="548">
        <v>52</v>
      </c>
      <c r="H92" s="549">
        <v>29788</v>
      </c>
      <c r="I92" s="503">
        <v>0</v>
      </c>
      <c r="J92" s="549"/>
      <c r="K92" s="504">
        <f t="shared" si="10"/>
        <v>29788</v>
      </c>
    </row>
    <row r="93" spans="1:12" ht="18" customHeight="1">
      <c r="A93" s="427" t="s">
        <v>122</v>
      </c>
      <c r="B93" s="439" t="s">
        <v>123</v>
      </c>
      <c r="F93" s="498"/>
      <c r="G93" s="498"/>
      <c r="H93" s="500">
        <v>196983</v>
      </c>
      <c r="I93" s="499">
        <v>0</v>
      </c>
      <c r="J93" s="500">
        <v>0</v>
      </c>
      <c r="K93" s="501">
        <f t="shared" si="10"/>
        <v>196983</v>
      </c>
      <c r="L93" s="550"/>
    </row>
    <row r="94" spans="1:12" ht="18" customHeight="1">
      <c r="A94" s="427" t="s">
        <v>124</v>
      </c>
      <c r="B94" s="981"/>
      <c r="C94" s="982"/>
      <c r="D94" s="983"/>
      <c r="F94" s="505"/>
      <c r="G94" s="505"/>
      <c r="H94" s="506"/>
      <c r="I94" s="507">
        <f t="shared" si="9"/>
        <v>0</v>
      </c>
      <c r="J94" s="506"/>
      <c r="K94" s="508">
        <f t="shared" si="10"/>
        <v>0</v>
      </c>
      <c r="L94" s="550"/>
    </row>
    <row r="95" spans="1:12" ht="18" customHeight="1">
      <c r="A95" s="427" t="s">
        <v>125</v>
      </c>
      <c r="B95" s="981"/>
      <c r="C95" s="982"/>
      <c r="D95" s="983"/>
      <c r="F95" s="505"/>
      <c r="G95" s="505"/>
      <c r="H95" s="506"/>
      <c r="I95" s="507">
        <f t="shared" si="9"/>
        <v>0</v>
      </c>
      <c r="J95" s="506"/>
      <c r="K95" s="508">
        <f t="shared" si="10"/>
        <v>0</v>
      </c>
      <c r="L95" s="550"/>
    </row>
    <row r="96" spans="1:12" ht="18" customHeight="1">
      <c r="A96" s="427" t="s">
        <v>126</v>
      </c>
      <c r="B96" s="981"/>
      <c r="C96" s="982"/>
      <c r="D96" s="983"/>
      <c r="F96" s="505"/>
      <c r="G96" s="505"/>
      <c r="H96" s="506"/>
      <c r="I96" s="507">
        <f t="shared" si="9"/>
        <v>0</v>
      </c>
      <c r="J96" s="506"/>
      <c r="K96" s="508">
        <f t="shared" si="10"/>
        <v>0</v>
      </c>
      <c r="L96" s="550"/>
    </row>
    <row r="97" spans="1:12" ht="18" customHeight="1">
      <c r="A97" s="427"/>
      <c r="B97" s="439"/>
      <c r="H97" s="550"/>
      <c r="I97" s="550"/>
      <c r="J97" s="550"/>
      <c r="K97" s="550"/>
      <c r="L97" s="550"/>
    </row>
    <row r="98" spans="1:12" ht="18" customHeight="1">
      <c r="A98" s="422" t="s">
        <v>150</v>
      </c>
      <c r="B98" s="419" t="s">
        <v>151</v>
      </c>
      <c r="E98" s="419" t="s">
        <v>7</v>
      </c>
      <c r="F98" s="514">
        <f t="shared" ref="F98:K98" si="11">SUM(F86:F96)</f>
        <v>301</v>
      </c>
      <c r="G98" s="514">
        <f t="shared" si="11"/>
        <v>87</v>
      </c>
      <c r="H98" s="551">
        <f t="shared" si="11"/>
        <v>255422</v>
      </c>
      <c r="I98" s="551">
        <f t="shared" si="11"/>
        <v>12749</v>
      </c>
      <c r="J98" s="551">
        <f t="shared" si="11"/>
        <v>18074</v>
      </c>
      <c r="K98" s="551">
        <f t="shared" si="11"/>
        <v>250097</v>
      </c>
      <c r="L98" s="550"/>
    </row>
    <row r="99" spans="1:12" ht="18" customHeight="1" thickBot="1">
      <c r="B99" s="419"/>
      <c r="F99" s="522"/>
      <c r="G99" s="522"/>
      <c r="H99" s="522"/>
      <c r="I99" s="522"/>
      <c r="J99" s="522"/>
      <c r="K99" s="522"/>
    </row>
    <row r="100" spans="1:12" ht="42.75" customHeight="1">
      <c r="F100" s="431" t="s">
        <v>9</v>
      </c>
      <c r="G100" s="431" t="s">
        <v>37</v>
      </c>
      <c r="H100" s="431" t="s">
        <v>29</v>
      </c>
      <c r="I100" s="431" t="s">
        <v>30</v>
      </c>
      <c r="J100" s="431" t="s">
        <v>33</v>
      </c>
      <c r="K100" s="431" t="s">
        <v>34</v>
      </c>
    </row>
    <row r="101" spans="1:12" ht="18" customHeight="1">
      <c r="A101" s="422" t="s">
        <v>130</v>
      </c>
      <c r="B101" s="419" t="s">
        <v>63</v>
      </c>
    </row>
    <row r="102" spans="1:12" ht="18" customHeight="1">
      <c r="A102" s="427" t="s">
        <v>131</v>
      </c>
      <c r="B102" s="439" t="s">
        <v>152</v>
      </c>
      <c r="F102" s="498">
        <v>2676</v>
      </c>
      <c r="G102" s="498"/>
      <c r="H102" s="502">
        <v>193975</v>
      </c>
      <c r="I102" s="503">
        <v>87412</v>
      </c>
      <c r="J102" s="502"/>
      <c r="K102" s="504">
        <f>(H102+I102)-J102</f>
        <v>281387</v>
      </c>
    </row>
    <row r="103" spans="1:12" ht="18" customHeight="1">
      <c r="A103" s="427" t="s">
        <v>132</v>
      </c>
      <c r="B103" s="987" t="s">
        <v>62</v>
      </c>
      <c r="C103" s="987"/>
      <c r="F103" s="498">
        <v>38</v>
      </c>
      <c r="G103" s="498"/>
      <c r="H103" s="502">
        <v>631</v>
      </c>
      <c r="I103" s="503">
        <v>410</v>
      </c>
      <c r="J103" s="502"/>
      <c r="K103" s="504">
        <f>(H103+I103)-J103</f>
        <v>1041</v>
      </c>
    </row>
    <row r="104" spans="1:12" ht="18" customHeight="1">
      <c r="A104" s="427" t="s">
        <v>128</v>
      </c>
      <c r="B104" s="988" t="s">
        <v>609</v>
      </c>
      <c r="C104" s="989"/>
      <c r="D104" s="990"/>
      <c r="F104" s="498"/>
      <c r="G104" s="498"/>
      <c r="H104" s="502">
        <v>1899</v>
      </c>
      <c r="I104" s="503">
        <v>0</v>
      </c>
      <c r="J104" s="502"/>
      <c r="K104" s="504">
        <f>(H104+I104)-J104</f>
        <v>1899</v>
      </c>
    </row>
    <row r="105" spans="1:12" ht="18" customHeight="1">
      <c r="A105" s="427" t="s">
        <v>127</v>
      </c>
      <c r="B105" s="981"/>
      <c r="C105" s="982"/>
      <c r="D105" s="983"/>
      <c r="F105" s="505"/>
      <c r="G105" s="505"/>
      <c r="H105" s="506"/>
      <c r="I105" s="507">
        <f>H105*F$114</f>
        <v>0</v>
      </c>
      <c r="J105" s="506"/>
      <c r="K105" s="508">
        <f>(H105+I105)-J105</f>
        <v>0</v>
      </c>
    </row>
    <row r="106" spans="1:12" ht="18" customHeight="1">
      <c r="A106" s="427" t="s">
        <v>129</v>
      </c>
      <c r="B106" s="981"/>
      <c r="C106" s="982"/>
      <c r="D106" s="983"/>
      <c r="F106" s="505"/>
      <c r="G106" s="505"/>
      <c r="H106" s="506"/>
      <c r="I106" s="507">
        <f>H106*F$114</f>
        <v>0</v>
      </c>
      <c r="J106" s="506"/>
      <c r="K106" s="508">
        <f>(H106+I106)-J106</f>
        <v>0</v>
      </c>
    </row>
    <row r="107" spans="1:12" ht="18" customHeight="1">
      <c r="B107" s="419"/>
    </row>
    <row r="108" spans="1:12" s="552" customFormat="1" ht="18" customHeight="1">
      <c r="A108" s="422" t="s">
        <v>153</v>
      </c>
      <c r="B108" s="447" t="s">
        <v>154</v>
      </c>
      <c r="C108" s="494"/>
      <c r="D108" s="494"/>
      <c r="E108" s="419" t="s">
        <v>7</v>
      </c>
      <c r="F108" s="514">
        <f t="shared" ref="F108:K108" si="12">SUM(F102:F106)</f>
        <v>2714</v>
      </c>
      <c r="G108" s="514">
        <f t="shared" si="12"/>
        <v>0</v>
      </c>
      <c r="H108" s="504">
        <f t="shared" si="12"/>
        <v>196505</v>
      </c>
      <c r="I108" s="504">
        <f t="shared" si="12"/>
        <v>87822</v>
      </c>
      <c r="J108" s="504">
        <f t="shared" si="12"/>
        <v>0</v>
      </c>
      <c r="K108" s="504">
        <f t="shared" si="12"/>
        <v>284327</v>
      </c>
    </row>
    <row r="109" spans="1:12" s="552" customFormat="1" ht="18" customHeight="1" thickBot="1">
      <c r="A109" s="553"/>
      <c r="B109" s="445"/>
      <c r="C109" s="554"/>
      <c r="D109" s="554"/>
      <c r="E109" s="554"/>
      <c r="F109" s="522"/>
      <c r="G109" s="522"/>
      <c r="H109" s="522"/>
      <c r="I109" s="522"/>
      <c r="J109" s="522"/>
      <c r="K109" s="522"/>
    </row>
    <row r="110" spans="1:12" s="552" customFormat="1" ht="18" customHeight="1">
      <c r="A110" s="422" t="s">
        <v>156</v>
      </c>
      <c r="B110" s="419" t="s">
        <v>39</v>
      </c>
      <c r="C110" s="494"/>
      <c r="D110" s="494"/>
      <c r="E110" s="494"/>
      <c r="F110" s="494"/>
      <c r="G110" s="494"/>
      <c r="H110" s="494"/>
      <c r="I110" s="494"/>
      <c r="J110" s="494"/>
      <c r="K110" s="494"/>
    </row>
    <row r="111" spans="1:12" ht="18" customHeight="1">
      <c r="A111" s="422" t="s">
        <v>155</v>
      </c>
      <c r="B111" s="419" t="s">
        <v>164</v>
      </c>
      <c r="E111" s="419" t="s">
        <v>7</v>
      </c>
      <c r="F111" s="502">
        <v>6028378</v>
      </c>
    </row>
    <row r="112" spans="1:12" ht="18" customHeight="1">
      <c r="B112" s="419"/>
      <c r="E112" s="419"/>
      <c r="F112" s="555"/>
    </row>
    <row r="113" spans="1:6" ht="12.75">
      <c r="A113" s="422"/>
      <c r="B113" s="419" t="s">
        <v>15</v>
      </c>
      <c r="F113" s="496"/>
    </row>
    <row r="114" spans="1:6" ht="12.75">
      <c r="A114" s="427" t="s">
        <v>171</v>
      </c>
      <c r="B114" s="439" t="s">
        <v>35</v>
      </c>
      <c r="F114" s="556">
        <v>0.64949999999999997</v>
      </c>
    </row>
    <row r="115" spans="1:6" ht="12.75">
      <c r="A115" s="427"/>
      <c r="B115" s="419"/>
    </row>
    <row r="116" spans="1:6" ht="12.75">
      <c r="A116" s="427" t="s">
        <v>170</v>
      </c>
      <c r="B116" s="419" t="s">
        <v>16</v>
      </c>
    </row>
    <row r="117" spans="1:6" ht="12.75">
      <c r="A117" s="427" t="s">
        <v>172</v>
      </c>
      <c r="B117" s="439" t="s">
        <v>17</v>
      </c>
      <c r="F117" s="502">
        <v>493606230</v>
      </c>
    </row>
    <row r="118" spans="1:6" ht="12.75">
      <c r="A118" s="427" t="s">
        <v>173</v>
      </c>
      <c r="B118" s="494" t="s">
        <v>18</v>
      </c>
      <c r="F118" s="502">
        <v>10526200</v>
      </c>
    </row>
    <row r="119" spans="1:6" ht="12.75">
      <c r="A119" s="427" t="s">
        <v>174</v>
      </c>
      <c r="B119" s="419" t="s">
        <v>19</v>
      </c>
      <c r="F119" s="547">
        <f>SUM(F117:F118)</f>
        <v>504132430</v>
      </c>
    </row>
    <row r="120" spans="1:6" ht="12.75">
      <c r="A120" s="427"/>
      <c r="B120" s="419"/>
    </row>
    <row r="121" spans="1:6" ht="12.75">
      <c r="A121" s="427" t="s">
        <v>167</v>
      </c>
      <c r="B121" s="419" t="s">
        <v>36</v>
      </c>
      <c r="F121" s="502">
        <v>486989680</v>
      </c>
    </row>
    <row r="122" spans="1:6" ht="12.75">
      <c r="A122" s="427"/>
    </row>
    <row r="123" spans="1:6" ht="12.75">
      <c r="A123" s="427" t="s">
        <v>175</v>
      </c>
      <c r="B123" s="419" t="s">
        <v>20</v>
      </c>
      <c r="F123" s="557">
        <v>17142750</v>
      </c>
    </row>
    <row r="124" spans="1:6" ht="12.75">
      <c r="A124" s="427"/>
    </row>
    <row r="125" spans="1:6" ht="12.75">
      <c r="A125" s="427" t="s">
        <v>176</v>
      </c>
      <c r="B125" s="419" t="s">
        <v>21</v>
      </c>
      <c r="F125" s="502">
        <v>199160</v>
      </c>
    </row>
    <row r="126" spans="1:6" ht="12.75">
      <c r="A126" s="427"/>
    </row>
    <row r="127" spans="1:6" ht="12.75">
      <c r="A127" s="427" t="s">
        <v>177</v>
      </c>
      <c r="B127" s="419" t="s">
        <v>22</v>
      </c>
      <c r="F127" s="502">
        <v>17341909</v>
      </c>
    </row>
    <row r="128" spans="1:6" ht="12.75">
      <c r="A128" s="427"/>
    </row>
    <row r="129" spans="1:11" ht="42.75" customHeight="1">
      <c r="F129" s="431" t="s">
        <v>9</v>
      </c>
      <c r="G129" s="431" t="s">
        <v>37</v>
      </c>
      <c r="H129" s="431" t="s">
        <v>29</v>
      </c>
      <c r="I129" s="431" t="s">
        <v>30</v>
      </c>
      <c r="J129" s="431" t="s">
        <v>33</v>
      </c>
      <c r="K129" s="431" t="s">
        <v>34</v>
      </c>
    </row>
    <row r="130" spans="1:11" ht="18" customHeight="1">
      <c r="A130" s="422" t="s">
        <v>157</v>
      </c>
      <c r="B130" s="419" t="s">
        <v>23</v>
      </c>
    </row>
    <row r="131" spans="1:11" ht="18" customHeight="1">
      <c r="A131" s="427" t="s">
        <v>158</v>
      </c>
      <c r="B131" s="494" t="s">
        <v>24</v>
      </c>
      <c r="F131" s="505"/>
      <c r="G131" s="505"/>
      <c r="H131" s="506"/>
      <c r="I131" s="507">
        <v>0</v>
      </c>
      <c r="J131" s="506"/>
      <c r="K131" s="508">
        <f>(H131+I131)-J131</f>
        <v>0</v>
      </c>
    </row>
    <row r="132" spans="1:11" ht="18" customHeight="1">
      <c r="A132" s="427" t="s">
        <v>159</v>
      </c>
      <c r="B132" s="494" t="s">
        <v>25</v>
      </c>
      <c r="F132" s="505"/>
      <c r="G132" s="505"/>
      <c r="H132" s="506"/>
      <c r="I132" s="507">
        <v>0</v>
      </c>
      <c r="J132" s="506"/>
      <c r="K132" s="508">
        <f>(H132+I132)-J132</f>
        <v>0</v>
      </c>
    </row>
    <row r="133" spans="1:11" ht="18" customHeight="1">
      <c r="A133" s="427" t="s">
        <v>160</v>
      </c>
      <c r="B133" s="984"/>
      <c r="C133" s="985"/>
      <c r="D133" s="986"/>
      <c r="F133" s="505"/>
      <c r="G133" s="505"/>
      <c r="H133" s="506"/>
      <c r="I133" s="507">
        <v>0</v>
      </c>
      <c r="J133" s="506"/>
      <c r="K133" s="508">
        <f>(H133+I133)-J133</f>
        <v>0</v>
      </c>
    </row>
    <row r="134" spans="1:11" ht="18" customHeight="1">
      <c r="A134" s="427" t="s">
        <v>161</v>
      </c>
      <c r="B134" s="984"/>
      <c r="C134" s="985"/>
      <c r="D134" s="986"/>
      <c r="F134" s="505"/>
      <c r="G134" s="505"/>
      <c r="H134" s="506"/>
      <c r="I134" s="507">
        <v>0</v>
      </c>
      <c r="J134" s="506"/>
      <c r="K134" s="508">
        <f>(H134+I134)-J134</f>
        <v>0</v>
      </c>
    </row>
    <row r="135" spans="1:11" ht="18" customHeight="1">
      <c r="A135" s="427" t="s">
        <v>162</v>
      </c>
      <c r="B135" s="984"/>
      <c r="C135" s="985"/>
      <c r="D135" s="986"/>
      <c r="F135" s="505"/>
      <c r="G135" s="505"/>
      <c r="H135" s="506"/>
      <c r="I135" s="507">
        <v>0</v>
      </c>
      <c r="J135" s="506"/>
      <c r="K135" s="508">
        <f>(H135+I135)-J135</f>
        <v>0</v>
      </c>
    </row>
    <row r="136" spans="1:11" ht="18" customHeight="1">
      <c r="A136" s="422"/>
    </row>
    <row r="137" spans="1:11" ht="18" customHeight="1">
      <c r="A137" s="422" t="s">
        <v>163</v>
      </c>
      <c r="B137" s="419" t="s">
        <v>27</v>
      </c>
      <c r="F137" s="558">
        <f t="shared" ref="F137:K137" si="13">SUM(F131:F135)</f>
        <v>0</v>
      </c>
      <c r="G137" s="558">
        <f t="shared" si="13"/>
        <v>0</v>
      </c>
      <c r="H137" s="508">
        <f t="shared" si="13"/>
        <v>0</v>
      </c>
      <c r="I137" s="508">
        <f t="shared" si="13"/>
        <v>0</v>
      </c>
      <c r="J137" s="508">
        <f t="shared" si="13"/>
        <v>0</v>
      </c>
      <c r="K137" s="508">
        <f t="shared" si="13"/>
        <v>0</v>
      </c>
    </row>
    <row r="138" spans="1:11" ht="18" customHeight="1">
      <c r="A138" s="494"/>
    </row>
    <row r="139" spans="1:11" ht="42.75" customHeight="1">
      <c r="F139" s="431" t="s">
        <v>9</v>
      </c>
      <c r="G139" s="431" t="s">
        <v>37</v>
      </c>
      <c r="H139" s="431" t="s">
        <v>29</v>
      </c>
      <c r="I139" s="431" t="s">
        <v>30</v>
      </c>
      <c r="J139" s="431" t="s">
        <v>33</v>
      </c>
      <c r="K139" s="431" t="s">
        <v>34</v>
      </c>
    </row>
    <row r="140" spans="1:11" ht="18" customHeight="1">
      <c r="A140" s="422" t="s">
        <v>166</v>
      </c>
      <c r="B140" s="419" t="s">
        <v>26</v>
      </c>
    </row>
    <row r="141" spans="1:11" ht="18" customHeight="1">
      <c r="A141" s="427" t="s">
        <v>137</v>
      </c>
      <c r="B141" s="419" t="s">
        <v>64</v>
      </c>
      <c r="F141" s="559">
        <f t="shared" ref="F141:K141" si="14">F36</f>
        <v>4652.5</v>
      </c>
      <c r="G141" s="559">
        <f t="shared" si="14"/>
        <v>4692</v>
      </c>
      <c r="H141" s="559">
        <f t="shared" si="14"/>
        <v>613225</v>
      </c>
      <c r="I141" s="559">
        <f t="shared" si="14"/>
        <v>149488</v>
      </c>
      <c r="J141" s="559">
        <f t="shared" si="14"/>
        <v>72360</v>
      </c>
      <c r="K141" s="559">
        <f t="shared" si="14"/>
        <v>690353</v>
      </c>
    </row>
    <row r="142" spans="1:11" ht="18" customHeight="1">
      <c r="A142" s="427" t="s">
        <v>142</v>
      </c>
      <c r="B142" s="419" t="s">
        <v>65</v>
      </c>
      <c r="F142" s="559">
        <f t="shared" ref="F142:K142" si="15">F49</f>
        <v>181478.5</v>
      </c>
      <c r="G142" s="559">
        <f t="shared" si="15"/>
        <v>104</v>
      </c>
      <c r="H142" s="559">
        <f t="shared" si="15"/>
        <v>9236885</v>
      </c>
      <c r="I142" s="559">
        <f t="shared" si="15"/>
        <v>5972003</v>
      </c>
      <c r="J142" s="559">
        <f t="shared" si="15"/>
        <v>0</v>
      </c>
      <c r="K142" s="559">
        <f t="shared" si="15"/>
        <v>15208888</v>
      </c>
    </row>
    <row r="143" spans="1:11" ht="18" customHeight="1">
      <c r="A143" s="427" t="s">
        <v>144</v>
      </c>
      <c r="B143" s="419" t="s">
        <v>66</v>
      </c>
      <c r="F143" s="559">
        <f t="shared" ref="F143:K143" si="16">F64</f>
        <v>0</v>
      </c>
      <c r="G143" s="559">
        <f t="shared" si="16"/>
        <v>0</v>
      </c>
      <c r="H143" s="559">
        <f t="shared" si="16"/>
        <v>29129413</v>
      </c>
      <c r="I143" s="559">
        <f t="shared" si="16"/>
        <v>0</v>
      </c>
      <c r="J143" s="559">
        <f t="shared" si="16"/>
        <v>23516840</v>
      </c>
      <c r="K143" s="559">
        <f t="shared" si="16"/>
        <v>5612573</v>
      </c>
    </row>
    <row r="144" spans="1:11" ht="18" customHeight="1">
      <c r="A144" s="427" t="s">
        <v>146</v>
      </c>
      <c r="B144" s="419" t="s">
        <v>67</v>
      </c>
      <c r="F144" s="559">
        <f t="shared" ref="F144:K144" si="17">F74</f>
        <v>93</v>
      </c>
      <c r="G144" s="559">
        <f t="shared" si="17"/>
        <v>0</v>
      </c>
      <c r="H144" s="559">
        <f t="shared" si="17"/>
        <v>8254</v>
      </c>
      <c r="I144" s="559">
        <f t="shared" si="17"/>
        <v>5366</v>
      </c>
      <c r="J144" s="559">
        <f t="shared" si="17"/>
        <v>0</v>
      </c>
      <c r="K144" s="559">
        <f t="shared" si="17"/>
        <v>13620</v>
      </c>
    </row>
    <row r="145" spans="1:13" ht="18" customHeight="1">
      <c r="A145" s="427" t="s">
        <v>148</v>
      </c>
      <c r="B145" s="419" t="s">
        <v>68</v>
      </c>
      <c r="F145" s="559">
        <f t="shared" ref="F145:K145" si="18">F82</f>
        <v>84</v>
      </c>
      <c r="G145" s="559">
        <f t="shared" si="18"/>
        <v>70</v>
      </c>
      <c r="H145" s="559">
        <f t="shared" si="18"/>
        <v>49455</v>
      </c>
      <c r="I145" s="559">
        <f t="shared" si="18"/>
        <v>4929</v>
      </c>
      <c r="J145" s="559">
        <f t="shared" si="18"/>
        <v>595</v>
      </c>
      <c r="K145" s="559">
        <f t="shared" si="18"/>
        <v>53789</v>
      </c>
    </row>
    <row r="146" spans="1:13" ht="18" customHeight="1">
      <c r="A146" s="427" t="s">
        <v>150</v>
      </c>
      <c r="B146" s="419" t="s">
        <v>69</v>
      </c>
      <c r="F146" s="560">
        <f t="shared" ref="F146:K146" si="19">F98</f>
        <v>301</v>
      </c>
      <c r="G146" s="560">
        <f t="shared" si="19"/>
        <v>87</v>
      </c>
      <c r="H146" s="560">
        <f t="shared" si="19"/>
        <v>255422</v>
      </c>
      <c r="I146" s="560">
        <f t="shared" si="19"/>
        <v>12749</v>
      </c>
      <c r="J146" s="560">
        <f t="shared" si="19"/>
        <v>18074</v>
      </c>
      <c r="K146" s="560">
        <f t="shared" si="19"/>
        <v>250097</v>
      </c>
    </row>
    <row r="147" spans="1:13" ht="18" customHeight="1">
      <c r="A147" s="427" t="s">
        <v>153</v>
      </c>
      <c r="B147" s="419" t="s">
        <v>61</v>
      </c>
      <c r="F147" s="551">
        <f t="shared" ref="F147:K147" si="20">F108</f>
        <v>2714</v>
      </c>
      <c r="G147" s="551">
        <f t="shared" si="20"/>
        <v>0</v>
      </c>
      <c r="H147" s="551">
        <f t="shared" si="20"/>
        <v>196505</v>
      </c>
      <c r="I147" s="551">
        <f t="shared" si="20"/>
        <v>87822</v>
      </c>
      <c r="J147" s="551">
        <f t="shared" si="20"/>
        <v>0</v>
      </c>
      <c r="K147" s="551">
        <f t="shared" si="20"/>
        <v>284327</v>
      </c>
    </row>
    <row r="148" spans="1:13" ht="18" customHeight="1">
      <c r="A148" s="427" t="s">
        <v>155</v>
      </c>
      <c r="B148" s="419" t="s">
        <v>70</v>
      </c>
      <c r="F148" s="559" t="s">
        <v>73</v>
      </c>
      <c r="G148" s="559" t="s">
        <v>73</v>
      </c>
      <c r="H148" s="561" t="s">
        <v>73</v>
      </c>
      <c r="I148" s="561" t="s">
        <v>73</v>
      </c>
      <c r="J148" s="561" t="s">
        <v>73</v>
      </c>
      <c r="K148" s="562">
        <v>6028378</v>
      </c>
      <c r="M148" s="563"/>
    </row>
    <row r="149" spans="1:13" ht="18" customHeight="1">
      <c r="A149" s="427" t="s">
        <v>163</v>
      </c>
      <c r="B149" s="419" t="s">
        <v>71</v>
      </c>
      <c r="F149" s="558">
        <f t="shared" ref="F149:K149" si="21">F137</f>
        <v>0</v>
      </c>
      <c r="G149" s="558">
        <f t="shared" si="21"/>
        <v>0</v>
      </c>
      <c r="H149" s="558">
        <f t="shared" si="21"/>
        <v>0</v>
      </c>
      <c r="I149" s="558">
        <f t="shared" si="21"/>
        <v>0</v>
      </c>
      <c r="J149" s="558">
        <f t="shared" si="21"/>
        <v>0</v>
      </c>
      <c r="K149" s="558">
        <f t="shared" si="21"/>
        <v>0</v>
      </c>
    </row>
    <row r="150" spans="1:13" ht="18" customHeight="1">
      <c r="A150" s="427" t="s">
        <v>185</v>
      </c>
      <c r="B150" s="419" t="s">
        <v>186</v>
      </c>
      <c r="F150" s="564" t="s">
        <v>73</v>
      </c>
      <c r="G150" s="564" t="s">
        <v>73</v>
      </c>
      <c r="H150" s="514">
        <f>H18</f>
        <v>12029175</v>
      </c>
      <c r="I150" s="551">
        <f>I18</f>
        <v>0</v>
      </c>
      <c r="J150" s="551">
        <f>J18</f>
        <v>10286448</v>
      </c>
      <c r="K150" s="551">
        <f>K18</f>
        <v>1742727</v>
      </c>
    </row>
    <row r="151" spans="1:13" ht="18" customHeight="1">
      <c r="B151" s="419"/>
      <c r="F151" s="530"/>
      <c r="G151" s="530"/>
      <c r="H151" s="530"/>
      <c r="I151" s="530"/>
      <c r="J151" s="530"/>
      <c r="K151" s="530"/>
    </row>
    <row r="152" spans="1:13" ht="18" customHeight="1">
      <c r="A152" s="422" t="s">
        <v>165</v>
      </c>
      <c r="B152" s="419" t="s">
        <v>26</v>
      </c>
      <c r="F152" s="565">
        <f t="shared" ref="F152:K152" si="22">SUM(F141:F150)</f>
        <v>189323</v>
      </c>
      <c r="G152" s="565">
        <f t="shared" si="22"/>
        <v>4953</v>
      </c>
      <c r="H152" s="565">
        <f t="shared" si="22"/>
        <v>51518334</v>
      </c>
      <c r="I152" s="565">
        <f t="shared" si="22"/>
        <v>6232357</v>
      </c>
      <c r="J152" s="565">
        <f t="shared" si="22"/>
        <v>33894317</v>
      </c>
      <c r="K152" s="565">
        <f t="shared" si="22"/>
        <v>29884752</v>
      </c>
    </row>
    <row r="154" spans="1:13" ht="18" customHeight="1">
      <c r="A154" s="422" t="s">
        <v>168</v>
      </c>
      <c r="B154" s="419" t="s">
        <v>28</v>
      </c>
      <c r="F154" s="566">
        <f>K152/F121</f>
        <v>6.1366294250835049E-2</v>
      </c>
      <c r="H154" s="563"/>
      <c r="J154" s="563"/>
    </row>
    <row r="155" spans="1:13" ht="18" customHeight="1">
      <c r="A155" s="422" t="s">
        <v>169</v>
      </c>
      <c r="B155" s="419" t="s">
        <v>72</v>
      </c>
      <c r="F155" s="566">
        <f>K152/F127</f>
        <v>1.7232677209873493</v>
      </c>
      <c r="G155" s="419"/>
      <c r="H155" s="563"/>
    </row>
    <row r="156" spans="1:13" ht="18" customHeight="1">
      <c r="G156" s="419"/>
    </row>
  </sheetData>
  <mergeCells count="34">
    <mergeCell ref="B41:C41"/>
    <mergeCell ref="D2:H2"/>
    <mergeCell ref="C5:G5"/>
    <mergeCell ref="C6:G6"/>
    <mergeCell ref="C7:G7"/>
    <mergeCell ref="C9:G9"/>
    <mergeCell ref="C10:G10"/>
    <mergeCell ref="C11:G11"/>
    <mergeCell ref="B13:H13"/>
    <mergeCell ref="B30:D30"/>
    <mergeCell ref="B31:D31"/>
    <mergeCell ref="B34:D34"/>
    <mergeCell ref="B90:C90"/>
    <mergeCell ref="B44:D44"/>
    <mergeCell ref="B45:D45"/>
    <mergeCell ref="B46:D46"/>
    <mergeCell ref="B47:D47"/>
    <mergeCell ref="B52:C52"/>
    <mergeCell ref="B53:D53"/>
    <mergeCell ref="B55:D55"/>
    <mergeCell ref="B56:D56"/>
    <mergeCell ref="B57:D57"/>
    <mergeCell ref="B59:D59"/>
    <mergeCell ref="B62:D62"/>
    <mergeCell ref="B106:D106"/>
    <mergeCell ref="B133:D133"/>
    <mergeCell ref="B134:D134"/>
    <mergeCell ref="B135:D135"/>
    <mergeCell ref="B94:D94"/>
    <mergeCell ref="B95:D95"/>
    <mergeCell ref="B96:D96"/>
    <mergeCell ref="B103:C103"/>
    <mergeCell ref="B104:D104"/>
    <mergeCell ref="B105:D105"/>
  </mergeCells>
  <pageMargins left="0.7" right="0.7" top="0.75" bottom="0.75" header="0.3" footer="0.3"/>
  <pageSetup scale="55" orientation="landscape" r:id="rId1"/>
  <headerFooter>
    <oddFooter>&amp;L&amp;Z&amp;F&amp;A&amp;R&amp;P of &amp;N</oddFooter>
  </headerFooter>
  <rowBreaks count="2" manualBreakCount="2">
    <brk id="83" max="10" man="1"/>
    <brk id="109" max="10"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K156"/>
  <sheetViews>
    <sheetView showGridLines="0" topLeftCell="A6" zoomScaleNormal="100" zoomScaleSheetLayoutView="70" workbookViewId="0">
      <selection activeCell="K18" sqref="K18"/>
    </sheetView>
  </sheetViews>
  <sheetFormatPr defaultRowHeight="18" customHeight="1"/>
  <cols>
    <col min="1" max="1" width="8.28515625" style="7" customWidth="1"/>
    <col min="2" max="2" width="55.42578125" bestFit="1" customWidth="1"/>
    <col min="3" max="3" width="9.5703125" customWidth="1"/>
    <col min="5" max="5" width="12.42578125" customWidth="1"/>
    <col min="6" max="6" width="18.5703125" customWidth="1"/>
    <col min="7" max="7" width="23.5703125" customWidth="1"/>
    <col min="8" max="8" width="17.140625" customWidth="1"/>
    <col min="9" max="9" width="21.140625" customWidth="1"/>
    <col min="10" max="10" width="19.85546875" customWidth="1"/>
    <col min="11" max="11" width="17.5703125" customWidth="1"/>
  </cols>
  <sheetData>
    <row r="1" spans="1:11" ht="18" customHeight="1">
      <c r="C1" s="3"/>
      <c r="D1" s="2"/>
      <c r="E1" s="3"/>
      <c r="F1" s="3"/>
      <c r="G1" s="3"/>
      <c r="H1" s="3"/>
      <c r="I1" s="3"/>
      <c r="J1" s="3"/>
      <c r="K1" s="3"/>
    </row>
    <row r="2" spans="1:11" ht="18" customHeight="1">
      <c r="D2" s="940" t="s">
        <v>713</v>
      </c>
      <c r="E2" s="941"/>
      <c r="F2" s="941"/>
      <c r="G2" s="941"/>
      <c r="H2" s="941"/>
    </row>
    <row r="3" spans="1:11" ht="18" customHeight="1">
      <c r="B3" s="1" t="s">
        <v>0</v>
      </c>
    </row>
    <row r="5" spans="1:11" ht="18" customHeight="1">
      <c r="B5" s="4" t="s">
        <v>40</v>
      </c>
      <c r="C5" s="912" t="s">
        <v>340</v>
      </c>
      <c r="D5" s="918"/>
      <c r="E5" s="918"/>
      <c r="F5" s="918"/>
      <c r="G5" s="919"/>
    </row>
    <row r="6" spans="1:11" ht="18" customHeight="1">
      <c r="B6" s="4" t="s">
        <v>3</v>
      </c>
      <c r="C6" s="929" t="s">
        <v>341</v>
      </c>
      <c r="D6" s="921"/>
      <c r="E6" s="921"/>
      <c r="F6" s="921"/>
      <c r="G6" s="922"/>
    </row>
    <row r="7" spans="1:11" ht="18" customHeight="1">
      <c r="B7" s="4" t="s">
        <v>4</v>
      </c>
      <c r="C7" s="948">
        <v>1354</v>
      </c>
      <c r="D7" s="949"/>
      <c r="E7" s="949"/>
      <c r="F7" s="949"/>
      <c r="G7" s="950"/>
    </row>
    <row r="9" spans="1:11" ht="18" customHeight="1">
      <c r="B9" s="4" t="s">
        <v>1</v>
      </c>
      <c r="C9" s="917" t="s">
        <v>188</v>
      </c>
      <c r="D9" s="918"/>
      <c r="E9" s="918"/>
      <c r="F9" s="918"/>
      <c r="G9" s="919"/>
    </row>
    <row r="10" spans="1:11" ht="18" customHeight="1">
      <c r="B10" s="4" t="s">
        <v>2</v>
      </c>
      <c r="C10" s="980" t="s">
        <v>189</v>
      </c>
      <c r="D10" s="927"/>
      <c r="E10" s="927"/>
      <c r="F10" s="927"/>
      <c r="G10" s="928"/>
    </row>
    <row r="11" spans="1:11" ht="18" customHeight="1">
      <c r="B11" s="4" t="s">
        <v>32</v>
      </c>
      <c r="C11" s="980" t="s">
        <v>190</v>
      </c>
      <c r="D11" s="927"/>
      <c r="E11" s="927"/>
      <c r="F11" s="927"/>
      <c r="G11" s="928"/>
    </row>
    <row r="12" spans="1:11" ht="18" customHeight="1">
      <c r="B12" s="4"/>
      <c r="C12" s="4"/>
      <c r="D12" s="4"/>
      <c r="E12" s="4"/>
      <c r="F12" s="4"/>
      <c r="G12" s="4"/>
    </row>
    <row r="13" spans="1:11" ht="24.6" customHeight="1">
      <c r="B13" s="955"/>
      <c r="C13" s="956"/>
      <c r="D13" s="956"/>
      <c r="E13" s="956"/>
      <c r="F13" s="956"/>
      <c r="G13" s="956"/>
      <c r="H13" s="957"/>
      <c r="I13" s="3"/>
    </row>
    <row r="14" spans="1:11" ht="18" customHeight="1">
      <c r="B14" s="6"/>
    </row>
    <row r="15" spans="1:11" ht="18" customHeight="1">
      <c r="B15" s="6"/>
    </row>
    <row r="16" spans="1:11" ht="45" customHeight="1">
      <c r="A16" s="2" t="s">
        <v>181</v>
      </c>
      <c r="B16" s="3"/>
      <c r="C16" s="3"/>
      <c r="D16" s="3"/>
      <c r="E16" s="3"/>
      <c r="F16" s="8" t="s">
        <v>9</v>
      </c>
      <c r="G16" s="8" t="s">
        <v>37</v>
      </c>
      <c r="H16" s="8" t="s">
        <v>29</v>
      </c>
      <c r="I16" s="8" t="s">
        <v>30</v>
      </c>
      <c r="J16" s="8" t="s">
        <v>33</v>
      </c>
      <c r="K16" s="8" t="s">
        <v>34</v>
      </c>
    </row>
    <row r="17" spans="1:11" ht="18" customHeight="1">
      <c r="A17" s="5" t="s">
        <v>184</v>
      </c>
      <c r="B17" s="1" t="s">
        <v>182</v>
      </c>
    </row>
    <row r="18" spans="1:11" ht="18" customHeight="1">
      <c r="A18" s="4" t="s">
        <v>185</v>
      </c>
      <c r="B18" s="257" t="s">
        <v>183</v>
      </c>
      <c r="F18" s="13" t="s">
        <v>73</v>
      </c>
      <c r="G18" s="13" t="s">
        <v>73</v>
      </c>
      <c r="H18" s="14">
        <v>6133187</v>
      </c>
      <c r="I18" s="40">
        <v>0</v>
      </c>
      <c r="J18" s="14">
        <v>5244642</v>
      </c>
      <c r="K18" s="15">
        <f>(H18+I18)-J18</f>
        <v>888545</v>
      </c>
    </row>
    <row r="19" spans="1:11" ht="45" customHeight="1">
      <c r="A19" s="2" t="s">
        <v>8</v>
      </c>
      <c r="B19" s="3"/>
      <c r="C19" s="3"/>
      <c r="D19" s="3"/>
      <c r="E19" s="3"/>
      <c r="F19" s="8" t="s">
        <v>9</v>
      </c>
      <c r="G19" s="8" t="s">
        <v>37</v>
      </c>
      <c r="H19" s="8" t="s">
        <v>29</v>
      </c>
      <c r="I19" s="8" t="s">
        <v>30</v>
      </c>
      <c r="J19" s="8" t="s">
        <v>33</v>
      </c>
      <c r="K19" s="8" t="s">
        <v>34</v>
      </c>
    </row>
    <row r="20" spans="1:11" ht="18" customHeight="1">
      <c r="A20" s="5" t="s">
        <v>74</v>
      </c>
      <c r="B20" s="1" t="s">
        <v>41</v>
      </c>
    </row>
    <row r="21" spans="1:11" ht="18" customHeight="1">
      <c r="A21" s="4" t="s">
        <v>75</v>
      </c>
      <c r="B21" s="257" t="s">
        <v>42</v>
      </c>
      <c r="F21" s="13">
        <f>'[13]CB Master List - FY15&amp;FY14'!$AB$34</f>
        <v>12474.123053135054</v>
      </c>
      <c r="G21" s="13">
        <f>'[13]CB Master List - FY15&amp;FY14'!$AC$34</f>
        <v>16087.069546664718</v>
      </c>
      <c r="H21" s="14">
        <f>'[13]CB Master List - FY15&amp;FY14'!$AD$34</f>
        <v>493102.87418437225</v>
      </c>
      <c r="I21" s="40">
        <f>'[13]CB Master List - FY15&amp;FY14'!$AE$34</f>
        <v>270907.58191981516</v>
      </c>
      <c r="J21" s="14">
        <f>'[13]CB Master List - FY15&amp;FY14'!$AF$34</f>
        <v>45591.725000000006</v>
      </c>
      <c r="K21" s="15">
        <f t="shared" ref="K21:K34" si="0">(H21+I21)-J21</f>
        <v>718418.73110418743</v>
      </c>
    </row>
    <row r="22" spans="1:11" ht="18" customHeight="1">
      <c r="A22" s="4" t="s">
        <v>76</v>
      </c>
      <c r="B22" t="s">
        <v>6</v>
      </c>
      <c r="F22" s="13">
        <f>'[13]CB Master List - FY15&amp;FY14'!$AB$47</f>
        <v>455.46199999999999</v>
      </c>
      <c r="G22" s="13">
        <f>'[13]CB Master List - FY15&amp;FY14'!$AC$47</f>
        <v>0</v>
      </c>
      <c r="H22" s="14">
        <f>'[13]CB Master List - FY15&amp;FY14'!$AD$47</f>
        <v>19014.221799999999</v>
      </c>
      <c r="I22" s="40">
        <f>'[13]CB Master List - FY15&amp;FY14'!$AE$47</f>
        <v>10446.292487029856</v>
      </c>
      <c r="J22" s="14">
        <f>'[13]CB Master List - FY15&amp;FY14'!$AF$47</f>
        <v>1412.69</v>
      </c>
      <c r="K22" s="15">
        <f t="shared" si="0"/>
        <v>28047.824287029856</v>
      </c>
    </row>
    <row r="23" spans="1:11" ht="18" customHeight="1">
      <c r="A23" s="4" t="s">
        <v>77</v>
      </c>
      <c r="B23" t="s">
        <v>43</v>
      </c>
      <c r="F23" s="13">
        <f>'[13]CB Master List - FY15&amp;FY14'!$AB$50</f>
        <v>996.84</v>
      </c>
      <c r="G23" s="13">
        <f>'[13]CB Master List - FY15&amp;FY14'!$AC$50</f>
        <v>0</v>
      </c>
      <c r="H23" s="14">
        <f>'[13]CB Master List - FY15&amp;FY14'!$AD$50</f>
        <v>14229.19692</v>
      </c>
      <c r="I23" s="40">
        <f>'[13]CB Master List - FY15&amp;FY14'!$AE$50</f>
        <v>7817.4302606412402</v>
      </c>
      <c r="J23" s="14">
        <f>'[13]CB Master List - FY15&amp;FY14'!$AF$50</f>
        <v>0</v>
      </c>
      <c r="K23" s="15">
        <f t="shared" si="0"/>
        <v>22046.627180641241</v>
      </c>
    </row>
    <row r="24" spans="1:11" ht="18" customHeight="1">
      <c r="A24" s="4" t="s">
        <v>78</v>
      </c>
      <c r="B24" t="s">
        <v>44</v>
      </c>
      <c r="F24" s="13">
        <f>'[13]CB Master List - FY15&amp;FY14'!$AB$56</f>
        <v>968.32047486377553</v>
      </c>
      <c r="G24" s="13">
        <f>'[13]CB Master List - FY15&amp;FY14'!$AC$56</f>
        <v>1916.2926881169149</v>
      </c>
      <c r="H24" s="14">
        <f>'[13]CB Master List - FY15&amp;FY14'!$AD$56</f>
        <v>17065.138496575695</v>
      </c>
      <c r="I24" s="40">
        <f>'[13]CB Master List - FY15&amp;FY14'!$AE$56</f>
        <v>9375.4785203411593</v>
      </c>
      <c r="J24" s="14">
        <f>'[13]CB Master List - FY15&amp;FY14'!$AF$56</f>
        <v>0</v>
      </c>
      <c r="K24" s="15">
        <f t="shared" si="0"/>
        <v>26440.617016916854</v>
      </c>
    </row>
    <row r="25" spans="1:11" ht="18" customHeight="1">
      <c r="A25" s="4" t="s">
        <v>79</v>
      </c>
      <c r="B25" t="s">
        <v>5</v>
      </c>
      <c r="F25" s="13">
        <f>'[13]CB Master List - FY15&amp;FY14'!$AB$67</f>
        <v>5103.0476000000008</v>
      </c>
      <c r="G25" s="13">
        <f>'[13]CB Master List - FY15&amp;FY14'!$AC$67</f>
        <v>0</v>
      </c>
      <c r="H25" s="14">
        <f>'[13]CB Master List - FY15&amp;FY14'!$AD$67</f>
        <v>216899.28195999999</v>
      </c>
      <c r="I25" s="40">
        <f>'[13]CB Master List - FY15&amp;FY14'!$AE$67</f>
        <v>119163.08557949599</v>
      </c>
      <c r="J25" s="14">
        <f>'[13]CB Master List - FY15&amp;FY14'!$AF$67</f>
        <v>19063.094000000001</v>
      </c>
      <c r="K25" s="15">
        <f t="shared" si="0"/>
        <v>316999.273539496</v>
      </c>
    </row>
    <row r="26" spans="1:11" ht="18" customHeight="1">
      <c r="A26" s="4" t="s">
        <v>80</v>
      </c>
      <c r="B26" t="s">
        <v>45</v>
      </c>
      <c r="F26" s="13"/>
      <c r="G26" s="13"/>
      <c r="H26" s="14"/>
      <c r="I26" s="40">
        <f t="shared" ref="I26:I34" si="1">H26*F$114</f>
        <v>0</v>
      </c>
      <c r="J26" s="14"/>
      <c r="K26" s="15">
        <f t="shared" si="0"/>
        <v>0</v>
      </c>
    </row>
    <row r="27" spans="1:11" ht="18" customHeight="1">
      <c r="A27" s="4" t="s">
        <v>81</v>
      </c>
      <c r="B27" t="s">
        <v>46</v>
      </c>
      <c r="F27" s="13"/>
      <c r="G27" s="13"/>
      <c r="H27" s="14"/>
      <c r="I27" s="40">
        <f t="shared" si="1"/>
        <v>0</v>
      </c>
      <c r="J27" s="14"/>
      <c r="K27" s="15">
        <f t="shared" si="0"/>
        <v>0</v>
      </c>
    </row>
    <row r="28" spans="1:11" ht="18" customHeight="1">
      <c r="A28" s="4" t="s">
        <v>82</v>
      </c>
      <c r="B28" t="s">
        <v>47</v>
      </c>
      <c r="F28" s="13"/>
      <c r="G28" s="13"/>
      <c r="H28" s="14"/>
      <c r="I28" s="40">
        <f t="shared" si="1"/>
        <v>0</v>
      </c>
      <c r="J28" s="14"/>
      <c r="K28" s="15">
        <f t="shared" si="0"/>
        <v>0</v>
      </c>
    </row>
    <row r="29" spans="1:11" ht="18" customHeight="1">
      <c r="A29" s="4" t="s">
        <v>83</v>
      </c>
      <c r="B29" t="s">
        <v>48</v>
      </c>
      <c r="F29" s="13">
        <f>'[13]CB Master List - FY15&amp;FY14'!$AB$89</f>
        <v>14285.218835829504</v>
      </c>
      <c r="G29" s="13">
        <f>'[13]CB Master List - FY15&amp;FY14'!$AC$89</f>
        <v>5276.6317875536743</v>
      </c>
      <c r="H29" s="14">
        <f>'[13]CB Master List - FY15&amp;FY14'!$AD$89</f>
        <v>2235941.8860800001</v>
      </c>
      <c r="I29" s="40">
        <f>'[13]CB Master List - FY15&amp;FY14'!$AE$89</f>
        <v>1181698.8607353079</v>
      </c>
      <c r="J29" s="14">
        <f>'[13]CB Master List - FY15&amp;FY14'!$AF$89</f>
        <v>585.36</v>
      </c>
      <c r="K29" s="15">
        <f t="shared" si="0"/>
        <v>3417055.3868153081</v>
      </c>
    </row>
    <row r="30" spans="1:11" ht="18" customHeight="1">
      <c r="A30" s="4" t="s">
        <v>84</v>
      </c>
      <c r="B30" s="893" t="s">
        <v>197</v>
      </c>
      <c r="C30" s="894"/>
      <c r="D30" s="895"/>
      <c r="F30" s="13">
        <f>'[13]CB Master List - FY15&amp;FY14'!$AB$98</f>
        <v>2869.9170541634958</v>
      </c>
      <c r="G30" s="13">
        <f>'[13]CB Master List - FY15&amp;FY14'!$AC$98</f>
        <v>2649.0052708174799</v>
      </c>
      <c r="H30" s="14">
        <f>'[13]CB Master List - FY15&amp;FY14'!$AD$98</f>
        <v>23830.218181915148</v>
      </c>
      <c r="I30" s="40">
        <f>'[13]CB Master List - FY15&amp;FY14'!$AE$98</f>
        <v>13092.170259527658</v>
      </c>
      <c r="J30" s="14">
        <f>'[13]CB Master List - FY15&amp;FY14'!$AF$98</f>
        <v>1817.8360000000002</v>
      </c>
      <c r="K30" s="15">
        <f t="shared" si="0"/>
        <v>35104.5524414428</v>
      </c>
    </row>
    <row r="31" spans="1:11" ht="18" customHeight="1">
      <c r="A31" s="4" t="s">
        <v>133</v>
      </c>
      <c r="B31" s="893"/>
      <c r="C31" s="894"/>
      <c r="D31" s="895"/>
      <c r="F31" s="13"/>
      <c r="G31" s="13"/>
      <c r="H31" s="14"/>
      <c r="I31" s="40">
        <f t="shared" si="1"/>
        <v>0</v>
      </c>
      <c r="J31" s="14"/>
      <c r="K31" s="15">
        <f t="shared" si="0"/>
        <v>0</v>
      </c>
    </row>
    <row r="32" spans="1:11" ht="18" customHeight="1">
      <c r="A32" s="4" t="s">
        <v>134</v>
      </c>
      <c r="B32" s="601"/>
      <c r="C32" s="602"/>
      <c r="D32" s="603"/>
      <c r="F32" s="13"/>
      <c r="G32" s="258" t="s">
        <v>85</v>
      </c>
      <c r="H32" s="14"/>
      <c r="I32" s="40">
        <f t="shared" si="1"/>
        <v>0</v>
      </c>
      <c r="J32" s="14"/>
      <c r="K32" s="15">
        <f t="shared" si="0"/>
        <v>0</v>
      </c>
    </row>
    <row r="33" spans="1:11" ht="18" customHeight="1">
      <c r="A33" s="4" t="s">
        <v>135</v>
      </c>
      <c r="B33" s="601"/>
      <c r="C33" s="602"/>
      <c r="D33" s="603"/>
      <c r="F33" s="13"/>
      <c r="G33" s="258" t="s">
        <v>85</v>
      </c>
      <c r="H33" s="14"/>
      <c r="I33" s="40">
        <f t="shared" si="1"/>
        <v>0</v>
      </c>
      <c r="J33" s="14"/>
      <c r="K33" s="15">
        <f t="shared" si="0"/>
        <v>0</v>
      </c>
    </row>
    <row r="34" spans="1:11" ht="18" customHeight="1">
      <c r="A34" s="4" t="s">
        <v>136</v>
      </c>
      <c r="B34" s="893"/>
      <c r="C34" s="894"/>
      <c r="D34" s="895"/>
      <c r="F34" s="13"/>
      <c r="G34" s="258" t="s">
        <v>85</v>
      </c>
      <c r="H34" s="14"/>
      <c r="I34" s="40">
        <f t="shared" si="1"/>
        <v>0</v>
      </c>
      <c r="J34" s="14"/>
      <c r="K34" s="15">
        <f t="shared" si="0"/>
        <v>0</v>
      </c>
    </row>
    <row r="35" spans="1:11" ht="18" customHeight="1">
      <c r="K35" s="35"/>
    </row>
    <row r="36" spans="1:11" ht="18" customHeight="1">
      <c r="A36" s="5" t="s">
        <v>137</v>
      </c>
      <c r="B36" s="1" t="s">
        <v>138</v>
      </c>
      <c r="E36" s="1" t="s">
        <v>7</v>
      </c>
      <c r="F36" s="17">
        <f t="shared" ref="F36:K36" si="2">SUM(F21:F34)</f>
        <v>37152.929017991832</v>
      </c>
      <c r="G36" s="17">
        <f t="shared" si="2"/>
        <v>25928.999293152785</v>
      </c>
      <c r="H36" s="17">
        <f t="shared" si="2"/>
        <v>3020082.8176228632</v>
      </c>
      <c r="I36" s="15">
        <f t="shared" si="2"/>
        <v>1612500.899762159</v>
      </c>
      <c r="J36" s="15">
        <f t="shared" si="2"/>
        <v>68470.705000000002</v>
      </c>
      <c r="K36" s="15">
        <f t="shared" si="2"/>
        <v>4564113.0123850219</v>
      </c>
    </row>
    <row r="37" spans="1:11" ht="18" customHeight="1" thickBot="1">
      <c r="B37" s="1"/>
      <c r="F37" s="18"/>
      <c r="G37" s="18"/>
      <c r="H37" s="19"/>
      <c r="I37" s="19"/>
      <c r="J37" s="19"/>
      <c r="K37" s="36"/>
    </row>
    <row r="38" spans="1:11" ht="42.75" customHeight="1">
      <c r="F38" s="8" t="s">
        <v>9</v>
      </c>
      <c r="G38" s="8" t="s">
        <v>37</v>
      </c>
      <c r="H38" s="8" t="s">
        <v>29</v>
      </c>
      <c r="I38" s="8" t="s">
        <v>30</v>
      </c>
      <c r="J38" s="8" t="s">
        <v>33</v>
      </c>
      <c r="K38" s="8" t="s">
        <v>34</v>
      </c>
    </row>
    <row r="39" spans="1:11" ht="18.75" customHeight="1">
      <c r="A39" s="5" t="s">
        <v>86</v>
      </c>
      <c r="B39" s="1" t="s">
        <v>49</v>
      </c>
    </row>
    <row r="40" spans="1:11" ht="18" customHeight="1">
      <c r="A40" s="4" t="s">
        <v>87</v>
      </c>
      <c r="B40" t="s">
        <v>31</v>
      </c>
      <c r="F40" s="13">
        <f>'[13]CB Master List - FY15&amp;FY14'!$AB$111</f>
        <v>3360</v>
      </c>
      <c r="G40" s="13">
        <f>'[13]CB Master List - FY15&amp;FY14'!$AC$111</f>
        <v>3240</v>
      </c>
      <c r="H40" s="14">
        <f>'[13]CB Master List - FY15&amp;FY14'!$AD$111</f>
        <v>277664.28200000001</v>
      </c>
      <c r="I40" s="44">
        <v>0</v>
      </c>
      <c r="J40" s="14">
        <f>'[13]CB Master List - FY15&amp;FY14'!$AF$111</f>
        <v>0</v>
      </c>
      <c r="K40" s="15">
        <f t="shared" ref="K40:K47" si="3">(H40+I40)-J40</f>
        <v>277664.28200000001</v>
      </c>
    </row>
    <row r="41" spans="1:11" ht="18" customHeight="1">
      <c r="A41" s="4" t="s">
        <v>88</v>
      </c>
      <c r="B41" s="931" t="s">
        <v>50</v>
      </c>
      <c r="C41" s="939"/>
      <c r="F41" s="13">
        <f>'[13]CB Master List - FY15&amp;FY14'!$AB$117</f>
        <v>7973.185079062262</v>
      </c>
      <c r="G41" s="13">
        <f>'[13]CB Master List - FY15&amp;FY14'!$AC$117</f>
        <v>1892.7403162490489</v>
      </c>
      <c r="H41" s="14">
        <f>'[13]CB Master List - FY15&amp;FY14'!$AD$117</f>
        <v>334824</v>
      </c>
      <c r="I41" s="44">
        <v>0</v>
      </c>
      <c r="J41" s="14">
        <f>'[13]CB Master List - FY15&amp;FY14'!$AF$117</f>
        <v>0</v>
      </c>
      <c r="K41" s="15">
        <f t="shared" si="3"/>
        <v>334824</v>
      </c>
    </row>
    <row r="42" spans="1:11" ht="18" customHeight="1">
      <c r="A42" s="4" t="s">
        <v>89</v>
      </c>
      <c r="B42" s="257" t="s">
        <v>11</v>
      </c>
      <c r="F42" s="13">
        <f>'[13]CB Master List - FY15&amp;FY14'!$AB$130</f>
        <v>10234.87874082509</v>
      </c>
      <c r="G42" s="13">
        <f>'[13]CB Master List - FY15&amp;FY14'!$AC$130</f>
        <v>1146.8789531131101</v>
      </c>
      <c r="H42" s="14">
        <f>'[13]CB Master List - FY15&amp;FY14'!$AD$130</f>
        <v>432734.08240000001</v>
      </c>
      <c r="I42" s="44">
        <v>0</v>
      </c>
      <c r="J42" s="14">
        <f>'[13]CB Master List - FY15&amp;FY14'!$AF$130</f>
        <v>18203.775600000001</v>
      </c>
      <c r="K42" s="15">
        <f t="shared" si="3"/>
        <v>414530.30680000002</v>
      </c>
    </row>
    <row r="43" spans="1:11" ht="18" customHeight="1">
      <c r="A43" s="4" t="s">
        <v>90</v>
      </c>
      <c r="B43" s="259" t="s">
        <v>10</v>
      </c>
      <c r="C43" s="9"/>
      <c r="D43" s="9"/>
      <c r="F43" s="13"/>
      <c r="G43" s="13"/>
      <c r="H43" s="14"/>
      <c r="I43" s="40">
        <v>0</v>
      </c>
      <c r="J43" s="14"/>
      <c r="K43" s="15">
        <f t="shared" si="3"/>
        <v>0</v>
      </c>
    </row>
    <row r="44" spans="1:11" ht="18" customHeight="1">
      <c r="A44" s="4" t="s">
        <v>91</v>
      </c>
      <c r="B44" s="893"/>
      <c r="C44" s="894"/>
      <c r="D44" s="895"/>
      <c r="F44" s="43"/>
      <c r="G44" s="43"/>
      <c r="H44" s="43"/>
      <c r="I44" s="44">
        <v>0</v>
      </c>
      <c r="J44" s="43"/>
      <c r="K44" s="45">
        <f t="shared" si="3"/>
        <v>0</v>
      </c>
    </row>
    <row r="45" spans="1:11" ht="18" customHeight="1">
      <c r="A45" s="4" t="s">
        <v>139</v>
      </c>
      <c r="B45" s="893"/>
      <c r="C45" s="894"/>
      <c r="D45" s="895"/>
      <c r="F45" s="13"/>
      <c r="G45" s="13"/>
      <c r="H45" s="14"/>
      <c r="I45" s="40">
        <v>0</v>
      </c>
      <c r="J45" s="14"/>
      <c r="K45" s="15">
        <f t="shared" si="3"/>
        <v>0</v>
      </c>
    </row>
    <row r="46" spans="1:11" ht="18" customHeight="1">
      <c r="A46" s="4" t="s">
        <v>140</v>
      </c>
      <c r="B46" s="893"/>
      <c r="C46" s="894"/>
      <c r="D46" s="895"/>
      <c r="F46" s="13"/>
      <c r="G46" s="13"/>
      <c r="H46" s="14"/>
      <c r="I46" s="40">
        <v>0</v>
      </c>
      <c r="J46" s="14"/>
      <c r="K46" s="15">
        <f t="shared" si="3"/>
        <v>0</v>
      </c>
    </row>
    <row r="47" spans="1:11" ht="18" customHeight="1">
      <c r="A47" s="4" t="s">
        <v>141</v>
      </c>
      <c r="B47" s="893"/>
      <c r="C47" s="894"/>
      <c r="D47" s="895"/>
      <c r="F47" s="13"/>
      <c r="G47" s="13"/>
      <c r="H47" s="14"/>
      <c r="I47" s="40">
        <v>0</v>
      </c>
      <c r="J47" s="14"/>
      <c r="K47" s="15">
        <f t="shared" si="3"/>
        <v>0</v>
      </c>
    </row>
    <row r="49" spans="1:11" ht="18" customHeight="1">
      <c r="A49" s="5" t="s">
        <v>142</v>
      </c>
      <c r="B49" s="1" t="s">
        <v>143</v>
      </c>
      <c r="E49" s="1" t="s">
        <v>7</v>
      </c>
      <c r="F49" s="22">
        <f t="shared" ref="F49:K49" si="4">SUM(F40:F47)</f>
        <v>21568.063819887353</v>
      </c>
      <c r="G49" s="22">
        <f t="shared" si="4"/>
        <v>6279.6192693621597</v>
      </c>
      <c r="H49" s="15">
        <f t="shared" si="4"/>
        <v>1045222.3644000001</v>
      </c>
      <c r="I49" s="15">
        <f t="shared" si="4"/>
        <v>0</v>
      </c>
      <c r="J49" s="15">
        <f t="shared" si="4"/>
        <v>18203.775600000001</v>
      </c>
      <c r="K49" s="15">
        <f t="shared" si="4"/>
        <v>1027018.5888</v>
      </c>
    </row>
    <row r="50" spans="1:11" ht="18" customHeight="1" thickBot="1">
      <c r="G50" s="23"/>
      <c r="H50" s="23"/>
      <c r="I50" s="23"/>
      <c r="J50" s="23"/>
      <c r="K50" s="23"/>
    </row>
    <row r="51" spans="1:11" ht="42.75" customHeight="1">
      <c r="F51" s="8" t="s">
        <v>9</v>
      </c>
      <c r="G51" s="8" t="s">
        <v>37</v>
      </c>
      <c r="H51" s="8" t="s">
        <v>29</v>
      </c>
      <c r="I51" s="8" t="s">
        <v>30</v>
      </c>
      <c r="J51" s="8" t="s">
        <v>33</v>
      </c>
      <c r="K51" s="8" t="s">
        <v>34</v>
      </c>
    </row>
    <row r="52" spans="1:11" ht="18" customHeight="1">
      <c r="A52" s="5" t="s">
        <v>92</v>
      </c>
      <c r="B52" s="935" t="s">
        <v>38</v>
      </c>
      <c r="C52" s="936"/>
    </row>
    <row r="53" spans="1:11" ht="18" customHeight="1">
      <c r="A53" s="4" t="s">
        <v>51</v>
      </c>
      <c r="B53" s="937"/>
      <c r="C53" s="938"/>
      <c r="D53" s="934"/>
      <c r="F53" s="13"/>
      <c r="G53" s="13"/>
      <c r="H53" s="14"/>
      <c r="I53" s="40">
        <v>0</v>
      </c>
      <c r="J53" s="14"/>
      <c r="K53" s="15">
        <f t="shared" ref="K53:K62" si="5">(H53+I53)-J53</f>
        <v>0</v>
      </c>
    </row>
    <row r="54" spans="1:11" ht="18" customHeight="1">
      <c r="A54" s="4" t="s">
        <v>93</v>
      </c>
      <c r="B54" s="604" t="s">
        <v>192</v>
      </c>
      <c r="C54" s="605"/>
      <c r="D54" s="606"/>
      <c r="F54" s="13">
        <f>'[13]CB Master List - FY15&amp;FY14'!$AB$155</f>
        <v>83537.489618324442</v>
      </c>
      <c r="G54" s="13">
        <f>'[13]CB Master List - FY15&amp;FY14'!$AC$155</f>
        <v>5006.3501008920812</v>
      </c>
      <c r="H54" s="14">
        <f>'[13]CB Master List - FY15&amp;FY14'!$AD$155</f>
        <v>12687374.513002997</v>
      </c>
      <c r="I54" s="40">
        <v>0</v>
      </c>
      <c r="J54" s="14">
        <f>'[13]CB Master List - FY15&amp;FY14'!$AF$155</f>
        <v>551457.63</v>
      </c>
      <c r="K54" s="15">
        <f t="shared" si="5"/>
        <v>12135916.883002996</v>
      </c>
    </row>
    <row r="55" spans="1:11" ht="18" customHeight="1">
      <c r="A55" s="4" t="s">
        <v>94</v>
      </c>
      <c r="B55" s="932"/>
      <c r="C55" s="933"/>
      <c r="D55" s="934"/>
      <c r="F55" s="13"/>
      <c r="G55" s="13"/>
      <c r="H55" s="14"/>
      <c r="I55" s="40">
        <v>0</v>
      </c>
      <c r="J55" s="14"/>
      <c r="K55" s="15">
        <f t="shared" si="5"/>
        <v>0</v>
      </c>
    </row>
    <row r="56" spans="1:11" ht="18" customHeight="1">
      <c r="A56" s="4" t="s">
        <v>95</v>
      </c>
      <c r="B56" s="932"/>
      <c r="C56" s="933"/>
      <c r="D56" s="934"/>
      <c r="F56" s="13"/>
      <c r="G56" s="13"/>
      <c r="H56" s="14"/>
      <c r="I56" s="40">
        <v>0</v>
      </c>
      <c r="J56" s="14"/>
      <c r="K56" s="15">
        <f t="shared" si="5"/>
        <v>0</v>
      </c>
    </row>
    <row r="57" spans="1:11" ht="18" customHeight="1">
      <c r="A57" s="4" t="s">
        <v>96</v>
      </c>
      <c r="B57" s="932" t="s">
        <v>195</v>
      </c>
      <c r="C57" s="933"/>
      <c r="D57" s="934"/>
      <c r="F57" s="13">
        <f>'[13]CB Master List - FY15&amp;FY14'!$AB$166</f>
        <v>0</v>
      </c>
      <c r="G57" s="13">
        <f>'[13]CB Master List - FY15&amp;FY14'!$AC$166</f>
        <v>0</v>
      </c>
      <c r="H57" s="14">
        <f>'[13]CB Master List - FY15&amp;FY14'!$AD$166</f>
        <v>6215525.2292680414</v>
      </c>
      <c r="I57" s="40">
        <v>0</v>
      </c>
      <c r="J57" s="14">
        <f>'[13]CB Master List - FY15&amp;FY14'!$AF$166</f>
        <v>0</v>
      </c>
      <c r="K57" s="15">
        <f t="shared" si="5"/>
        <v>6215525.2292680414</v>
      </c>
    </row>
    <row r="58" spans="1:11" ht="18" customHeight="1">
      <c r="A58" s="4" t="s">
        <v>97</v>
      </c>
      <c r="B58" s="604"/>
      <c r="C58" s="605"/>
      <c r="D58" s="606"/>
      <c r="F58" s="13"/>
      <c r="G58" s="13"/>
      <c r="H58" s="14"/>
      <c r="I58" s="40">
        <v>0</v>
      </c>
      <c r="J58" s="14"/>
      <c r="K58" s="15">
        <f t="shared" si="5"/>
        <v>0</v>
      </c>
    </row>
    <row r="59" spans="1:11" ht="18" customHeight="1">
      <c r="A59" s="4" t="s">
        <v>98</v>
      </c>
      <c r="B59" s="932"/>
      <c r="C59" s="933"/>
      <c r="D59" s="934"/>
      <c r="F59" s="13"/>
      <c r="G59" s="13"/>
      <c r="H59" s="14"/>
      <c r="I59" s="40">
        <v>0</v>
      </c>
      <c r="J59" s="14"/>
      <c r="K59" s="15">
        <f t="shared" si="5"/>
        <v>0</v>
      </c>
    </row>
    <row r="60" spans="1:11" ht="18" customHeight="1">
      <c r="A60" s="4" t="s">
        <v>99</v>
      </c>
      <c r="B60" s="604"/>
      <c r="C60" s="605"/>
      <c r="D60" s="606"/>
      <c r="F60" s="13"/>
      <c r="G60" s="13"/>
      <c r="H60" s="14"/>
      <c r="I60" s="40">
        <v>0</v>
      </c>
      <c r="J60" s="14"/>
      <c r="K60" s="15">
        <f t="shared" si="5"/>
        <v>0</v>
      </c>
    </row>
    <row r="61" spans="1:11" ht="18" customHeight="1">
      <c r="A61" s="4" t="s">
        <v>100</v>
      </c>
      <c r="B61" s="604"/>
      <c r="C61" s="605"/>
      <c r="D61" s="606"/>
      <c r="F61" s="13"/>
      <c r="G61" s="13"/>
      <c r="H61" s="14"/>
      <c r="I61" s="40">
        <v>0</v>
      </c>
      <c r="J61" s="14"/>
      <c r="K61" s="15">
        <f t="shared" si="5"/>
        <v>0</v>
      </c>
    </row>
    <row r="62" spans="1:11" ht="18" customHeight="1">
      <c r="A62" s="4" t="s">
        <v>101</v>
      </c>
      <c r="B62" s="932"/>
      <c r="C62" s="933"/>
      <c r="D62" s="934"/>
      <c r="F62" s="13"/>
      <c r="G62" s="13"/>
      <c r="H62" s="14"/>
      <c r="I62" s="40">
        <v>0</v>
      </c>
      <c r="J62" s="14"/>
      <c r="K62" s="15">
        <f t="shared" si="5"/>
        <v>0</v>
      </c>
    </row>
    <row r="63" spans="1:11" ht="18" customHeight="1">
      <c r="A63" s="4"/>
      <c r="I63" s="37"/>
    </row>
    <row r="64" spans="1:11" ht="18" customHeight="1">
      <c r="A64" s="4" t="s">
        <v>144</v>
      </c>
      <c r="B64" s="1" t="s">
        <v>145</v>
      </c>
      <c r="E64" s="1" t="s">
        <v>7</v>
      </c>
      <c r="F64" s="17">
        <f t="shared" ref="F64:K64" si="6">SUM(F53:F62)</f>
        <v>83537.489618324442</v>
      </c>
      <c r="G64" s="17">
        <f t="shared" si="6"/>
        <v>5006.3501008920812</v>
      </c>
      <c r="H64" s="15">
        <f t="shared" si="6"/>
        <v>18902899.74227104</v>
      </c>
      <c r="I64" s="15">
        <f t="shared" si="6"/>
        <v>0</v>
      </c>
      <c r="J64" s="15">
        <f t="shared" si="6"/>
        <v>551457.63</v>
      </c>
      <c r="K64" s="15">
        <f t="shared" si="6"/>
        <v>18351442.112271037</v>
      </c>
    </row>
    <row r="65" spans="1:11" ht="18" customHeight="1">
      <c r="F65" s="38"/>
      <c r="G65" s="38"/>
      <c r="H65" s="38"/>
      <c r="I65" s="38"/>
      <c r="J65" s="38"/>
      <c r="K65" s="38"/>
    </row>
    <row r="66" spans="1:11" ht="42.75" customHeight="1">
      <c r="F66" s="46" t="s">
        <v>9</v>
      </c>
      <c r="G66" s="46" t="s">
        <v>37</v>
      </c>
      <c r="H66" s="46" t="s">
        <v>29</v>
      </c>
      <c r="I66" s="46" t="s">
        <v>30</v>
      </c>
      <c r="J66" s="46" t="s">
        <v>33</v>
      </c>
      <c r="K66" s="46" t="s">
        <v>34</v>
      </c>
    </row>
    <row r="67" spans="1:11" ht="18" customHeight="1">
      <c r="A67" s="5" t="s">
        <v>102</v>
      </c>
      <c r="B67" s="1" t="s">
        <v>12</v>
      </c>
      <c r="F67" s="47"/>
      <c r="G67" s="47"/>
      <c r="H67" s="47"/>
      <c r="I67" s="48"/>
      <c r="J67" s="47"/>
      <c r="K67" s="49"/>
    </row>
    <row r="68" spans="1:11" ht="18" customHeight="1">
      <c r="A68" s="4" t="s">
        <v>103</v>
      </c>
      <c r="B68" t="s">
        <v>52</v>
      </c>
      <c r="F68" s="13">
        <f>'[13]CB Master List - FY15&amp;FY14'!$AB$177</f>
        <v>6589.1079062262188</v>
      </c>
      <c r="G68" s="41">
        <f>'[13]CB Master List - FY15&amp;FY14'!$AC$177</f>
        <v>811</v>
      </c>
      <c r="H68" s="14">
        <f>'[13]CB Master List - FY15&amp;FY14'!$AD$177</f>
        <v>433167.63</v>
      </c>
      <c r="I68" s="40">
        <v>0</v>
      </c>
      <c r="J68" s="14">
        <f>'[13]CB Master List - FY15&amp;FY14'!$AF$177</f>
        <v>264596.67</v>
      </c>
      <c r="K68" s="15">
        <f>(H68+I68)-J68</f>
        <v>168570.96000000002</v>
      </c>
    </row>
    <row r="69" spans="1:11" ht="18" customHeight="1">
      <c r="A69" s="4" t="s">
        <v>104</v>
      </c>
      <c r="B69" s="257" t="s">
        <v>53</v>
      </c>
      <c r="F69" s="41">
        <f>'[13]CB Master List - FY15&amp;FY14'!$AB$182</f>
        <v>0</v>
      </c>
      <c r="G69" s="41">
        <f>'[13]CB Master List - FY15&amp;FY14'!$AC$182</f>
        <v>0</v>
      </c>
      <c r="H69" s="14">
        <f>'[13]CB Master List - FY15&amp;FY14'!$AD$182</f>
        <v>35565.42</v>
      </c>
      <c r="I69" s="40">
        <v>0</v>
      </c>
      <c r="J69" s="14">
        <f>'[13]CB Master List - FY15&amp;FY14'!$AF$182</f>
        <v>0</v>
      </c>
      <c r="K69" s="15">
        <f>(H69+I69)-J69</f>
        <v>35565.42</v>
      </c>
    </row>
    <row r="70" spans="1:11" ht="18" customHeight="1">
      <c r="A70" s="4" t="s">
        <v>178</v>
      </c>
      <c r="B70" s="604"/>
      <c r="C70" s="605"/>
      <c r="D70" s="606"/>
      <c r="E70" s="1"/>
      <c r="F70" s="26"/>
      <c r="G70" s="26"/>
      <c r="H70" s="14"/>
      <c r="I70" s="40">
        <v>0</v>
      </c>
      <c r="J70" s="14"/>
      <c r="K70" s="15">
        <f>(H70+I70)-J70</f>
        <v>0</v>
      </c>
    </row>
    <row r="71" spans="1:11" ht="18" customHeight="1">
      <c r="A71" s="4" t="s">
        <v>179</v>
      </c>
      <c r="B71" s="604"/>
      <c r="C71" s="605"/>
      <c r="D71" s="606"/>
      <c r="E71" s="1"/>
      <c r="F71" s="26"/>
      <c r="G71" s="26"/>
      <c r="H71" s="14"/>
      <c r="I71" s="40">
        <v>0</v>
      </c>
      <c r="J71" s="14"/>
      <c r="K71" s="15">
        <f>(H71+I71)-J71</f>
        <v>0</v>
      </c>
    </row>
    <row r="72" spans="1:11" ht="18" customHeight="1">
      <c r="A72" s="4" t="s">
        <v>180</v>
      </c>
      <c r="B72" s="609"/>
      <c r="C72" s="607"/>
      <c r="D72" s="25"/>
      <c r="E72" s="1"/>
      <c r="F72" s="13"/>
      <c r="G72" s="13"/>
      <c r="H72" s="14"/>
      <c r="I72" s="40">
        <v>0</v>
      </c>
      <c r="J72" s="14"/>
      <c r="K72" s="15">
        <f>(H72+I72)-J72</f>
        <v>0</v>
      </c>
    </row>
    <row r="73" spans="1:11" ht="18" customHeight="1">
      <c r="A73" s="4"/>
      <c r="B73" s="257"/>
      <c r="E73" s="1"/>
      <c r="F73" s="50"/>
      <c r="G73" s="50"/>
      <c r="H73" s="51"/>
      <c r="I73" s="48"/>
      <c r="J73" s="51"/>
      <c r="K73" s="49"/>
    </row>
    <row r="74" spans="1:11" ht="18" customHeight="1">
      <c r="A74" s="5" t="s">
        <v>146</v>
      </c>
      <c r="B74" s="1" t="s">
        <v>147</v>
      </c>
      <c r="E74" s="1" t="s">
        <v>7</v>
      </c>
      <c r="F74" s="20">
        <f t="shared" ref="F74:K74" si="7">SUM(F68:F72)</f>
        <v>6589.1079062262188</v>
      </c>
      <c r="G74" s="20">
        <f t="shared" si="7"/>
        <v>811</v>
      </c>
      <c r="H74" s="20">
        <f t="shared" si="7"/>
        <v>468733.05</v>
      </c>
      <c r="I74" s="42">
        <f t="shared" si="7"/>
        <v>0</v>
      </c>
      <c r="J74" s="20">
        <f t="shared" si="7"/>
        <v>264596.67</v>
      </c>
      <c r="K74" s="16">
        <f t="shared" si="7"/>
        <v>204136.38</v>
      </c>
    </row>
    <row r="75" spans="1:11" ht="42.75" customHeight="1">
      <c r="F75" s="8" t="s">
        <v>9</v>
      </c>
      <c r="G75" s="8" t="s">
        <v>37</v>
      </c>
      <c r="H75" s="8" t="s">
        <v>29</v>
      </c>
      <c r="I75" s="8" t="s">
        <v>30</v>
      </c>
      <c r="J75" s="8" t="s">
        <v>33</v>
      </c>
      <c r="K75" s="8" t="s">
        <v>34</v>
      </c>
    </row>
    <row r="76" spans="1:11" ht="18" customHeight="1">
      <c r="A76" s="5" t="s">
        <v>105</v>
      </c>
      <c r="B76" s="1" t="s">
        <v>106</v>
      </c>
    </row>
    <row r="77" spans="1:11" ht="18" customHeight="1">
      <c r="A77" s="4" t="s">
        <v>107</v>
      </c>
      <c r="B77" s="257" t="s">
        <v>54</v>
      </c>
      <c r="F77" s="13">
        <f>'[13]CB Master List - FY15&amp;FY14'!$AB$201</f>
        <v>37.132477284215639</v>
      </c>
      <c r="G77" s="13">
        <f>'[13]CB Master List - FY15&amp;FY14'!$AC$201</f>
        <v>0</v>
      </c>
      <c r="H77" s="14">
        <f>'[13]CB Master List - FY15&amp;FY14'!$AD$201</f>
        <v>590401.22499999998</v>
      </c>
      <c r="I77" s="40">
        <v>0</v>
      </c>
      <c r="J77" s="14">
        <f>'[13]CB Master List - FY15&amp;FY14'!$AF$201</f>
        <v>0</v>
      </c>
      <c r="K77" s="15">
        <f>(H77+I77)-J77</f>
        <v>590401.22499999998</v>
      </c>
    </row>
    <row r="78" spans="1:11" ht="18" customHeight="1">
      <c r="A78" s="4" t="s">
        <v>108</v>
      </c>
      <c r="B78" s="257" t="s">
        <v>55</v>
      </c>
      <c r="F78" s="13">
        <f>'[13]CB Master List - FY15&amp;FY14'!$AB$204</f>
        <v>24.591106871670817</v>
      </c>
      <c r="G78" s="13">
        <f>'[13]CB Master List - FY15&amp;FY14'!$AC$204</f>
        <v>32</v>
      </c>
      <c r="H78" s="14">
        <f>'[13]CB Master List - FY15&amp;FY14'!$AD$204</f>
        <v>0</v>
      </c>
      <c r="I78" s="40">
        <v>0</v>
      </c>
      <c r="J78" s="14">
        <f>'[13]CB Master List - FY15&amp;FY14'!$AF$204</f>
        <v>0</v>
      </c>
      <c r="K78" s="15">
        <f>(H78+I78)-J78</f>
        <v>0</v>
      </c>
    </row>
    <row r="79" spans="1:11" ht="18" customHeight="1">
      <c r="A79" s="4" t="s">
        <v>109</v>
      </c>
      <c r="B79" s="257" t="s">
        <v>13</v>
      </c>
      <c r="F79" s="13">
        <f>'[13]CB Master List - FY15&amp;FY14'!$AB$209</f>
        <v>0</v>
      </c>
      <c r="G79" s="13">
        <f>'[13]CB Master List - FY15&amp;FY14'!$AC$209</f>
        <v>0</v>
      </c>
      <c r="H79" s="14">
        <f>'[13]CB Master List - FY15&amp;FY14'!$AD$209</f>
        <v>43290</v>
      </c>
      <c r="I79" s="40">
        <v>0</v>
      </c>
      <c r="J79" s="14">
        <f>'[13]CB Master List - FY15&amp;FY14'!$AF$209</f>
        <v>0</v>
      </c>
      <c r="K79" s="15">
        <f>(H79+I79)-J79</f>
        <v>43290</v>
      </c>
    </row>
    <row r="80" spans="1:11" ht="18" customHeight="1">
      <c r="A80" s="4" t="s">
        <v>110</v>
      </c>
      <c r="B80" s="257" t="s">
        <v>56</v>
      </c>
      <c r="F80" s="13">
        <f>'[13]CB Master List - FY15&amp;FY14'!$AB$213</f>
        <v>148.92493549094993</v>
      </c>
      <c r="G80" s="13">
        <f>'[13]CB Master List - FY15&amp;FY14'!$AC$213</f>
        <v>0</v>
      </c>
      <c r="H80" s="14">
        <f>'[13]CB Master List - FY15&amp;FY14'!$AD$213</f>
        <v>0</v>
      </c>
      <c r="I80" s="40">
        <v>0</v>
      </c>
      <c r="J80" s="14">
        <f>'[13]CB Master List - FY15&amp;FY14'!$AF$213</f>
        <v>0</v>
      </c>
      <c r="K80" s="15">
        <f>(H80+I80)-J80</f>
        <v>0</v>
      </c>
    </row>
    <row r="81" spans="1:11" ht="18" customHeight="1">
      <c r="A81" s="4"/>
      <c r="K81" s="31"/>
    </row>
    <row r="82" spans="1:11" ht="18" customHeight="1">
      <c r="A82" s="4" t="s">
        <v>148</v>
      </c>
      <c r="B82" s="1" t="s">
        <v>149</v>
      </c>
      <c r="E82" s="1" t="s">
        <v>7</v>
      </c>
      <c r="F82" s="20">
        <f t="shared" ref="F82:K82" si="8">SUM(F77:F80)</f>
        <v>210.64851964683641</v>
      </c>
      <c r="G82" s="20">
        <f t="shared" si="8"/>
        <v>32</v>
      </c>
      <c r="H82" s="16">
        <f t="shared" si="8"/>
        <v>633691.22499999998</v>
      </c>
      <c r="I82" s="16">
        <f t="shared" si="8"/>
        <v>0</v>
      </c>
      <c r="J82" s="16">
        <f t="shared" si="8"/>
        <v>0</v>
      </c>
      <c r="K82" s="16">
        <f t="shared" si="8"/>
        <v>633691.22499999998</v>
      </c>
    </row>
    <row r="83" spans="1:11" ht="18" customHeight="1" thickBot="1">
      <c r="A83" s="4"/>
      <c r="F83" s="23"/>
      <c r="G83" s="23"/>
      <c r="H83" s="23"/>
      <c r="I83" s="23"/>
      <c r="J83" s="23"/>
      <c r="K83" s="23"/>
    </row>
    <row r="84" spans="1:11" ht="42.75" customHeight="1">
      <c r="F84" s="8" t="s">
        <v>9</v>
      </c>
      <c r="G84" s="8" t="s">
        <v>37</v>
      </c>
      <c r="H84" s="8" t="s">
        <v>29</v>
      </c>
      <c r="I84" s="8" t="s">
        <v>30</v>
      </c>
      <c r="J84" s="8" t="s">
        <v>33</v>
      </c>
      <c r="K84" s="8" t="s">
        <v>34</v>
      </c>
    </row>
    <row r="85" spans="1:11" ht="18" customHeight="1">
      <c r="A85" s="5" t="s">
        <v>111</v>
      </c>
      <c r="B85" s="1" t="s">
        <v>57</v>
      </c>
    </row>
    <row r="86" spans="1:11" ht="18" customHeight="1">
      <c r="A86" s="4" t="s">
        <v>112</v>
      </c>
      <c r="B86" s="257" t="s">
        <v>113</v>
      </c>
      <c r="F86" s="13">
        <f>'[13]CB Master List - FY15&amp;FY14'!$AB$225</f>
        <v>2</v>
      </c>
      <c r="G86" s="13">
        <f>'[13]CB Master List - FY15&amp;FY14'!$AC$225</f>
        <v>5</v>
      </c>
      <c r="H86" s="14">
        <f>'[13]CB Master List - FY15&amp;FY14'!$AD$225</f>
        <v>623.64108602225724</v>
      </c>
      <c r="I86" s="40">
        <f>'[13]CB Master List - FY15&amp;FY14'!$AE$225</f>
        <v>342.62444500975818</v>
      </c>
      <c r="J86" s="14">
        <f>'[13]CB Master List - FY15&amp;FY14'!$AF$225</f>
        <v>0</v>
      </c>
      <c r="K86" s="15">
        <f t="shared" ref="K86:K96" si="9">(H86+I86)-J86</f>
        <v>966.26553103201536</v>
      </c>
    </row>
    <row r="87" spans="1:11" ht="18" customHeight="1">
      <c r="A87" s="4" t="s">
        <v>114</v>
      </c>
      <c r="B87" s="257" t="s">
        <v>14</v>
      </c>
      <c r="F87" s="13">
        <f>'[13]CB Master List - FY15&amp;FY14'!$AB$228</f>
        <v>64.382592239305907</v>
      </c>
      <c r="G87" s="13">
        <f>'[13]CB Master List - FY15&amp;FY14'!$AC$228</f>
        <v>351.79532352565491</v>
      </c>
      <c r="H87" s="14">
        <f>'[13]CB Master List - FY15&amp;FY14'!$AD$228</f>
        <v>0</v>
      </c>
      <c r="I87" s="40">
        <f>'[13]CB Master List - FY15&amp;FY14'!$AE$228</f>
        <v>0</v>
      </c>
      <c r="J87" s="14">
        <f>'[13]CB Master List - FY15&amp;FY14'!$AF$228</f>
        <v>0</v>
      </c>
      <c r="K87" s="15">
        <f t="shared" si="9"/>
        <v>0</v>
      </c>
    </row>
    <row r="88" spans="1:11" ht="18" customHeight="1">
      <c r="A88" s="4" t="s">
        <v>115</v>
      </c>
      <c r="B88" s="257" t="s">
        <v>116</v>
      </c>
      <c r="F88" s="13">
        <f>'[13]CB Master List - FY15&amp;FY14'!$AB$235</f>
        <v>830.14668036539217</v>
      </c>
      <c r="G88" s="13">
        <f>'[13]CB Master List - FY15&amp;FY14'!$AC$235</f>
        <v>2958.6647919196375</v>
      </c>
      <c r="H88" s="14">
        <f>'[13]CB Master List - FY15&amp;FY14'!$AD$235</f>
        <v>68852.87</v>
      </c>
      <c r="I88" s="40">
        <f>'[13]CB Master List - FY15&amp;FY14'!$AE$235</f>
        <v>37827.328730931455</v>
      </c>
      <c r="J88" s="14">
        <f>'[13]CB Master List - FY15&amp;FY14'!$AF$235</f>
        <v>0</v>
      </c>
      <c r="K88" s="15">
        <f t="shared" si="9"/>
        <v>106680.19873093144</v>
      </c>
    </row>
    <row r="89" spans="1:11" ht="18" customHeight="1">
      <c r="A89" s="4" t="s">
        <v>117</v>
      </c>
      <c r="B89" s="257" t="s">
        <v>58</v>
      </c>
      <c r="F89" s="13">
        <f>'[13]CB Master List - FY15&amp;FY14'!$AB$238</f>
        <v>24.592539531131102</v>
      </c>
      <c r="G89" s="13">
        <f>'[13]CB Master List - FY15&amp;FY14'!$AC$238</f>
        <v>136.975131770437</v>
      </c>
      <c r="H89" s="14">
        <f>'[13]CB Master List - FY15&amp;FY14'!$AD$238</f>
        <v>0</v>
      </c>
      <c r="I89" s="40">
        <f>'[13]CB Master List - FY15&amp;FY14'!$AE$238</f>
        <v>0</v>
      </c>
      <c r="J89" s="14">
        <f>'[13]CB Master List - FY15&amp;FY14'!$AF$238</f>
        <v>0</v>
      </c>
      <c r="K89" s="15">
        <f t="shared" si="9"/>
        <v>0</v>
      </c>
    </row>
    <row r="90" spans="1:11" ht="18" customHeight="1">
      <c r="A90" s="4" t="s">
        <v>118</v>
      </c>
      <c r="B90" s="931" t="s">
        <v>59</v>
      </c>
      <c r="C90" s="939"/>
      <c r="F90" s="13">
        <f>'[13]CB Master List - FY15&amp;FY14'!$AB$241</f>
        <v>15.603540986452316</v>
      </c>
      <c r="G90" s="13">
        <f>'[13]CB Master List - FY15&amp;FY14'!$AC$241</f>
        <v>56.093742280410858</v>
      </c>
      <c r="H90" s="14">
        <f>'[13]CB Master List - FY15&amp;FY14'!$AD$241</f>
        <v>0</v>
      </c>
      <c r="I90" s="40">
        <f>'[13]CB Master List - FY15&amp;FY14'!$AE$241</f>
        <v>0</v>
      </c>
      <c r="J90" s="14">
        <f>'[13]CB Master List - FY15&amp;FY14'!$AF$241</f>
        <v>0</v>
      </c>
      <c r="K90" s="15">
        <f t="shared" si="9"/>
        <v>0</v>
      </c>
    </row>
    <row r="91" spans="1:11" ht="18" customHeight="1">
      <c r="A91" s="4" t="s">
        <v>119</v>
      </c>
      <c r="B91" s="257" t="s">
        <v>60</v>
      </c>
      <c r="F91" s="13">
        <f>'[13]CB Master List - FY15&amp;FY14'!$AB$244</f>
        <v>947.94277655961218</v>
      </c>
      <c r="G91" s="13">
        <f>'[13]CB Master List - FY15&amp;FY14'!$AC$244</f>
        <v>2595.7506108571561</v>
      </c>
      <c r="H91" s="14">
        <f>'[13]CB Master List - FY15&amp;FY14'!$AD$244</f>
        <v>46676.594379845614</v>
      </c>
      <c r="I91" s="40">
        <f>'[13]CB Master List - FY15&amp;FY14'!$AE$244</f>
        <v>25643.823992329846</v>
      </c>
      <c r="J91" s="14">
        <f>'[13]CB Master List - FY15&amp;FY14'!$AF$244</f>
        <v>2953.3920000000003</v>
      </c>
      <c r="K91" s="15">
        <f t="shared" si="9"/>
        <v>69367.026372175445</v>
      </c>
    </row>
    <row r="92" spans="1:11" ht="18" customHeight="1">
      <c r="A92" s="4" t="s">
        <v>120</v>
      </c>
      <c r="B92" s="257" t="s">
        <v>121</v>
      </c>
      <c r="F92" s="29">
        <f>'[13]CB Master List - FY15&amp;FY14'!$AB$253</f>
        <v>7506.7031753481961</v>
      </c>
      <c r="G92" s="29">
        <f>'[13]CB Master List - FY15&amp;FY14'!$AC$253</f>
        <v>1055.636598550793</v>
      </c>
      <c r="H92" s="30">
        <f>'[13]CB Master List - FY15&amp;FY14'!$AD$253</f>
        <v>540383.02463282866</v>
      </c>
      <c r="I92" s="40">
        <f>'[13]CB Master List - FY15&amp;FY14'!$AE$253</f>
        <v>296882.99577637127</v>
      </c>
      <c r="J92" s="30">
        <f>'[13]CB Master List - FY15&amp;FY14'!$AF$253</f>
        <v>0</v>
      </c>
      <c r="K92" s="15">
        <f t="shared" si="9"/>
        <v>837266.02040919987</v>
      </c>
    </row>
    <row r="93" spans="1:11" ht="18" customHeight="1">
      <c r="A93" s="4" t="s">
        <v>122</v>
      </c>
      <c r="B93" s="257" t="s">
        <v>123</v>
      </c>
      <c r="F93" s="13">
        <f>'[13]CB Master List - FY15&amp;FY14'!$AB$256</f>
        <v>1.7776185933933017</v>
      </c>
      <c r="G93" s="13">
        <f>'[13]CB Master List - FY15&amp;FY14'!$AC$256</f>
        <v>1.5801054163496016</v>
      </c>
      <c r="H93" s="14">
        <f>'[13]CB Master List - FY15&amp;FY14'!$AD$256</f>
        <v>0</v>
      </c>
      <c r="I93" s="40">
        <f>'[13]CB Master List - FY15&amp;FY14'!$AE$256</f>
        <v>0</v>
      </c>
      <c r="J93" s="14">
        <f>'[13]CB Master List - FY15&amp;FY14'!$AF$256</f>
        <v>0</v>
      </c>
      <c r="K93" s="15">
        <f t="shared" si="9"/>
        <v>0</v>
      </c>
    </row>
    <row r="94" spans="1:11" ht="18" customHeight="1">
      <c r="A94" s="4" t="s">
        <v>124</v>
      </c>
      <c r="B94" s="932"/>
      <c r="C94" s="933"/>
      <c r="D94" s="934"/>
      <c r="F94" s="13"/>
      <c r="G94" s="13"/>
      <c r="H94" s="14"/>
      <c r="I94" s="40">
        <f>H94*F$114</f>
        <v>0</v>
      </c>
      <c r="J94" s="14"/>
      <c r="K94" s="15">
        <f t="shared" si="9"/>
        <v>0</v>
      </c>
    </row>
    <row r="95" spans="1:11" ht="18" customHeight="1">
      <c r="A95" s="4" t="s">
        <v>125</v>
      </c>
      <c r="B95" s="932"/>
      <c r="C95" s="933"/>
      <c r="D95" s="934"/>
      <c r="F95" s="13"/>
      <c r="G95" s="13"/>
      <c r="H95" s="14"/>
      <c r="I95" s="40">
        <f>H95*F$114</f>
        <v>0</v>
      </c>
      <c r="J95" s="14"/>
      <c r="K95" s="15">
        <f t="shared" si="9"/>
        <v>0</v>
      </c>
    </row>
    <row r="96" spans="1:11" ht="18" customHeight="1">
      <c r="A96" s="4" t="s">
        <v>126</v>
      </c>
      <c r="B96" s="932"/>
      <c r="C96" s="933"/>
      <c r="D96" s="934"/>
      <c r="F96" s="13"/>
      <c r="G96" s="13"/>
      <c r="H96" s="14"/>
      <c r="I96" s="40">
        <f>H96*F$114</f>
        <v>0</v>
      </c>
      <c r="J96" s="14"/>
      <c r="K96" s="15">
        <f t="shared" si="9"/>
        <v>0</v>
      </c>
    </row>
    <row r="97" spans="1:11" ht="18" customHeight="1">
      <c r="A97" s="4"/>
      <c r="B97" s="257"/>
    </row>
    <row r="98" spans="1:11" ht="18" customHeight="1">
      <c r="A98" s="5" t="s">
        <v>150</v>
      </c>
      <c r="B98" s="1" t="s">
        <v>151</v>
      </c>
      <c r="E98" s="1" t="s">
        <v>7</v>
      </c>
      <c r="F98" s="17">
        <f t="shared" ref="F98:K98" si="10">SUM(F86:F96)</f>
        <v>9393.1489236234829</v>
      </c>
      <c r="G98" s="17">
        <f t="shared" si="10"/>
        <v>7161.4963043204389</v>
      </c>
      <c r="H98" s="17">
        <f t="shared" si="10"/>
        <v>656536.13009869657</v>
      </c>
      <c r="I98" s="17">
        <f t="shared" si="10"/>
        <v>360696.77294464235</v>
      </c>
      <c r="J98" s="17">
        <f t="shared" si="10"/>
        <v>2953.3920000000003</v>
      </c>
      <c r="K98" s="17">
        <f t="shared" si="10"/>
        <v>1014279.5110433388</v>
      </c>
    </row>
    <row r="99" spans="1:11" ht="18" customHeight="1" thickBot="1">
      <c r="B99" s="1"/>
      <c r="F99" s="23"/>
      <c r="G99" s="23"/>
      <c r="H99" s="23"/>
      <c r="I99" s="23"/>
      <c r="J99" s="23"/>
      <c r="K99" s="23"/>
    </row>
    <row r="100" spans="1:11" ht="42.75" customHeight="1">
      <c r="F100" s="8" t="s">
        <v>9</v>
      </c>
      <c r="G100" s="8" t="s">
        <v>37</v>
      </c>
      <c r="H100" s="8" t="s">
        <v>29</v>
      </c>
      <c r="I100" s="8" t="s">
        <v>30</v>
      </c>
      <c r="J100" s="8" t="s">
        <v>33</v>
      </c>
      <c r="K100" s="8" t="s">
        <v>34</v>
      </c>
    </row>
    <row r="101" spans="1:11" ht="18" customHeight="1">
      <c r="A101" s="5" t="s">
        <v>130</v>
      </c>
      <c r="B101" s="1" t="s">
        <v>63</v>
      </c>
    </row>
    <row r="102" spans="1:11" ht="18" customHeight="1">
      <c r="A102" s="4" t="s">
        <v>131</v>
      </c>
      <c r="B102" s="257" t="s">
        <v>152</v>
      </c>
      <c r="F102" s="13">
        <f>'[13]CB Master List - FY15&amp;FY14'!$AB$273</f>
        <v>2746.5985914324924</v>
      </c>
      <c r="G102" s="13">
        <f>'[13]CB Master List - FY15&amp;FY14'!$AC$273</f>
        <v>150.11001455321215</v>
      </c>
      <c r="H102" s="14">
        <f>'[13]CB Master List - FY15&amp;FY14'!$AD$273</f>
        <v>125215.50779999999</v>
      </c>
      <c r="I102" s="40">
        <f>'[13]CB Master List - FY15&amp;FY14'!$AE$273</f>
        <v>68792.603354967083</v>
      </c>
      <c r="J102" s="14">
        <f>'[13]CB Master List - FY15&amp;FY14'!$AF$273</f>
        <v>3545.2554</v>
      </c>
      <c r="K102" s="15">
        <f>(H102+I102)-J102</f>
        <v>190462.85575496708</v>
      </c>
    </row>
    <row r="103" spans="1:11" ht="18" customHeight="1">
      <c r="A103" s="4" t="s">
        <v>132</v>
      </c>
      <c r="B103" s="931" t="s">
        <v>62</v>
      </c>
      <c r="C103" s="931"/>
      <c r="F103" s="13">
        <f>'[13]CB Master List - FY15&amp;FY14'!$AB$276</f>
        <v>12.048303799665712</v>
      </c>
      <c r="G103" s="13">
        <f>'[13]CB Master List - FY15&amp;FY14'!$AC$276</f>
        <v>87.695850607402889</v>
      </c>
      <c r="H103" s="14">
        <f>'[13]CB Master List - FY15&amp;FY14'!$AD$276</f>
        <v>0</v>
      </c>
      <c r="I103" s="40">
        <f>'[13]CB Master List - FY15&amp;FY14'!$AE$276</f>
        <v>0</v>
      </c>
      <c r="J103" s="14">
        <f>'[13]CB Master List - FY15&amp;FY14'!$AF$276</f>
        <v>0</v>
      </c>
      <c r="K103" s="15">
        <f>(H103+I103)-J103</f>
        <v>0</v>
      </c>
    </row>
    <row r="104" spans="1:11" ht="18" customHeight="1">
      <c r="A104" s="4" t="s">
        <v>128</v>
      </c>
      <c r="B104" s="932" t="s">
        <v>196</v>
      </c>
      <c r="C104" s="933"/>
      <c r="D104" s="934"/>
      <c r="F104" s="13">
        <f>'[13]CB Master List - FY15&amp;FY14'!$AB$281</f>
        <v>1497.6000000000001</v>
      </c>
      <c r="G104" s="13">
        <f>'[13]CB Master List - FY15&amp;FY14'!$AC$281</f>
        <v>0</v>
      </c>
      <c r="H104" s="14">
        <f>'[13]CB Master List - FY15&amp;FY14'!$AD$281</f>
        <v>60415.322400000005</v>
      </c>
      <c r="I104" s="40">
        <f>'[13]CB Master List - FY15&amp;FY14'!$AE$281</f>
        <v>33191.793759795444</v>
      </c>
      <c r="J104" s="14">
        <f>'[13]CB Master List - FY15&amp;FY14'!$AF$281</f>
        <v>8199.111600000002</v>
      </c>
      <c r="K104" s="15">
        <f>(H104+I104)-J104</f>
        <v>85408.004559795445</v>
      </c>
    </row>
    <row r="105" spans="1:11" ht="18" customHeight="1">
      <c r="A105" s="4" t="s">
        <v>127</v>
      </c>
      <c r="B105" s="932"/>
      <c r="C105" s="933"/>
      <c r="D105" s="934"/>
      <c r="F105" s="13"/>
      <c r="G105" s="13"/>
      <c r="H105" s="14"/>
      <c r="I105" s="40">
        <f>H105*F$114</f>
        <v>0</v>
      </c>
      <c r="J105" s="14"/>
      <c r="K105" s="15">
        <f>(H105+I105)-J105</f>
        <v>0</v>
      </c>
    </row>
    <row r="106" spans="1:11" ht="18" customHeight="1">
      <c r="A106" s="4" t="s">
        <v>129</v>
      </c>
      <c r="B106" s="932"/>
      <c r="C106" s="933"/>
      <c r="D106" s="934"/>
      <c r="F106" s="13"/>
      <c r="G106" s="13"/>
      <c r="H106" s="14"/>
      <c r="I106" s="40">
        <f>H106*F$114</f>
        <v>0</v>
      </c>
      <c r="J106" s="14"/>
      <c r="K106" s="15">
        <f>(H106+I106)-J106</f>
        <v>0</v>
      </c>
    </row>
    <row r="107" spans="1:11" ht="18" customHeight="1">
      <c r="B107" s="1"/>
    </row>
    <row r="108" spans="1:11" s="9" customFormat="1" ht="18" customHeight="1">
      <c r="A108" s="5" t="s">
        <v>153</v>
      </c>
      <c r="B108" s="52" t="s">
        <v>154</v>
      </c>
      <c r="C108"/>
      <c r="D108"/>
      <c r="E108" s="1" t="s">
        <v>7</v>
      </c>
      <c r="F108" s="17">
        <f t="shared" ref="F108:K108" si="11">SUM(F102:F106)</f>
        <v>4256.2468952321578</v>
      </c>
      <c r="G108" s="17">
        <f t="shared" si="11"/>
        <v>237.80586516061504</v>
      </c>
      <c r="H108" s="15">
        <f t="shared" si="11"/>
        <v>185630.8302</v>
      </c>
      <c r="I108" s="15">
        <f t="shared" si="11"/>
        <v>101984.39711476253</v>
      </c>
      <c r="J108" s="15">
        <f t="shared" si="11"/>
        <v>11744.367000000002</v>
      </c>
      <c r="K108" s="15">
        <f t="shared" si="11"/>
        <v>275870.86031476251</v>
      </c>
    </row>
    <row r="109" spans="1:11" s="9" customFormat="1" ht="18" customHeight="1" thickBot="1">
      <c r="A109" s="10"/>
      <c r="B109" s="11"/>
      <c r="C109" s="12"/>
      <c r="D109" s="12"/>
      <c r="E109" s="12"/>
      <c r="F109" s="23"/>
      <c r="G109" s="23"/>
      <c r="H109" s="23"/>
      <c r="I109" s="23"/>
      <c r="J109" s="23"/>
      <c r="K109" s="23"/>
    </row>
    <row r="110" spans="1:11" s="9" customFormat="1" ht="18" customHeight="1">
      <c r="A110" s="5" t="s">
        <v>156</v>
      </c>
      <c r="B110" s="1" t="s">
        <v>39</v>
      </c>
      <c r="C110"/>
      <c r="D110"/>
      <c r="E110"/>
      <c r="F110"/>
      <c r="G110"/>
      <c r="H110"/>
      <c r="I110"/>
      <c r="J110"/>
      <c r="K110"/>
    </row>
    <row r="111" spans="1:11" ht="18" customHeight="1">
      <c r="A111" s="5" t="s">
        <v>155</v>
      </c>
      <c r="B111" s="1" t="s">
        <v>164</v>
      </c>
      <c r="E111" s="1" t="s">
        <v>7</v>
      </c>
      <c r="F111" s="14">
        <f>'[13]CB Master List - FY15&amp;FY14'!$AG$293</f>
        <v>9217135.790000001</v>
      </c>
    </row>
    <row r="112" spans="1:11" ht="18" customHeight="1">
      <c r="B112" s="1"/>
      <c r="E112" s="1"/>
      <c r="F112" s="21"/>
    </row>
    <row r="113" spans="1:6" ht="18" customHeight="1">
      <c r="A113" s="5"/>
      <c r="B113" s="1" t="s">
        <v>15</v>
      </c>
    </row>
    <row r="114" spans="1:6" ht="18" customHeight="1">
      <c r="A114" s="4" t="s">
        <v>171</v>
      </c>
      <c r="B114" s="257" t="s">
        <v>35</v>
      </c>
      <c r="F114" s="24">
        <f>'[13]CB Master List - FY15&amp;FY14'!$AG$302</f>
        <v>0.54939363792578955</v>
      </c>
    </row>
    <row r="115" spans="1:6" ht="18" customHeight="1">
      <c r="A115" s="4"/>
      <c r="B115" s="1"/>
    </row>
    <row r="116" spans="1:6" ht="18" customHeight="1">
      <c r="A116" s="4" t="s">
        <v>170</v>
      </c>
      <c r="B116" s="1" t="s">
        <v>16</v>
      </c>
    </row>
    <row r="117" spans="1:6" ht="18" customHeight="1">
      <c r="A117" s="4" t="s">
        <v>172</v>
      </c>
      <c r="B117" s="257" t="s">
        <v>17</v>
      </c>
      <c r="F117" s="14">
        <f>[14]CONS_PL!$M$73</f>
        <v>209906032</v>
      </c>
    </row>
    <row r="118" spans="1:6" ht="18" customHeight="1">
      <c r="A118" s="4" t="s">
        <v>173</v>
      </c>
      <c r="B118" t="s">
        <v>18</v>
      </c>
      <c r="F118" s="14">
        <f>[14]CONS_PL!$M$120</f>
        <v>3902025</v>
      </c>
    </row>
    <row r="119" spans="1:6" ht="18" customHeight="1">
      <c r="A119" s="4" t="s">
        <v>174</v>
      </c>
      <c r="B119" s="1" t="s">
        <v>19</v>
      </c>
      <c r="F119" s="16">
        <f>SUM(F117:F118)</f>
        <v>213808057</v>
      </c>
    </row>
    <row r="120" spans="1:6" ht="18" customHeight="1">
      <c r="A120" s="4"/>
      <c r="B120" s="1"/>
    </row>
    <row r="121" spans="1:6" ht="18" customHeight="1">
      <c r="A121" s="4" t="s">
        <v>167</v>
      </c>
      <c r="B121" s="1" t="s">
        <v>36</v>
      </c>
      <c r="F121" s="14">
        <f>[14]CONS_PL!$M$467</f>
        <v>213524356</v>
      </c>
    </row>
    <row r="122" spans="1:6" ht="18" customHeight="1">
      <c r="A122" s="4"/>
    </row>
    <row r="123" spans="1:6" ht="18" customHeight="1">
      <c r="A123" s="4" t="s">
        <v>175</v>
      </c>
      <c r="B123" s="1" t="s">
        <v>20</v>
      </c>
      <c r="F123" s="14">
        <f>[14]CONS_PL!$M$469</f>
        <v>283701</v>
      </c>
    </row>
    <row r="124" spans="1:6" ht="18" customHeight="1">
      <c r="A124" s="4"/>
    </row>
    <row r="125" spans="1:6" ht="18" customHeight="1">
      <c r="A125" s="4" t="s">
        <v>176</v>
      </c>
      <c r="B125" s="1" t="s">
        <v>21</v>
      </c>
      <c r="F125" s="14">
        <f>[14]CONS_PL!$M$484</f>
        <v>-1460713</v>
      </c>
    </row>
    <row r="126" spans="1:6" ht="18" customHeight="1">
      <c r="A126" s="4"/>
    </row>
    <row r="127" spans="1:6" ht="18" customHeight="1">
      <c r="A127" s="4" t="s">
        <v>177</v>
      </c>
      <c r="B127" s="1" t="s">
        <v>22</v>
      </c>
      <c r="F127" s="14">
        <f>[14]CONS_PL!$M$491</f>
        <v>-1177012</v>
      </c>
    </row>
    <row r="128" spans="1:6" ht="18" customHeight="1">
      <c r="A128" s="4"/>
    </row>
    <row r="129" spans="1:11" ht="42.75" customHeight="1">
      <c r="F129" s="8" t="s">
        <v>9</v>
      </c>
      <c r="G129" s="8" t="s">
        <v>37</v>
      </c>
      <c r="H129" s="8" t="s">
        <v>29</v>
      </c>
      <c r="I129" s="8" t="s">
        <v>30</v>
      </c>
      <c r="J129" s="8" t="s">
        <v>33</v>
      </c>
      <c r="K129" s="8" t="s">
        <v>34</v>
      </c>
    </row>
    <row r="130" spans="1:11" ht="18" customHeight="1">
      <c r="A130" s="5" t="s">
        <v>157</v>
      </c>
      <c r="B130" s="1" t="s">
        <v>23</v>
      </c>
    </row>
    <row r="131" spans="1:11" ht="18" customHeight="1">
      <c r="A131" s="4" t="s">
        <v>158</v>
      </c>
      <c r="B131" t="s">
        <v>24</v>
      </c>
      <c r="F131" s="13"/>
      <c r="G131" s="13"/>
      <c r="H131" s="14"/>
      <c r="I131" s="40">
        <v>0</v>
      </c>
      <c r="J131" s="14"/>
      <c r="K131" s="15">
        <f>(H131+I131)-J131</f>
        <v>0</v>
      </c>
    </row>
    <row r="132" spans="1:11" ht="18" customHeight="1">
      <c r="A132" s="4" t="s">
        <v>159</v>
      </c>
      <c r="B132" t="s">
        <v>25</v>
      </c>
      <c r="F132" s="13"/>
      <c r="G132" s="13"/>
      <c r="H132" s="14"/>
      <c r="I132" s="40">
        <v>0</v>
      </c>
      <c r="J132" s="14"/>
      <c r="K132" s="15">
        <f>(H132+I132)-J132</f>
        <v>0</v>
      </c>
    </row>
    <row r="133" spans="1:11" ht="18" customHeight="1">
      <c r="A133" s="4" t="s">
        <v>160</v>
      </c>
      <c r="B133" s="893"/>
      <c r="C133" s="894"/>
      <c r="D133" s="895"/>
      <c r="F133" s="13"/>
      <c r="G133" s="13"/>
      <c r="H133" s="14"/>
      <c r="I133" s="40">
        <v>0</v>
      </c>
      <c r="J133" s="14"/>
      <c r="K133" s="15">
        <f>(H133+I133)-J133</f>
        <v>0</v>
      </c>
    </row>
    <row r="134" spans="1:11" ht="18" customHeight="1">
      <c r="A134" s="4" t="s">
        <v>161</v>
      </c>
      <c r="B134" s="893"/>
      <c r="C134" s="894"/>
      <c r="D134" s="895"/>
      <c r="F134" s="13"/>
      <c r="G134" s="13"/>
      <c r="H134" s="14"/>
      <c r="I134" s="40">
        <v>0</v>
      </c>
      <c r="J134" s="14"/>
      <c r="K134" s="15">
        <f>(H134+I134)-J134</f>
        <v>0</v>
      </c>
    </row>
    <row r="135" spans="1:11" ht="18" customHeight="1">
      <c r="A135" s="4" t="s">
        <v>162</v>
      </c>
      <c r="B135" s="893"/>
      <c r="C135" s="894"/>
      <c r="D135" s="895"/>
      <c r="F135" s="13"/>
      <c r="G135" s="13"/>
      <c r="H135" s="14"/>
      <c r="I135" s="40">
        <v>0</v>
      </c>
      <c r="J135" s="14"/>
      <c r="K135" s="15">
        <f>(H135+I135)-J135</f>
        <v>0</v>
      </c>
    </row>
    <row r="136" spans="1:11" ht="18" customHeight="1">
      <c r="A136" s="5"/>
    </row>
    <row r="137" spans="1:11" ht="18" customHeight="1">
      <c r="A137" s="5" t="s">
        <v>163</v>
      </c>
      <c r="B137" s="1" t="s">
        <v>27</v>
      </c>
      <c r="F137" s="17">
        <f t="shared" ref="F137:K137" si="12">SUM(F131:F135)</f>
        <v>0</v>
      </c>
      <c r="G137" s="17">
        <f t="shared" si="12"/>
        <v>0</v>
      </c>
      <c r="H137" s="15">
        <f t="shared" si="12"/>
        <v>0</v>
      </c>
      <c r="I137" s="15">
        <f t="shared" si="12"/>
        <v>0</v>
      </c>
      <c r="J137" s="15">
        <f t="shared" si="12"/>
        <v>0</v>
      </c>
      <c r="K137" s="15">
        <f t="shared" si="12"/>
        <v>0</v>
      </c>
    </row>
    <row r="138" spans="1:11" ht="18" customHeight="1">
      <c r="A138"/>
    </row>
    <row r="139" spans="1:11" ht="42.75" customHeight="1">
      <c r="F139" s="8" t="s">
        <v>9</v>
      </c>
      <c r="G139" s="8" t="s">
        <v>37</v>
      </c>
      <c r="H139" s="8" t="s">
        <v>29</v>
      </c>
      <c r="I139" s="8" t="s">
        <v>30</v>
      </c>
      <c r="J139" s="8" t="s">
        <v>33</v>
      </c>
      <c r="K139" s="8" t="s">
        <v>34</v>
      </c>
    </row>
    <row r="140" spans="1:11" ht="18" customHeight="1">
      <c r="A140" s="5" t="s">
        <v>166</v>
      </c>
      <c r="B140" s="1" t="s">
        <v>26</v>
      </c>
    </row>
    <row r="141" spans="1:11" ht="18" customHeight="1">
      <c r="A141" s="4" t="s">
        <v>137</v>
      </c>
      <c r="B141" s="1" t="s">
        <v>64</v>
      </c>
      <c r="F141" s="32">
        <f t="shared" ref="F141:K141" si="13">F36</f>
        <v>37152.929017991832</v>
      </c>
      <c r="G141" s="32">
        <f t="shared" si="13"/>
        <v>25928.999293152785</v>
      </c>
      <c r="H141" s="32">
        <f t="shared" si="13"/>
        <v>3020082.8176228632</v>
      </c>
      <c r="I141" s="32">
        <f t="shared" si="13"/>
        <v>1612500.899762159</v>
      </c>
      <c r="J141" s="32">
        <f t="shared" si="13"/>
        <v>68470.705000000002</v>
      </c>
      <c r="K141" s="32">
        <f t="shared" si="13"/>
        <v>4564113.0123850219</v>
      </c>
    </row>
    <row r="142" spans="1:11" ht="18" customHeight="1">
      <c r="A142" s="4" t="s">
        <v>142</v>
      </c>
      <c r="B142" s="1" t="s">
        <v>65</v>
      </c>
      <c r="F142" s="32">
        <f t="shared" ref="F142:K142" si="14">F49</f>
        <v>21568.063819887353</v>
      </c>
      <c r="G142" s="32">
        <f t="shared" si="14"/>
        <v>6279.6192693621597</v>
      </c>
      <c r="H142" s="32">
        <f t="shared" si="14"/>
        <v>1045222.3644000001</v>
      </c>
      <c r="I142" s="32">
        <f t="shared" si="14"/>
        <v>0</v>
      </c>
      <c r="J142" s="32">
        <f t="shared" si="14"/>
        <v>18203.775600000001</v>
      </c>
      <c r="K142" s="32">
        <f t="shared" si="14"/>
        <v>1027018.5888</v>
      </c>
    </row>
    <row r="143" spans="1:11" ht="18" customHeight="1">
      <c r="A143" s="4" t="s">
        <v>144</v>
      </c>
      <c r="B143" s="1" t="s">
        <v>66</v>
      </c>
      <c r="F143" s="32">
        <f t="shared" ref="F143:K143" si="15">F64</f>
        <v>83537.489618324442</v>
      </c>
      <c r="G143" s="32">
        <f t="shared" si="15"/>
        <v>5006.3501008920812</v>
      </c>
      <c r="H143" s="32">
        <f t="shared" si="15"/>
        <v>18902899.74227104</v>
      </c>
      <c r="I143" s="32">
        <f t="shared" si="15"/>
        <v>0</v>
      </c>
      <c r="J143" s="32">
        <f t="shared" si="15"/>
        <v>551457.63</v>
      </c>
      <c r="K143" s="32">
        <f t="shared" si="15"/>
        <v>18351442.112271037</v>
      </c>
    </row>
    <row r="144" spans="1:11" ht="18" customHeight="1">
      <c r="A144" s="4" t="s">
        <v>146</v>
      </c>
      <c r="B144" s="1" t="s">
        <v>67</v>
      </c>
      <c r="F144" s="32">
        <f t="shared" ref="F144:K144" si="16">F74</f>
        <v>6589.1079062262188</v>
      </c>
      <c r="G144" s="32">
        <f t="shared" si="16"/>
        <v>811</v>
      </c>
      <c r="H144" s="32">
        <f t="shared" si="16"/>
        <v>468733.05</v>
      </c>
      <c r="I144" s="32">
        <f t="shared" si="16"/>
        <v>0</v>
      </c>
      <c r="J144" s="32">
        <f t="shared" si="16"/>
        <v>264596.67</v>
      </c>
      <c r="K144" s="32">
        <f t="shared" si="16"/>
        <v>204136.38</v>
      </c>
    </row>
    <row r="145" spans="1:11" ht="18" customHeight="1">
      <c r="A145" s="4" t="s">
        <v>148</v>
      </c>
      <c r="B145" s="1" t="s">
        <v>68</v>
      </c>
      <c r="F145" s="32">
        <f t="shared" ref="F145:K145" si="17">F82</f>
        <v>210.64851964683641</v>
      </c>
      <c r="G145" s="32">
        <f t="shared" si="17"/>
        <v>32</v>
      </c>
      <c r="H145" s="32">
        <f t="shared" si="17"/>
        <v>633691.22499999998</v>
      </c>
      <c r="I145" s="32">
        <f t="shared" si="17"/>
        <v>0</v>
      </c>
      <c r="J145" s="32">
        <f t="shared" si="17"/>
        <v>0</v>
      </c>
      <c r="K145" s="32">
        <f t="shared" si="17"/>
        <v>633691.22499999998</v>
      </c>
    </row>
    <row r="146" spans="1:11" ht="18" customHeight="1">
      <c r="A146" s="4" t="s">
        <v>150</v>
      </c>
      <c r="B146" s="1" t="s">
        <v>69</v>
      </c>
      <c r="F146" s="32">
        <f t="shared" ref="F146:K146" si="18">F98</f>
        <v>9393.1489236234829</v>
      </c>
      <c r="G146" s="32">
        <f t="shared" si="18"/>
        <v>7161.4963043204389</v>
      </c>
      <c r="H146" s="32">
        <f t="shared" si="18"/>
        <v>656536.13009869657</v>
      </c>
      <c r="I146" s="32">
        <f t="shared" si="18"/>
        <v>360696.77294464235</v>
      </c>
      <c r="J146" s="32">
        <f t="shared" si="18"/>
        <v>2953.3920000000003</v>
      </c>
      <c r="K146" s="32">
        <f t="shared" si="18"/>
        <v>1014279.5110433388</v>
      </c>
    </row>
    <row r="147" spans="1:11" ht="18" customHeight="1">
      <c r="A147" s="4" t="s">
        <v>153</v>
      </c>
      <c r="B147" s="1" t="s">
        <v>61</v>
      </c>
      <c r="F147" s="17">
        <f t="shared" ref="F147:K147" si="19">F108</f>
        <v>4256.2468952321578</v>
      </c>
      <c r="G147" s="17">
        <f t="shared" si="19"/>
        <v>237.80586516061504</v>
      </c>
      <c r="H147" s="17">
        <f t="shared" si="19"/>
        <v>185630.8302</v>
      </c>
      <c r="I147" s="17">
        <f t="shared" si="19"/>
        <v>101984.39711476253</v>
      </c>
      <c r="J147" s="17">
        <f t="shared" si="19"/>
        <v>11744.367000000002</v>
      </c>
      <c r="K147" s="17">
        <f t="shared" si="19"/>
        <v>275870.86031476251</v>
      </c>
    </row>
    <row r="148" spans="1:11" ht="18" customHeight="1">
      <c r="A148" s="4" t="s">
        <v>155</v>
      </c>
      <c r="B148" s="1" t="s">
        <v>70</v>
      </c>
      <c r="F148" s="33" t="s">
        <v>73</v>
      </c>
      <c r="G148" s="33" t="s">
        <v>73</v>
      </c>
      <c r="H148" s="34" t="s">
        <v>73</v>
      </c>
      <c r="I148" s="34" t="s">
        <v>73</v>
      </c>
      <c r="J148" s="34" t="s">
        <v>73</v>
      </c>
      <c r="K148" s="28">
        <f>F111</f>
        <v>9217135.790000001</v>
      </c>
    </row>
    <row r="149" spans="1:11" ht="18" customHeight="1">
      <c r="A149" s="4" t="s">
        <v>163</v>
      </c>
      <c r="B149" s="1" t="s">
        <v>71</v>
      </c>
      <c r="F149" s="17">
        <f t="shared" ref="F149:K149" si="20">F137</f>
        <v>0</v>
      </c>
      <c r="G149" s="17">
        <f t="shared" si="20"/>
        <v>0</v>
      </c>
      <c r="H149" s="17">
        <f t="shared" si="20"/>
        <v>0</v>
      </c>
      <c r="I149" s="17">
        <f t="shared" si="20"/>
        <v>0</v>
      </c>
      <c r="J149" s="17">
        <f t="shared" si="20"/>
        <v>0</v>
      </c>
      <c r="K149" s="17">
        <f t="shared" si="20"/>
        <v>0</v>
      </c>
    </row>
    <row r="150" spans="1:11" ht="18" customHeight="1">
      <c r="A150" s="4" t="s">
        <v>185</v>
      </c>
      <c r="B150" s="1" t="s">
        <v>186</v>
      </c>
      <c r="F150" s="33" t="s">
        <v>73</v>
      </c>
      <c r="G150" s="33" t="s">
        <v>73</v>
      </c>
      <c r="H150" s="17">
        <f>H18</f>
        <v>6133187</v>
      </c>
      <c r="I150" s="17">
        <f>I18</f>
        <v>0</v>
      </c>
      <c r="J150" s="17">
        <f>J18</f>
        <v>5244642</v>
      </c>
      <c r="K150" s="17">
        <f>K18</f>
        <v>888545</v>
      </c>
    </row>
    <row r="151" spans="1:11" ht="18" customHeight="1">
      <c r="B151" s="1"/>
      <c r="F151" s="38"/>
      <c r="G151" s="38"/>
      <c r="H151" s="38"/>
      <c r="I151" s="38"/>
      <c r="J151" s="38"/>
      <c r="K151" s="38"/>
    </row>
    <row r="152" spans="1:11" ht="18" customHeight="1">
      <c r="A152" s="5" t="s">
        <v>165</v>
      </c>
      <c r="B152" s="1" t="s">
        <v>26</v>
      </c>
      <c r="F152" s="39">
        <f t="shared" ref="F152:K152" si="21">SUM(F141:F150)</f>
        <v>162707.63470093231</v>
      </c>
      <c r="G152" s="39">
        <f t="shared" si="21"/>
        <v>45457.270832888076</v>
      </c>
      <c r="H152" s="39">
        <f t="shared" si="21"/>
        <v>31045983.159592602</v>
      </c>
      <c r="I152" s="39">
        <f t="shared" si="21"/>
        <v>2075182.069821564</v>
      </c>
      <c r="J152" s="39">
        <f t="shared" si="21"/>
        <v>6162068.5395999998</v>
      </c>
      <c r="K152" s="39">
        <f t="shared" si="21"/>
        <v>36176232.479814164</v>
      </c>
    </row>
    <row r="154" spans="1:11" ht="18" customHeight="1">
      <c r="A154" s="5" t="s">
        <v>168</v>
      </c>
      <c r="B154" s="1" t="s">
        <v>28</v>
      </c>
      <c r="F154" s="53">
        <f>K152/F121</f>
        <v>0.16942438397900689</v>
      </c>
    </row>
    <row r="155" spans="1:11" ht="18" customHeight="1">
      <c r="A155" s="5" t="s">
        <v>169</v>
      </c>
      <c r="B155" s="1" t="s">
        <v>72</v>
      </c>
      <c r="F155" s="53">
        <f>K152/F127</f>
        <v>-30.735653060303687</v>
      </c>
      <c r="G155" s="1"/>
    </row>
    <row r="156" spans="1:11" ht="18" customHeight="1">
      <c r="G156" s="1"/>
    </row>
  </sheetData>
  <sheetProtection algorithmName="SHA-512" hashValue="iVvdvBFvLJrCQayOzWBOnlmmkvSOlg0vsuWfxw4ykvUWsRMIU69Eos4F9LU4n3blGdfrud4L5z60Zw6vfmvLvQ==" saltValue="dNfDTr1s26G+Dg2uXX89nw==" spinCount="100000" sheet="1" objects="1" scenarios="1"/>
  <mergeCells count="34">
    <mergeCell ref="B41:C41"/>
    <mergeCell ref="D2:H2"/>
    <mergeCell ref="C5:G5"/>
    <mergeCell ref="C6:G6"/>
    <mergeCell ref="C7:G7"/>
    <mergeCell ref="C9:G9"/>
    <mergeCell ref="C10:G10"/>
    <mergeCell ref="C11:G11"/>
    <mergeCell ref="B13:H13"/>
    <mergeCell ref="B30:D30"/>
    <mergeCell ref="B31:D31"/>
    <mergeCell ref="B34:D34"/>
    <mergeCell ref="B90:C90"/>
    <mergeCell ref="B44:D44"/>
    <mergeCell ref="B45:D45"/>
    <mergeCell ref="B46:D46"/>
    <mergeCell ref="B47:D47"/>
    <mergeCell ref="B52:C52"/>
    <mergeCell ref="B53:D53"/>
    <mergeCell ref="B55:D55"/>
    <mergeCell ref="B56:D56"/>
    <mergeCell ref="B57:D57"/>
    <mergeCell ref="B59:D59"/>
    <mergeCell ref="B62:D62"/>
    <mergeCell ref="B106:D106"/>
    <mergeCell ref="B133:D133"/>
    <mergeCell ref="B134:D134"/>
    <mergeCell ref="B135:D135"/>
    <mergeCell ref="B94:D94"/>
    <mergeCell ref="B95:D95"/>
    <mergeCell ref="B96:D96"/>
    <mergeCell ref="B103:C103"/>
    <mergeCell ref="B104:D104"/>
    <mergeCell ref="B105:D105"/>
  </mergeCells>
  <hyperlinks>
    <hyperlink ref="C11" r:id="rId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K156"/>
  <sheetViews>
    <sheetView showGridLines="0" zoomScaleNormal="100" zoomScaleSheetLayoutView="80" workbookViewId="0">
      <selection activeCell="K18" sqref="K18"/>
    </sheetView>
  </sheetViews>
  <sheetFormatPr defaultRowHeight="18" customHeight="1"/>
  <cols>
    <col min="1" max="1" width="8.28515625" style="146" customWidth="1"/>
    <col min="2" max="2" width="55.42578125" style="147" bestFit="1" customWidth="1"/>
    <col min="3" max="3" width="9.5703125" style="147" customWidth="1"/>
    <col min="4" max="4" width="9.140625" style="147"/>
    <col min="5" max="5" width="12.42578125" style="147" customWidth="1"/>
    <col min="6" max="6" width="18.5703125" style="147" customWidth="1"/>
    <col min="7" max="7" width="23.5703125" style="147" customWidth="1"/>
    <col min="8" max="8" width="17.140625" style="147" customWidth="1"/>
    <col min="9" max="9" width="21.140625" style="147" customWidth="1"/>
    <col min="10" max="10" width="19.85546875" style="147" customWidth="1"/>
    <col min="11" max="11" width="17.5703125" style="147" customWidth="1"/>
    <col min="12" max="16384" width="9.140625" style="147"/>
  </cols>
  <sheetData>
    <row r="1" spans="1:11" ht="18" customHeight="1">
      <c r="C1" s="148"/>
      <c r="D1" s="149"/>
      <c r="E1" s="148"/>
      <c r="F1" s="148"/>
      <c r="G1" s="148"/>
      <c r="H1" s="148"/>
      <c r="I1" s="148"/>
      <c r="J1" s="148"/>
      <c r="K1" s="148"/>
    </row>
    <row r="2" spans="1:11" ht="18" customHeight="1">
      <c r="D2" s="910" t="s">
        <v>713</v>
      </c>
      <c r="E2" s="911"/>
      <c r="F2" s="911"/>
      <c r="G2" s="911"/>
      <c r="H2" s="911"/>
    </row>
    <row r="3" spans="1:11" ht="18" customHeight="1">
      <c r="B3" s="150" t="s">
        <v>0</v>
      </c>
    </row>
    <row r="5" spans="1:11" ht="18" customHeight="1">
      <c r="B5" s="151" t="s">
        <v>40</v>
      </c>
      <c r="C5" s="912" t="s">
        <v>788</v>
      </c>
      <c r="D5" s="918"/>
      <c r="E5" s="918"/>
      <c r="F5" s="918"/>
      <c r="G5" s="919"/>
    </row>
    <row r="6" spans="1:11" ht="18" customHeight="1">
      <c r="B6" s="151" t="s">
        <v>3</v>
      </c>
      <c r="C6" s="929">
        <v>210017</v>
      </c>
      <c r="D6" s="921"/>
      <c r="E6" s="921"/>
      <c r="F6" s="921"/>
      <c r="G6" s="922"/>
    </row>
    <row r="7" spans="1:11" ht="18" customHeight="1">
      <c r="B7" s="151" t="s">
        <v>4</v>
      </c>
      <c r="C7" s="930">
        <v>363</v>
      </c>
      <c r="D7" s="924"/>
      <c r="E7" s="924"/>
      <c r="F7" s="924"/>
      <c r="G7" s="925"/>
    </row>
    <row r="9" spans="1:11" ht="18" customHeight="1">
      <c r="B9" s="151" t="s">
        <v>1</v>
      </c>
      <c r="C9" s="912" t="s">
        <v>420</v>
      </c>
      <c r="D9" s="918"/>
      <c r="E9" s="918"/>
      <c r="F9" s="918"/>
      <c r="G9" s="919"/>
    </row>
    <row r="10" spans="1:11" ht="18" customHeight="1">
      <c r="B10" s="151" t="s">
        <v>2</v>
      </c>
      <c r="C10" s="926" t="s">
        <v>421</v>
      </c>
      <c r="D10" s="927"/>
      <c r="E10" s="927"/>
      <c r="F10" s="927"/>
      <c r="G10" s="928"/>
    </row>
    <row r="11" spans="1:11" ht="18" customHeight="1">
      <c r="B11" s="151" t="s">
        <v>32</v>
      </c>
      <c r="C11" s="912" t="s">
        <v>422</v>
      </c>
      <c r="D11" s="913"/>
      <c r="E11" s="913"/>
      <c r="F11" s="913"/>
      <c r="G11" s="913"/>
    </row>
    <row r="12" spans="1:11" ht="18" customHeight="1">
      <c r="B12" s="151"/>
      <c r="C12" s="151"/>
      <c r="D12" s="151"/>
      <c r="E12" s="151"/>
      <c r="F12" s="151"/>
      <c r="G12" s="151"/>
    </row>
    <row r="13" spans="1:11" ht="24.6" customHeight="1">
      <c r="B13" s="914"/>
      <c r="C13" s="915"/>
      <c r="D13" s="915"/>
      <c r="E13" s="915"/>
      <c r="F13" s="915"/>
      <c r="G13" s="915"/>
      <c r="H13" s="916"/>
      <c r="I13" s="148"/>
    </row>
    <row r="14" spans="1:11" ht="18" customHeight="1">
      <c r="B14" s="152"/>
    </row>
    <row r="15" spans="1:11" ht="18" customHeight="1">
      <c r="B15" s="152"/>
    </row>
    <row r="16" spans="1:11" ht="45" customHeight="1">
      <c r="A16" s="149" t="s">
        <v>181</v>
      </c>
      <c r="B16" s="148"/>
      <c r="C16" s="148"/>
      <c r="D16" s="148"/>
      <c r="E16" s="148"/>
      <c r="F16" s="153" t="s">
        <v>9</v>
      </c>
      <c r="G16" s="153" t="s">
        <v>37</v>
      </c>
      <c r="H16" s="153" t="s">
        <v>29</v>
      </c>
      <c r="I16" s="153" t="s">
        <v>30</v>
      </c>
      <c r="J16" s="153" t="s">
        <v>33</v>
      </c>
      <c r="K16" s="153" t="s">
        <v>34</v>
      </c>
    </row>
    <row r="17" spans="1:11" ht="18" customHeight="1">
      <c r="A17" s="154" t="s">
        <v>184</v>
      </c>
      <c r="B17" s="150" t="s">
        <v>182</v>
      </c>
    </row>
    <row r="18" spans="1:11" ht="18" customHeight="1">
      <c r="A18" s="151" t="s">
        <v>185</v>
      </c>
      <c r="B18" s="155" t="s">
        <v>183</v>
      </c>
      <c r="F18" s="156" t="s">
        <v>73</v>
      </c>
      <c r="G18" s="156" t="s">
        <v>73</v>
      </c>
      <c r="H18" s="157">
        <v>1117308</v>
      </c>
      <c r="I18" s="158">
        <v>0</v>
      </c>
      <c r="J18" s="157">
        <v>955438</v>
      </c>
      <c r="K18" s="159">
        <f>(H18+I18)-J18</f>
        <v>161870</v>
      </c>
    </row>
    <row r="19" spans="1:11" ht="45" customHeight="1">
      <c r="A19" s="149" t="s">
        <v>8</v>
      </c>
      <c r="B19" s="148"/>
      <c r="C19" s="148"/>
      <c r="D19" s="148"/>
      <c r="E19" s="148"/>
      <c r="F19" s="153" t="s">
        <v>9</v>
      </c>
      <c r="G19" s="153" t="s">
        <v>37</v>
      </c>
      <c r="H19" s="153" t="s">
        <v>29</v>
      </c>
      <c r="I19" s="153" t="s">
        <v>30</v>
      </c>
      <c r="J19" s="153" t="s">
        <v>33</v>
      </c>
      <c r="K19" s="153" t="s">
        <v>34</v>
      </c>
    </row>
    <row r="20" spans="1:11" ht="18" customHeight="1">
      <c r="A20" s="154" t="s">
        <v>74</v>
      </c>
      <c r="B20" s="150" t="s">
        <v>41</v>
      </c>
    </row>
    <row r="21" spans="1:11" ht="18" customHeight="1">
      <c r="A21" s="151" t="s">
        <v>75</v>
      </c>
      <c r="B21" s="155" t="s">
        <v>42</v>
      </c>
      <c r="F21" s="156">
        <v>527.75</v>
      </c>
      <c r="G21" s="156">
        <v>2404</v>
      </c>
      <c r="H21" s="157">
        <v>27213</v>
      </c>
      <c r="I21" s="158">
        <f t="shared" ref="I21:I34" si="0">H21*F$114</f>
        <v>19161.6148698</v>
      </c>
      <c r="J21" s="157">
        <v>2535</v>
      </c>
      <c r="K21" s="159">
        <f t="shared" ref="K21:K34" si="1">(H21+I21)-J21</f>
        <v>43839.614869800003</v>
      </c>
    </row>
    <row r="22" spans="1:11" ht="18" customHeight="1">
      <c r="A22" s="151" t="s">
        <v>76</v>
      </c>
      <c r="B22" s="147" t="s">
        <v>6</v>
      </c>
      <c r="F22" s="156">
        <v>59</v>
      </c>
      <c r="G22" s="156">
        <v>76</v>
      </c>
      <c r="H22" s="157">
        <v>2224</v>
      </c>
      <c r="I22" s="158">
        <f t="shared" si="0"/>
        <v>1565.9953504000002</v>
      </c>
      <c r="J22" s="157">
        <v>0</v>
      </c>
      <c r="K22" s="159">
        <f t="shared" si="1"/>
        <v>3789.9953504000005</v>
      </c>
    </row>
    <row r="23" spans="1:11" ht="18" customHeight="1">
      <c r="A23" s="151" t="s">
        <v>77</v>
      </c>
      <c r="B23" s="147" t="s">
        <v>43</v>
      </c>
      <c r="F23" s="156">
        <v>202</v>
      </c>
      <c r="G23" s="156">
        <v>423</v>
      </c>
      <c r="H23" s="157">
        <v>6736</v>
      </c>
      <c r="I23" s="158">
        <f t="shared" si="0"/>
        <v>4743.0506656000007</v>
      </c>
      <c r="J23" s="157">
        <v>0</v>
      </c>
      <c r="K23" s="159">
        <f t="shared" si="1"/>
        <v>11479.0506656</v>
      </c>
    </row>
    <row r="24" spans="1:11" ht="18" customHeight="1">
      <c r="A24" s="151" t="s">
        <v>78</v>
      </c>
      <c r="B24" s="147" t="s">
        <v>44</v>
      </c>
      <c r="F24" s="156"/>
      <c r="G24" s="156"/>
      <c r="H24" s="157"/>
      <c r="I24" s="158">
        <f t="shared" si="0"/>
        <v>0</v>
      </c>
      <c r="J24" s="157"/>
      <c r="K24" s="159">
        <f t="shared" si="1"/>
        <v>0</v>
      </c>
    </row>
    <row r="25" spans="1:11" ht="18" customHeight="1">
      <c r="A25" s="151" t="s">
        <v>79</v>
      </c>
      <c r="B25" s="147" t="s">
        <v>5</v>
      </c>
      <c r="F25" s="156">
        <v>429.25</v>
      </c>
      <c r="G25" s="156">
        <v>829</v>
      </c>
      <c r="H25" s="157">
        <v>25228</v>
      </c>
      <c r="I25" s="158">
        <f t="shared" si="0"/>
        <v>17763.907688800002</v>
      </c>
      <c r="J25" s="157">
        <v>56350</v>
      </c>
      <c r="K25" s="159">
        <f t="shared" si="1"/>
        <v>-13358.092311200002</v>
      </c>
    </row>
    <row r="26" spans="1:11" ht="18" customHeight="1">
      <c r="A26" s="151" t="s">
        <v>80</v>
      </c>
      <c r="B26" s="147" t="s">
        <v>45</v>
      </c>
      <c r="F26" s="156">
        <v>126.2</v>
      </c>
      <c r="G26" s="156">
        <v>810</v>
      </c>
      <c r="H26" s="157">
        <v>9800</v>
      </c>
      <c r="I26" s="158">
        <f t="shared" si="0"/>
        <v>6900.5190800000009</v>
      </c>
      <c r="J26" s="157">
        <v>13604</v>
      </c>
      <c r="K26" s="159">
        <f t="shared" si="1"/>
        <v>3096.5190800000018</v>
      </c>
    </row>
    <row r="27" spans="1:11" ht="18" customHeight="1">
      <c r="A27" s="151" t="s">
        <v>81</v>
      </c>
      <c r="B27" s="147" t="s">
        <v>46</v>
      </c>
      <c r="F27" s="156"/>
      <c r="G27" s="156"/>
      <c r="H27" s="157"/>
      <c r="I27" s="158">
        <f t="shared" si="0"/>
        <v>0</v>
      </c>
      <c r="J27" s="157"/>
      <c r="K27" s="159">
        <f t="shared" si="1"/>
        <v>0</v>
      </c>
    </row>
    <row r="28" spans="1:11" ht="18" customHeight="1">
      <c r="A28" s="151" t="s">
        <v>82</v>
      </c>
      <c r="B28" s="147" t="s">
        <v>47</v>
      </c>
      <c r="F28" s="156"/>
      <c r="G28" s="156"/>
      <c r="H28" s="157"/>
      <c r="I28" s="158">
        <f t="shared" si="0"/>
        <v>0</v>
      </c>
      <c r="J28" s="157"/>
      <c r="K28" s="159">
        <f t="shared" si="1"/>
        <v>0</v>
      </c>
    </row>
    <row r="29" spans="1:11" ht="18" customHeight="1">
      <c r="A29" s="151" t="s">
        <v>83</v>
      </c>
      <c r="B29" s="147" t="s">
        <v>48</v>
      </c>
      <c r="F29" s="156">
        <v>531.73</v>
      </c>
      <c r="G29" s="156">
        <v>1016</v>
      </c>
      <c r="H29" s="157">
        <v>31729</v>
      </c>
      <c r="I29" s="158">
        <f t="shared" si="0"/>
        <v>22341.486723400001</v>
      </c>
      <c r="J29" s="157">
        <v>0</v>
      </c>
      <c r="K29" s="159">
        <f t="shared" si="1"/>
        <v>54070.486723399998</v>
      </c>
    </row>
    <row r="30" spans="1:11" ht="18" customHeight="1">
      <c r="A30" s="151" t="s">
        <v>84</v>
      </c>
      <c r="B30" s="898" t="s">
        <v>789</v>
      </c>
      <c r="C30" s="899"/>
      <c r="D30" s="900"/>
      <c r="F30" s="156">
        <v>9.5</v>
      </c>
      <c r="G30" s="156">
        <v>29</v>
      </c>
      <c r="H30" s="157">
        <v>3841</v>
      </c>
      <c r="I30" s="158">
        <f t="shared" si="0"/>
        <v>2704.5809986000004</v>
      </c>
      <c r="J30" s="157">
        <v>3073</v>
      </c>
      <c r="K30" s="159">
        <f t="shared" si="1"/>
        <v>3472.5809986000004</v>
      </c>
    </row>
    <row r="31" spans="1:11" ht="18" customHeight="1">
      <c r="A31" s="151" t="s">
        <v>133</v>
      </c>
      <c r="B31" s="898"/>
      <c r="C31" s="899"/>
      <c r="D31" s="900"/>
      <c r="F31" s="156"/>
      <c r="G31" s="156"/>
      <c r="H31" s="157"/>
      <c r="I31" s="158">
        <f t="shared" si="0"/>
        <v>0</v>
      </c>
      <c r="J31" s="157"/>
      <c r="K31" s="159">
        <f t="shared" si="1"/>
        <v>0</v>
      </c>
    </row>
    <row r="32" spans="1:11" ht="18" customHeight="1">
      <c r="A32" s="151" t="s">
        <v>134</v>
      </c>
      <c r="B32" s="393"/>
      <c r="C32" s="394"/>
      <c r="D32" s="395"/>
      <c r="F32" s="156"/>
      <c r="G32" s="160" t="s">
        <v>85</v>
      </c>
      <c r="H32" s="157"/>
      <c r="I32" s="158">
        <f t="shared" si="0"/>
        <v>0</v>
      </c>
      <c r="J32" s="157"/>
      <c r="K32" s="159">
        <f t="shared" si="1"/>
        <v>0</v>
      </c>
    </row>
    <row r="33" spans="1:11" ht="18" customHeight="1">
      <c r="A33" s="151" t="s">
        <v>135</v>
      </c>
      <c r="B33" s="393"/>
      <c r="C33" s="394"/>
      <c r="D33" s="395"/>
      <c r="F33" s="156"/>
      <c r="G33" s="160" t="s">
        <v>85</v>
      </c>
      <c r="H33" s="157"/>
      <c r="I33" s="158">
        <f t="shared" si="0"/>
        <v>0</v>
      </c>
      <c r="J33" s="157"/>
      <c r="K33" s="159">
        <f t="shared" si="1"/>
        <v>0</v>
      </c>
    </row>
    <row r="34" spans="1:11" ht="18" customHeight="1">
      <c r="A34" s="151" t="s">
        <v>136</v>
      </c>
      <c r="B34" s="898"/>
      <c r="C34" s="899"/>
      <c r="D34" s="900"/>
      <c r="F34" s="156"/>
      <c r="G34" s="160" t="s">
        <v>85</v>
      </c>
      <c r="H34" s="157"/>
      <c r="I34" s="158">
        <f t="shared" si="0"/>
        <v>0</v>
      </c>
      <c r="J34" s="157"/>
      <c r="K34" s="159">
        <f t="shared" si="1"/>
        <v>0</v>
      </c>
    </row>
    <row r="35" spans="1:11" ht="18" customHeight="1">
      <c r="K35" s="161"/>
    </row>
    <row r="36" spans="1:11" ht="18" customHeight="1">
      <c r="A36" s="154" t="s">
        <v>137</v>
      </c>
      <c r="B36" s="150" t="s">
        <v>138</v>
      </c>
      <c r="E36" s="150" t="s">
        <v>7</v>
      </c>
      <c r="F36" s="162">
        <f t="shared" ref="F36:K36" si="2">SUM(F21:F34)</f>
        <v>1885.43</v>
      </c>
      <c r="G36" s="162">
        <f t="shared" si="2"/>
        <v>5587</v>
      </c>
      <c r="H36" s="162">
        <f t="shared" si="2"/>
        <v>106771</v>
      </c>
      <c r="I36" s="159">
        <f t="shared" si="2"/>
        <v>75181.1553766</v>
      </c>
      <c r="J36" s="159">
        <f t="shared" si="2"/>
        <v>75562</v>
      </c>
      <c r="K36" s="159">
        <f t="shared" si="2"/>
        <v>106390.1553766</v>
      </c>
    </row>
    <row r="37" spans="1:11" ht="18" customHeight="1" thickBot="1">
      <c r="B37" s="150"/>
      <c r="F37" s="163"/>
      <c r="G37" s="163"/>
      <c r="H37" s="164"/>
      <c r="I37" s="164"/>
      <c r="J37" s="164"/>
      <c r="K37" s="165"/>
    </row>
    <row r="38" spans="1:11" ht="42.75" customHeight="1">
      <c r="F38" s="153" t="s">
        <v>9</v>
      </c>
      <c r="G38" s="153" t="s">
        <v>37</v>
      </c>
      <c r="H38" s="153" t="s">
        <v>29</v>
      </c>
      <c r="I38" s="153" t="s">
        <v>30</v>
      </c>
      <c r="J38" s="153" t="s">
        <v>33</v>
      </c>
      <c r="K38" s="153" t="s">
        <v>34</v>
      </c>
    </row>
    <row r="39" spans="1:11" ht="18.75" customHeight="1">
      <c r="A39" s="154" t="s">
        <v>86</v>
      </c>
      <c r="B39" s="150" t="s">
        <v>49</v>
      </c>
    </row>
    <row r="40" spans="1:11" ht="18" customHeight="1">
      <c r="A40" s="151" t="s">
        <v>87</v>
      </c>
      <c r="B40" s="147" t="s">
        <v>31</v>
      </c>
      <c r="F40" s="156"/>
      <c r="G40" s="156"/>
      <c r="H40" s="157"/>
      <c r="I40" s="158">
        <v>0</v>
      </c>
      <c r="J40" s="157"/>
      <c r="K40" s="159">
        <f t="shared" ref="K40:K47" si="3">(H40+I40)-J40</f>
        <v>0</v>
      </c>
    </row>
    <row r="41" spans="1:11" ht="18" customHeight="1">
      <c r="A41" s="151" t="s">
        <v>88</v>
      </c>
      <c r="B41" s="904" t="s">
        <v>50</v>
      </c>
      <c r="C41" s="907"/>
      <c r="F41" s="156"/>
      <c r="G41" s="156"/>
      <c r="H41" s="157"/>
      <c r="I41" s="158">
        <v>0</v>
      </c>
      <c r="J41" s="157"/>
      <c r="K41" s="159">
        <f t="shared" si="3"/>
        <v>0</v>
      </c>
    </row>
    <row r="42" spans="1:11" ht="18" customHeight="1">
      <c r="A42" s="151" t="s">
        <v>89</v>
      </c>
      <c r="B42" s="155" t="s">
        <v>11</v>
      </c>
      <c r="F42" s="156">
        <v>40</v>
      </c>
      <c r="G42" s="156">
        <v>1</v>
      </c>
      <c r="H42" s="157">
        <v>3244</v>
      </c>
      <c r="I42" s="158">
        <v>0</v>
      </c>
      <c r="J42" s="157">
        <v>0</v>
      </c>
      <c r="K42" s="159">
        <f t="shared" si="3"/>
        <v>3244</v>
      </c>
    </row>
    <row r="43" spans="1:11" ht="18" customHeight="1">
      <c r="A43" s="151" t="s">
        <v>90</v>
      </c>
      <c r="B43" s="166" t="s">
        <v>10</v>
      </c>
      <c r="C43" s="167"/>
      <c r="D43" s="167"/>
      <c r="F43" s="156"/>
      <c r="G43" s="156"/>
      <c r="H43" s="157"/>
      <c r="I43" s="158">
        <v>0</v>
      </c>
      <c r="J43" s="157"/>
      <c r="K43" s="159">
        <f t="shared" si="3"/>
        <v>0</v>
      </c>
    </row>
    <row r="44" spans="1:11" ht="18" customHeight="1">
      <c r="A44" s="151" t="s">
        <v>91</v>
      </c>
      <c r="B44" s="898"/>
      <c r="C44" s="899"/>
      <c r="D44" s="900"/>
      <c r="F44" s="168"/>
      <c r="G44" s="168"/>
      <c r="H44" s="168"/>
      <c r="I44" s="169">
        <v>0</v>
      </c>
      <c r="J44" s="168"/>
      <c r="K44" s="170">
        <f t="shared" si="3"/>
        <v>0</v>
      </c>
    </row>
    <row r="45" spans="1:11" ht="18" customHeight="1">
      <c r="A45" s="151" t="s">
        <v>139</v>
      </c>
      <c r="B45" s="898"/>
      <c r="C45" s="899"/>
      <c r="D45" s="900"/>
      <c r="F45" s="156"/>
      <c r="G45" s="156"/>
      <c r="H45" s="157"/>
      <c r="I45" s="158">
        <v>0</v>
      </c>
      <c r="J45" s="157"/>
      <c r="K45" s="159">
        <f t="shared" si="3"/>
        <v>0</v>
      </c>
    </row>
    <row r="46" spans="1:11" ht="18" customHeight="1">
      <c r="A46" s="151" t="s">
        <v>140</v>
      </c>
      <c r="B46" s="898"/>
      <c r="C46" s="899"/>
      <c r="D46" s="900"/>
      <c r="F46" s="156"/>
      <c r="G46" s="156"/>
      <c r="H46" s="157"/>
      <c r="I46" s="158">
        <v>0</v>
      </c>
      <c r="J46" s="157"/>
      <c r="K46" s="159">
        <f t="shared" si="3"/>
        <v>0</v>
      </c>
    </row>
    <row r="47" spans="1:11" ht="18" customHeight="1">
      <c r="A47" s="151" t="s">
        <v>141</v>
      </c>
      <c r="B47" s="898"/>
      <c r="C47" s="899"/>
      <c r="D47" s="900"/>
      <c r="F47" s="156"/>
      <c r="G47" s="156"/>
      <c r="H47" s="157"/>
      <c r="I47" s="158">
        <v>0</v>
      </c>
      <c r="J47" s="157"/>
      <c r="K47" s="159">
        <f t="shared" si="3"/>
        <v>0</v>
      </c>
    </row>
    <row r="49" spans="1:11" ht="18" customHeight="1">
      <c r="A49" s="154" t="s">
        <v>142</v>
      </c>
      <c r="B49" s="150" t="s">
        <v>143</v>
      </c>
      <c r="E49" s="150" t="s">
        <v>7</v>
      </c>
      <c r="F49" s="171">
        <f t="shared" ref="F49:K49" si="4">SUM(F40:F47)</f>
        <v>40</v>
      </c>
      <c r="G49" s="171">
        <f t="shared" si="4"/>
        <v>1</v>
      </c>
      <c r="H49" s="159">
        <f t="shared" si="4"/>
        <v>3244</v>
      </c>
      <c r="I49" s="159">
        <f t="shared" si="4"/>
        <v>0</v>
      </c>
      <c r="J49" s="159">
        <f t="shared" si="4"/>
        <v>0</v>
      </c>
      <c r="K49" s="159">
        <f t="shared" si="4"/>
        <v>3244</v>
      </c>
    </row>
    <row r="50" spans="1:11" ht="18" customHeight="1" thickBot="1">
      <c r="G50" s="172"/>
      <c r="H50" s="172"/>
      <c r="I50" s="172"/>
      <c r="J50" s="172"/>
      <c r="K50" s="172"/>
    </row>
    <row r="51" spans="1:11" ht="42.75" customHeight="1">
      <c r="F51" s="153" t="s">
        <v>9</v>
      </c>
      <c r="G51" s="153" t="s">
        <v>37</v>
      </c>
      <c r="H51" s="153" t="s">
        <v>29</v>
      </c>
      <c r="I51" s="153" t="s">
        <v>30</v>
      </c>
      <c r="J51" s="153" t="s">
        <v>33</v>
      </c>
      <c r="K51" s="153" t="s">
        <v>34</v>
      </c>
    </row>
    <row r="52" spans="1:11" ht="18" customHeight="1">
      <c r="A52" s="154" t="s">
        <v>92</v>
      </c>
      <c r="B52" s="905" t="s">
        <v>38</v>
      </c>
      <c r="C52" s="906"/>
    </row>
    <row r="53" spans="1:11" ht="18" customHeight="1">
      <c r="A53" s="151" t="s">
        <v>51</v>
      </c>
      <c r="B53" s="908"/>
      <c r="C53" s="909"/>
      <c r="D53" s="903"/>
      <c r="F53" s="156"/>
      <c r="G53" s="156"/>
      <c r="H53" s="157"/>
      <c r="I53" s="158">
        <v>0</v>
      </c>
      <c r="J53" s="157"/>
      <c r="K53" s="159">
        <f t="shared" ref="K53:K62" si="5">(H53+I53)-J53</f>
        <v>0</v>
      </c>
    </row>
    <row r="54" spans="1:11" ht="18" customHeight="1">
      <c r="A54" s="151" t="s">
        <v>93</v>
      </c>
      <c r="B54" s="396"/>
      <c r="C54" s="397"/>
      <c r="D54" s="392"/>
      <c r="F54" s="156"/>
      <c r="G54" s="156"/>
      <c r="H54" s="157"/>
      <c r="I54" s="158">
        <v>0</v>
      </c>
      <c r="J54" s="157"/>
      <c r="K54" s="159">
        <f t="shared" si="5"/>
        <v>0</v>
      </c>
    </row>
    <row r="55" spans="1:11" ht="18" customHeight="1">
      <c r="A55" s="151" t="s">
        <v>94</v>
      </c>
      <c r="B55" s="901"/>
      <c r="C55" s="902"/>
      <c r="D55" s="903"/>
      <c r="F55" s="156"/>
      <c r="G55" s="156"/>
      <c r="H55" s="157"/>
      <c r="I55" s="158">
        <v>0</v>
      </c>
      <c r="J55" s="157"/>
      <c r="K55" s="159">
        <f t="shared" si="5"/>
        <v>0</v>
      </c>
    </row>
    <row r="56" spans="1:11" ht="18" customHeight="1">
      <c r="A56" s="151" t="s">
        <v>95</v>
      </c>
      <c r="B56" s="901"/>
      <c r="C56" s="902"/>
      <c r="D56" s="903"/>
      <c r="F56" s="156"/>
      <c r="G56" s="156"/>
      <c r="H56" s="157"/>
      <c r="I56" s="158">
        <v>0</v>
      </c>
      <c r="J56" s="157"/>
      <c r="K56" s="159">
        <f t="shared" si="5"/>
        <v>0</v>
      </c>
    </row>
    <row r="57" spans="1:11" ht="18" customHeight="1">
      <c r="A57" s="151" t="s">
        <v>96</v>
      </c>
      <c r="B57" s="901"/>
      <c r="C57" s="902"/>
      <c r="D57" s="903"/>
      <c r="F57" s="156"/>
      <c r="G57" s="156"/>
      <c r="H57" s="157"/>
      <c r="I57" s="158">
        <v>0</v>
      </c>
      <c r="J57" s="157"/>
      <c r="K57" s="159">
        <f t="shared" si="5"/>
        <v>0</v>
      </c>
    </row>
    <row r="58" spans="1:11" ht="18" customHeight="1">
      <c r="A58" s="151" t="s">
        <v>97</v>
      </c>
      <c r="B58" s="396"/>
      <c r="C58" s="397"/>
      <c r="D58" s="392"/>
      <c r="F58" s="156"/>
      <c r="G58" s="156"/>
      <c r="H58" s="157"/>
      <c r="I58" s="158">
        <v>0</v>
      </c>
      <c r="J58" s="157"/>
      <c r="K58" s="159">
        <f t="shared" si="5"/>
        <v>0</v>
      </c>
    </row>
    <row r="59" spans="1:11" ht="18" customHeight="1">
      <c r="A59" s="151" t="s">
        <v>98</v>
      </c>
      <c r="B59" s="901"/>
      <c r="C59" s="902"/>
      <c r="D59" s="903"/>
      <c r="F59" s="156"/>
      <c r="G59" s="156"/>
      <c r="H59" s="157"/>
      <c r="I59" s="158">
        <v>0</v>
      </c>
      <c r="J59" s="157"/>
      <c r="K59" s="159">
        <f t="shared" si="5"/>
        <v>0</v>
      </c>
    </row>
    <row r="60" spans="1:11" ht="18" customHeight="1">
      <c r="A60" s="151" t="s">
        <v>99</v>
      </c>
      <c r="B60" s="396"/>
      <c r="C60" s="397"/>
      <c r="D60" s="392"/>
      <c r="F60" s="156"/>
      <c r="G60" s="156"/>
      <c r="H60" s="157"/>
      <c r="I60" s="158">
        <v>0</v>
      </c>
      <c r="J60" s="157"/>
      <c r="K60" s="159">
        <f t="shared" si="5"/>
        <v>0</v>
      </c>
    </row>
    <row r="61" spans="1:11" ht="18" customHeight="1">
      <c r="A61" s="151" t="s">
        <v>100</v>
      </c>
      <c r="B61" s="396"/>
      <c r="C61" s="397"/>
      <c r="D61" s="392"/>
      <c r="F61" s="156"/>
      <c r="G61" s="156"/>
      <c r="H61" s="157"/>
      <c r="I61" s="158">
        <v>0</v>
      </c>
      <c r="J61" s="157"/>
      <c r="K61" s="159">
        <f t="shared" si="5"/>
        <v>0</v>
      </c>
    </row>
    <row r="62" spans="1:11" ht="18" customHeight="1">
      <c r="A62" s="151" t="s">
        <v>101</v>
      </c>
      <c r="B62" s="901"/>
      <c r="C62" s="902"/>
      <c r="D62" s="903"/>
      <c r="F62" s="156"/>
      <c r="G62" s="156"/>
      <c r="H62" s="157"/>
      <c r="I62" s="158">
        <v>0</v>
      </c>
      <c r="J62" s="157"/>
      <c r="K62" s="159">
        <f t="shared" si="5"/>
        <v>0</v>
      </c>
    </row>
    <row r="63" spans="1:11" ht="18" customHeight="1">
      <c r="A63" s="151"/>
      <c r="I63" s="173"/>
    </row>
    <row r="64" spans="1:11" ht="18" customHeight="1">
      <c r="A64" s="151" t="s">
        <v>144</v>
      </c>
      <c r="B64" s="150" t="s">
        <v>145</v>
      </c>
      <c r="E64" s="150" t="s">
        <v>7</v>
      </c>
      <c r="F64" s="162">
        <f t="shared" ref="F64:K64" si="6">SUM(F53:F62)</f>
        <v>0</v>
      </c>
      <c r="G64" s="162">
        <f t="shared" si="6"/>
        <v>0</v>
      </c>
      <c r="H64" s="159">
        <f t="shared" si="6"/>
        <v>0</v>
      </c>
      <c r="I64" s="159">
        <f t="shared" si="6"/>
        <v>0</v>
      </c>
      <c r="J64" s="159">
        <f t="shared" si="6"/>
        <v>0</v>
      </c>
      <c r="K64" s="159">
        <f t="shared" si="6"/>
        <v>0</v>
      </c>
    </row>
    <row r="65" spans="1:11" ht="18" customHeight="1">
      <c r="F65" s="174"/>
      <c r="G65" s="174"/>
      <c r="H65" s="174"/>
      <c r="I65" s="174"/>
      <c r="J65" s="174"/>
      <c r="K65" s="174"/>
    </row>
    <row r="66" spans="1:11" ht="42.75" customHeight="1">
      <c r="F66" s="175" t="s">
        <v>9</v>
      </c>
      <c r="G66" s="175" t="s">
        <v>37</v>
      </c>
      <c r="H66" s="175" t="s">
        <v>29</v>
      </c>
      <c r="I66" s="175" t="s">
        <v>30</v>
      </c>
      <c r="J66" s="175" t="s">
        <v>33</v>
      </c>
      <c r="K66" s="175" t="s">
        <v>34</v>
      </c>
    </row>
    <row r="67" spans="1:11" ht="18" customHeight="1">
      <c r="A67" s="154" t="s">
        <v>102</v>
      </c>
      <c r="B67" s="150" t="s">
        <v>12</v>
      </c>
      <c r="F67" s="176"/>
      <c r="G67" s="176"/>
      <c r="H67" s="176"/>
      <c r="I67" s="177"/>
      <c r="J67" s="176"/>
      <c r="K67" s="178"/>
    </row>
    <row r="68" spans="1:11" ht="18" customHeight="1">
      <c r="A68" s="151" t="s">
        <v>103</v>
      </c>
      <c r="B68" s="147" t="s">
        <v>52</v>
      </c>
      <c r="F68" s="179"/>
      <c r="G68" s="179"/>
      <c r="H68" s="179"/>
      <c r="I68" s="158">
        <v>0</v>
      </c>
      <c r="J68" s="179"/>
      <c r="K68" s="159">
        <f>(H68+I68)-J68</f>
        <v>0</v>
      </c>
    </row>
    <row r="69" spans="1:11" ht="18" customHeight="1">
      <c r="A69" s="151" t="s">
        <v>104</v>
      </c>
      <c r="B69" s="155" t="s">
        <v>53</v>
      </c>
      <c r="F69" s="179"/>
      <c r="G69" s="179"/>
      <c r="H69" s="179"/>
      <c r="I69" s="158">
        <v>0</v>
      </c>
      <c r="J69" s="179"/>
      <c r="K69" s="159">
        <f>(H69+I69)-J69</f>
        <v>0</v>
      </c>
    </row>
    <row r="70" spans="1:11" ht="18" customHeight="1">
      <c r="A70" s="151" t="s">
        <v>178</v>
      </c>
      <c r="B70" s="396"/>
      <c r="C70" s="397"/>
      <c r="D70" s="392"/>
      <c r="E70" s="150"/>
      <c r="F70" s="180"/>
      <c r="G70" s="180"/>
      <c r="H70" s="181"/>
      <c r="I70" s="158">
        <v>0</v>
      </c>
      <c r="J70" s="181"/>
      <c r="K70" s="159">
        <f>(H70+I70)-J70</f>
        <v>0</v>
      </c>
    </row>
    <row r="71" spans="1:11" ht="18" customHeight="1">
      <c r="A71" s="151" t="s">
        <v>179</v>
      </c>
      <c r="B71" s="396"/>
      <c r="C71" s="397"/>
      <c r="D71" s="392"/>
      <c r="E71" s="150"/>
      <c r="F71" s="180"/>
      <c r="G71" s="180"/>
      <c r="H71" s="181"/>
      <c r="I71" s="158">
        <v>0</v>
      </c>
      <c r="J71" s="181"/>
      <c r="K71" s="159">
        <f>(H71+I71)-J71</f>
        <v>0</v>
      </c>
    </row>
    <row r="72" spans="1:11" ht="18" customHeight="1">
      <c r="A72" s="151" t="s">
        <v>180</v>
      </c>
      <c r="B72" s="390"/>
      <c r="C72" s="391"/>
      <c r="D72" s="182"/>
      <c r="E72" s="150"/>
      <c r="F72" s="156"/>
      <c r="G72" s="156"/>
      <c r="H72" s="157"/>
      <c r="I72" s="158">
        <v>0</v>
      </c>
      <c r="J72" s="157"/>
      <c r="K72" s="159">
        <f>(H72+I72)-J72</f>
        <v>0</v>
      </c>
    </row>
    <row r="73" spans="1:11" ht="18" customHeight="1">
      <c r="A73" s="151"/>
      <c r="B73" s="155"/>
      <c r="E73" s="150"/>
      <c r="F73" s="183"/>
      <c r="G73" s="183"/>
      <c r="H73" s="184"/>
      <c r="I73" s="177"/>
      <c r="J73" s="184"/>
      <c r="K73" s="178"/>
    </row>
    <row r="74" spans="1:11" ht="18" customHeight="1">
      <c r="A74" s="154" t="s">
        <v>146</v>
      </c>
      <c r="B74" s="150" t="s">
        <v>147</v>
      </c>
      <c r="E74" s="150" t="s">
        <v>7</v>
      </c>
      <c r="F74" s="185">
        <f t="shared" ref="F74:K74" si="7">SUM(F68:F72)</f>
        <v>0</v>
      </c>
      <c r="G74" s="185">
        <f t="shared" si="7"/>
        <v>0</v>
      </c>
      <c r="H74" s="185">
        <f t="shared" si="7"/>
        <v>0</v>
      </c>
      <c r="I74" s="186">
        <f t="shared" si="7"/>
        <v>0</v>
      </c>
      <c r="J74" s="185">
        <f t="shared" si="7"/>
        <v>0</v>
      </c>
      <c r="K74" s="187">
        <f t="shared" si="7"/>
        <v>0</v>
      </c>
    </row>
    <row r="75" spans="1:11" ht="42.75" customHeight="1">
      <c r="F75" s="153" t="s">
        <v>9</v>
      </c>
      <c r="G75" s="153" t="s">
        <v>37</v>
      </c>
      <c r="H75" s="153" t="s">
        <v>29</v>
      </c>
      <c r="I75" s="153" t="s">
        <v>30</v>
      </c>
      <c r="J75" s="153" t="s">
        <v>33</v>
      </c>
      <c r="K75" s="153" t="s">
        <v>34</v>
      </c>
    </row>
    <row r="76" spans="1:11" ht="18" customHeight="1">
      <c r="A76" s="154" t="s">
        <v>105</v>
      </c>
      <c r="B76" s="150" t="s">
        <v>106</v>
      </c>
    </row>
    <row r="77" spans="1:11" ht="18" customHeight="1">
      <c r="A77" s="151" t="s">
        <v>107</v>
      </c>
      <c r="B77" s="155" t="s">
        <v>54</v>
      </c>
      <c r="F77" s="156"/>
      <c r="G77" s="156"/>
      <c r="H77" s="157">
        <v>1000</v>
      </c>
      <c r="I77" s="158">
        <v>0</v>
      </c>
      <c r="J77" s="157"/>
      <c r="K77" s="159">
        <f>(H77+I77)-J77</f>
        <v>1000</v>
      </c>
    </row>
    <row r="78" spans="1:11" ht="18" customHeight="1">
      <c r="A78" s="151" t="s">
        <v>108</v>
      </c>
      <c r="B78" s="155" t="s">
        <v>55</v>
      </c>
      <c r="F78" s="156"/>
      <c r="G78" s="156"/>
      <c r="H78" s="157"/>
      <c r="I78" s="158">
        <v>0</v>
      </c>
      <c r="J78" s="157"/>
      <c r="K78" s="159">
        <f>(H78+I78)-J78</f>
        <v>0</v>
      </c>
    </row>
    <row r="79" spans="1:11" ht="18" customHeight="1">
      <c r="A79" s="151" t="s">
        <v>109</v>
      </c>
      <c r="B79" s="155" t="s">
        <v>13</v>
      </c>
      <c r="F79" s="156">
        <v>98</v>
      </c>
      <c r="G79" s="156">
        <v>118</v>
      </c>
      <c r="H79" s="157">
        <v>3096</v>
      </c>
      <c r="I79" s="158">
        <v>0</v>
      </c>
      <c r="J79" s="157">
        <v>440</v>
      </c>
      <c r="K79" s="159">
        <f>(H79+I79)-J79</f>
        <v>2656</v>
      </c>
    </row>
    <row r="80" spans="1:11" ht="18" customHeight="1">
      <c r="A80" s="151" t="s">
        <v>110</v>
      </c>
      <c r="B80" s="155" t="s">
        <v>56</v>
      </c>
      <c r="F80" s="156"/>
      <c r="G80" s="156"/>
      <c r="H80" s="157"/>
      <c r="I80" s="158">
        <v>0</v>
      </c>
      <c r="J80" s="157"/>
      <c r="K80" s="159">
        <f>(H80+I80)-J80</f>
        <v>0</v>
      </c>
    </row>
    <row r="81" spans="1:11" ht="18" customHeight="1">
      <c r="A81" s="151"/>
      <c r="K81" s="188"/>
    </row>
    <row r="82" spans="1:11" ht="18" customHeight="1">
      <c r="A82" s="151" t="s">
        <v>148</v>
      </c>
      <c r="B82" s="150" t="s">
        <v>149</v>
      </c>
      <c r="E82" s="150" t="s">
        <v>7</v>
      </c>
      <c r="F82" s="185">
        <f t="shared" ref="F82:K82" si="8">SUM(F77:F80)</f>
        <v>98</v>
      </c>
      <c r="G82" s="185">
        <f t="shared" si="8"/>
        <v>118</v>
      </c>
      <c r="H82" s="187">
        <f t="shared" si="8"/>
        <v>4096</v>
      </c>
      <c r="I82" s="187">
        <f t="shared" si="8"/>
        <v>0</v>
      </c>
      <c r="J82" s="187">
        <f t="shared" si="8"/>
        <v>440</v>
      </c>
      <c r="K82" s="187">
        <f t="shared" si="8"/>
        <v>3656</v>
      </c>
    </row>
    <row r="83" spans="1:11" ht="18" customHeight="1" thickBot="1">
      <c r="A83" s="151"/>
      <c r="F83" s="172"/>
      <c r="G83" s="172"/>
      <c r="H83" s="172"/>
      <c r="I83" s="172"/>
      <c r="J83" s="172"/>
      <c r="K83" s="172"/>
    </row>
    <row r="84" spans="1:11" ht="42.75" customHeight="1">
      <c r="F84" s="153" t="s">
        <v>9</v>
      </c>
      <c r="G84" s="153" t="s">
        <v>37</v>
      </c>
      <c r="H84" s="153" t="s">
        <v>29</v>
      </c>
      <c r="I84" s="153" t="s">
        <v>30</v>
      </c>
      <c r="J84" s="153" t="s">
        <v>33</v>
      </c>
      <c r="K84" s="153" t="s">
        <v>34</v>
      </c>
    </row>
    <row r="85" spans="1:11" ht="18" customHeight="1">
      <c r="A85" s="154" t="s">
        <v>111</v>
      </c>
      <c r="B85" s="150" t="s">
        <v>57</v>
      </c>
    </row>
    <row r="86" spans="1:11" ht="18" customHeight="1">
      <c r="A86" s="151" t="s">
        <v>112</v>
      </c>
      <c r="B86" s="155" t="s">
        <v>113</v>
      </c>
      <c r="F86" s="156"/>
      <c r="G86" s="156"/>
      <c r="H86" s="157"/>
      <c r="I86" s="158">
        <f t="shared" ref="I86:I96" si="9">H86*F$114</f>
        <v>0</v>
      </c>
      <c r="J86" s="157"/>
      <c r="K86" s="159">
        <f t="shared" ref="K86:K96" si="10">(H86+I86)-J86</f>
        <v>0</v>
      </c>
    </row>
    <row r="87" spans="1:11" ht="18" customHeight="1">
      <c r="A87" s="151" t="s">
        <v>114</v>
      </c>
      <c r="B87" s="155" t="s">
        <v>14</v>
      </c>
      <c r="F87" s="156"/>
      <c r="G87" s="156"/>
      <c r="H87" s="157">
        <v>2600</v>
      </c>
      <c r="I87" s="158">
        <f t="shared" si="9"/>
        <v>1830.7499600000001</v>
      </c>
      <c r="J87" s="157"/>
      <c r="K87" s="159">
        <f t="shared" si="10"/>
        <v>4430.7499600000001</v>
      </c>
    </row>
    <row r="88" spans="1:11" ht="18" customHeight="1">
      <c r="A88" s="151" t="s">
        <v>115</v>
      </c>
      <c r="B88" s="155" t="s">
        <v>116</v>
      </c>
      <c r="F88" s="156"/>
      <c r="G88" s="156"/>
      <c r="H88" s="157"/>
      <c r="I88" s="158">
        <f t="shared" si="9"/>
        <v>0</v>
      </c>
      <c r="J88" s="157"/>
      <c r="K88" s="159">
        <f t="shared" si="10"/>
        <v>0</v>
      </c>
    </row>
    <row r="89" spans="1:11" ht="18" customHeight="1">
      <c r="A89" s="151" t="s">
        <v>117</v>
      </c>
      <c r="B89" s="155" t="s">
        <v>58</v>
      </c>
      <c r="F89" s="156"/>
      <c r="G89" s="156"/>
      <c r="H89" s="157"/>
      <c r="I89" s="158">
        <f t="shared" si="9"/>
        <v>0</v>
      </c>
      <c r="J89" s="157"/>
      <c r="K89" s="159">
        <f t="shared" si="10"/>
        <v>0</v>
      </c>
    </row>
    <row r="90" spans="1:11" ht="18" customHeight="1">
      <c r="A90" s="151" t="s">
        <v>118</v>
      </c>
      <c r="B90" s="904" t="s">
        <v>59</v>
      </c>
      <c r="C90" s="907"/>
      <c r="F90" s="156">
        <v>19</v>
      </c>
      <c r="G90" s="156">
        <v>34</v>
      </c>
      <c r="H90" s="157">
        <v>2089</v>
      </c>
      <c r="I90" s="158">
        <f t="shared" si="9"/>
        <v>1470.9371794000001</v>
      </c>
      <c r="J90" s="157">
        <v>0</v>
      </c>
      <c r="K90" s="159">
        <f t="shared" si="10"/>
        <v>3559.9371793999999</v>
      </c>
    </row>
    <row r="91" spans="1:11" ht="18" customHeight="1">
      <c r="A91" s="151" t="s">
        <v>119</v>
      </c>
      <c r="B91" s="155" t="s">
        <v>60</v>
      </c>
      <c r="F91" s="156">
        <v>111.5</v>
      </c>
      <c r="G91" s="156">
        <v>249</v>
      </c>
      <c r="H91" s="157">
        <v>5450</v>
      </c>
      <c r="I91" s="158">
        <f t="shared" si="9"/>
        <v>3837.5335700000005</v>
      </c>
      <c r="J91" s="157">
        <v>0</v>
      </c>
      <c r="K91" s="159">
        <f t="shared" si="10"/>
        <v>9287.5335699999996</v>
      </c>
    </row>
    <row r="92" spans="1:11" ht="18" customHeight="1">
      <c r="A92" s="151" t="s">
        <v>120</v>
      </c>
      <c r="B92" s="155" t="s">
        <v>121</v>
      </c>
      <c r="F92" s="189"/>
      <c r="G92" s="189"/>
      <c r="H92" s="190"/>
      <c r="I92" s="158">
        <f t="shared" si="9"/>
        <v>0</v>
      </c>
      <c r="J92" s="190"/>
      <c r="K92" s="159">
        <f t="shared" si="10"/>
        <v>0</v>
      </c>
    </row>
    <row r="93" spans="1:11" ht="18" customHeight="1">
      <c r="A93" s="151" t="s">
        <v>122</v>
      </c>
      <c r="B93" s="155" t="s">
        <v>123</v>
      </c>
      <c r="F93" s="156">
        <v>17.5</v>
      </c>
      <c r="G93" s="156">
        <v>3</v>
      </c>
      <c r="H93" s="157">
        <v>269191</v>
      </c>
      <c r="I93" s="158">
        <f t="shared" si="9"/>
        <v>189546.69710860003</v>
      </c>
      <c r="J93" s="157">
        <v>0</v>
      </c>
      <c r="K93" s="159">
        <f t="shared" si="10"/>
        <v>458737.69710860006</v>
      </c>
    </row>
    <row r="94" spans="1:11" ht="18" customHeight="1">
      <c r="A94" s="151" t="s">
        <v>124</v>
      </c>
      <c r="B94" s="901"/>
      <c r="C94" s="902"/>
      <c r="D94" s="903"/>
      <c r="F94" s="156"/>
      <c r="G94" s="156"/>
      <c r="H94" s="157"/>
      <c r="I94" s="158">
        <f t="shared" si="9"/>
        <v>0</v>
      </c>
      <c r="J94" s="157"/>
      <c r="K94" s="159">
        <f t="shared" si="10"/>
        <v>0</v>
      </c>
    </row>
    <row r="95" spans="1:11" ht="18" customHeight="1">
      <c r="A95" s="151" t="s">
        <v>125</v>
      </c>
      <c r="B95" s="901"/>
      <c r="C95" s="902"/>
      <c r="D95" s="903"/>
      <c r="F95" s="156"/>
      <c r="G95" s="156"/>
      <c r="H95" s="157"/>
      <c r="I95" s="158">
        <f t="shared" si="9"/>
        <v>0</v>
      </c>
      <c r="J95" s="157"/>
      <c r="K95" s="159">
        <f t="shared" si="10"/>
        <v>0</v>
      </c>
    </row>
    <row r="96" spans="1:11" ht="18" customHeight="1">
      <c r="A96" s="151" t="s">
        <v>126</v>
      </c>
      <c r="B96" s="901"/>
      <c r="C96" s="902"/>
      <c r="D96" s="903"/>
      <c r="F96" s="156"/>
      <c r="G96" s="156"/>
      <c r="H96" s="157"/>
      <c r="I96" s="158">
        <f t="shared" si="9"/>
        <v>0</v>
      </c>
      <c r="J96" s="157"/>
      <c r="K96" s="159">
        <f t="shared" si="10"/>
        <v>0</v>
      </c>
    </row>
    <row r="97" spans="1:11" ht="18" customHeight="1">
      <c r="A97" s="151"/>
      <c r="B97" s="155"/>
    </row>
    <row r="98" spans="1:11" ht="18" customHeight="1">
      <c r="A98" s="154" t="s">
        <v>150</v>
      </c>
      <c r="B98" s="150" t="s">
        <v>151</v>
      </c>
      <c r="E98" s="150" t="s">
        <v>7</v>
      </c>
      <c r="F98" s="162">
        <f t="shared" ref="F98:K98" si="11">SUM(F86:F96)</f>
        <v>148</v>
      </c>
      <c r="G98" s="162">
        <f t="shared" si="11"/>
        <v>286</v>
      </c>
      <c r="H98" s="162">
        <f t="shared" si="11"/>
        <v>279330</v>
      </c>
      <c r="I98" s="162">
        <f t="shared" si="11"/>
        <v>196685.91781800002</v>
      </c>
      <c r="J98" s="162">
        <f t="shared" si="11"/>
        <v>0</v>
      </c>
      <c r="K98" s="162">
        <f t="shared" si="11"/>
        <v>476015.91781800007</v>
      </c>
    </row>
    <row r="99" spans="1:11" ht="18" customHeight="1" thickBot="1">
      <c r="B99" s="150"/>
      <c r="F99" s="172"/>
      <c r="G99" s="172"/>
      <c r="H99" s="172"/>
      <c r="I99" s="172"/>
      <c r="J99" s="172"/>
      <c r="K99" s="172"/>
    </row>
    <row r="100" spans="1:11" ht="42.75" customHeight="1">
      <c r="F100" s="153" t="s">
        <v>9</v>
      </c>
      <c r="G100" s="153" t="s">
        <v>37</v>
      </c>
      <c r="H100" s="153" t="s">
        <v>29</v>
      </c>
      <c r="I100" s="153" t="s">
        <v>30</v>
      </c>
      <c r="J100" s="153" t="s">
        <v>33</v>
      </c>
      <c r="K100" s="153" t="s">
        <v>34</v>
      </c>
    </row>
    <row r="101" spans="1:11" ht="18" customHeight="1">
      <c r="A101" s="154" t="s">
        <v>130</v>
      </c>
      <c r="B101" s="150" t="s">
        <v>63</v>
      </c>
    </row>
    <row r="102" spans="1:11" ht="18" customHeight="1">
      <c r="A102" s="151" t="s">
        <v>131</v>
      </c>
      <c r="B102" s="155" t="s">
        <v>152</v>
      </c>
      <c r="F102" s="156">
        <v>45</v>
      </c>
      <c r="G102" s="156">
        <v>0</v>
      </c>
      <c r="H102" s="157">
        <v>2180</v>
      </c>
      <c r="I102" s="158">
        <f>H102*F$114</f>
        <v>1535.0134280000002</v>
      </c>
      <c r="J102" s="157">
        <v>0</v>
      </c>
      <c r="K102" s="159">
        <f>(H102+I102)-J102</f>
        <v>3715.0134280000002</v>
      </c>
    </row>
    <row r="103" spans="1:11" ht="18" customHeight="1">
      <c r="A103" s="151" t="s">
        <v>132</v>
      </c>
      <c r="B103" s="904" t="s">
        <v>62</v>
      </c>
      <c r="C103" s="904"/>
      <c r="F103" s="156"/>
      <c r="G103" s="156"/>
      <c r="H103" s="157"/>
      <c r="I103" s="158">
        <f>H103*F$114</f>
        <v>0</v>
      </c>
      <c r="J103" s="157"/>
      <c r="K103" s="159">
        <f>(H103+I103)-J103</f>
        <v>0</v>
      </c>
    </row>
    <row r="104" spans="1:11" ht="18" customHeight="1">
      <c r="A104" s="151" t="s">
        <v>128</v>
      </c>
      <c r="B104" s="901"/>
      <c r="C104" s="902"/>
      <c r="D104" s="903"/>
      <c r="F104" s="156"/>
      <c r="G104" s="156"/>
      <c r="H104" s="157"/>
      <c r="I104" s="158">
        <f>H104*F$114</f>
        <v>0</v>
      </c>
      <c r="J104" s="157"/>
      <c r="K104" s="159">
        <f>(H104+I104)-J104</f>
        <v>0</v>
      </c>
    </row>
    <row r="105" spans="1:11" ht="18" customHeight="1">
      <c r="A105" s="151" t="s">
        <v>127</v>
      </c>
      <c r="B105" s="901"/>
      <c r="C105" s="902"/>
      <c r="D105" s="903"/>
      <c r="F105" s="156"/>
      <c r="G105" s="156"/>
      <c r="H105" s="157"/>
      <c r="I105" s="158">
        <f>H105*F$114</f>
        <v>0</v>
      </c>
      <c r="J105" s="157"/>
      <c r="K105" s="159">
        <f>(H105+I105)-J105</f>
        <v>0</v>
      </c>
    </row>
    <row r="106" spans="1:11" ht="18" customHeight="1">
      <c r="A106" s="151" t="s">
        <v>129</v>
      </c>
      <c r="B106" s="901"/>
      <c r="C106" s="902"/>
      <c r="D106" s="903"/>
      <c r="F106" s="156"/>
      <c r="G106" s="156"/>
      <c r="H106" s="157"/>
      <c r="I106" s="158">
        <f>H106*F$114</f>
        <v>0</v>
      </c>
      <c r="J106" s="157"/>
      <c r="K106" s="159">
        <f>(H106+I106)-J106</f>
        <v>0</v>
      </c>
    </row>
    <row r="107" spans="1:11" ht="18" customHeight="1">
      <c r="B107" s="150"/>
    </row>
    <row r="108" spans="1:11" s="167" customFormat="1" ht="18" customHeight="1">
      <c r="A108" s="154" t="s">
        <v>153</v>
      </c>
      <c r="B108" s="191" t="s">
        <v>154</v>
      </c>
      <c r="C108" s="147"/>
      <c r="D108" s="147"/>
      <c r="E108" s="150" t="s">
        <v>7</v>
      </c>
      <c r="F108" s="162">
        <f t="shared" ref="F108:K108" si="12">SUM(F102:F106)</f>
        <v>45</v>
      </c>
      <c r="G108" s="162">
        <f t="shared" si="12"/>
        <v>0</v>
      </c>
      <c r="H108" s="159">
        <f t="shared" si="12"/>
        <v>2180</v>
      </c>
      <c r="I108" s="159">
        <f t="shared" si="12"/>
        <v>1535.0134280000002</v>
      </c>
      <c r="J108" s="159">
        <f t="shared" si="12"/>
        <v>0</v>
      </c>
      <c r="K108" s="159">
        <f t="shared" si="12"/>
        <v>3715.0134280000002</v>
      </c>
    </row>
    <row r="109" spans="1:11" s="167" customFormat="1" ht="18" customHeight="1" thickBot="1">
      <c r="A109" s="192"/>
      <c r="B109" s="193"/>
      <c r="C109" s="194"/>
      <c r="D109" s="194"/>
      <c r="E109" s="194"/>
      <c r="F109" s="172"/>
      <c r="G109" s="172"/>
      <c r="H109" s="172"/>
      <c r="I109" s="172"/>
      <c r="J109" s="172"/>
      <c r="K109" s="172"/>
    </row>
    <row r="110" spans="1:11" s="167" customFormat="1" ht="18" customHeight="1">
      <c r="A110" s="154" t="s">
        <v>156</v>
      </c>
      <c r="B110" s="150" t="s">
        <v>39</v>
      </c>
      <c r="C110" s="147"/>
      <c r="D110" s="147"/>
      <c r="E110" s="147"/>
      <c r="F110" s="147"/>
      <c r="G110" s="147"/>
      <c r="H110" s="147"/>
      <c r="I110" s="147"/>
      <c r="J110" s="147"/>
      <c r="K110" s="147"/>
    </row>
    <row r="111" spans="1:11" ht="18" customHeight="1">
      <c r="A111" s="154" t="s">
        <v>155</v>
      </c>
      <c r="B111" s="150" t="s">
        <v>164</v>
      </c>
      <c r="E111" s="150" t="s">
        <v>7</v>
      </c>
      <c r="F111" s="157">
        <f>2559761+2031+0</f>
        <v>2561792</v>
      </c>
    </row>
    <row r="112" spans="1:11" ht="18" customHeight="1">
      <c r="B112" s="150"/>
      <c r="E112" s="150"/>
      <c r="F112" s="195"/>
    </row>
    <row r="113" spans="1:6" ht="18" customHeight="1">
      <c r="A113" s="154"/>
      <c r="B113" s="150" t="s">
        <v>15</v>
      </c>
    </row>
    <row r="114" spans="1:6" ht="18" customHeight="1">
      <c r="A114" s="151" t="s">
        <v>171</v>
      </c>
      <c r="B114" s="155" t="s">
        <v>35</v>
      </c>
      <c r="F114" s="196">
        <v>0.70413460000000005</v>
      </c>
    </row>
    <row r="115" spans="1:6" ht="18" customHeight="1">
      <c r="A115" s="151"/>
      <c r="B115" s="150"/>
    </row>
    <row r="116" spans="1:6" ht="18" customHeight="1">
      <c r="A116" s="151" t="s">
        <v>170</v>
      </c>
      <c r="B116" s="150" t="s">
        <v>16</v>
      </c>
    </row>
    <row r="117" spans="1:6" ht="18" customHeight="1">
      <c r="A117" s="151" t="s">
        <v>172</v>
      </c>
      <c r="B117" s="155" t="s">
        <v>17</v>
      </c>
      <c r="F117" s="157">
        <v>41088441</v>
      </c>
    </row>
    <row r="118" spans="1:6" ht="18" customHeight="1">
      <c r="A118" s="151" t="s">
        <v>173</v>
      </c>
      <c r="B118" s="147" t="s">
        <v>18</v>
      </c>
      <c r="F118" s="157">
        <v>2250894</v>
      </c>
    </row>
    <row r="119" spans="1:6" ht="18" customHeight="1">
      <c r="A119" s="151" t="s">
        <v>174</v>
      </c>
      <c r="B119" s="150" t="s">
        <v>19</v>
      </c>
      <c r="F119" s="187">
        <f>SUM(F117:F118)</f>
        <v>43339335</v>
      </c>
    </row>
    <row r="120" spans="1:6" ht="18" customHeight="1">
      <c r="A120" s="151"/>
      <c r="B120" s="150"/>
    </row>
    <row r="121" spans="1:6" ht="18" customHeight="1">
      <c r="A121" s="151" t="s">
        <v>167</v>
      </c>
      <c r="B121" s="150" t="s">
        <v>36</v>
      </c>
      <c r="F121" s="157">
        <v>38506317</v>
      </c>
    </row>
    <row r="122" spans="1:6" ht="18" customHeight="1">
      <c r="A122" s="151"/>
    </row>
    <row r="123" spans="1:6" ht="18" customHeight="1">
      <c r="A123" s="151" t="s">
        <v>175</v>
      </c>
      <c r="B123" s="150" t="s">
        <v>20</v>
      </c>
      <c r="F123" s="157">
        <v>4833018</v>
      </c>
    </row>
    <row r="124" spans="1:6" ht="18" customHeight="1">
      <c r="A124" s="151"/>
    </row>
    <row r="125" spans="1:6" ht="18" customHeight="1">
      <c r="A125" s="151" t="s">
        <v>176</v>
      </c>
      <c r="B125" s="150" t="s">
        <v>21</v>
      </c>
      <c r="F125" s="157">
        <f>410601+321272</f>
        <v>731873</v>
      </c>
    </row>
    <row r="126" spans="1:6" ht="18" customHeight="1">
      <c r="A126" s="151"/>
    </row>
    <row r="127" spans="1:6" ht="18" customHeight="1">
      <c r="A127" s="151" t="s">
        <v>177</v>
      </c>
      <c r="B127" s="150" t="s">
        <v>22</v>
      </c>
      <c r="F127" s="157">
        <v>5564891</v>
      </c>
    </row>
    <row r="128" spans="1:6" ht="18" customHeight="1">
      <c r="A128" s="151"/>
    </row>
    <row r="129" spans="1:11" ht="42.75" customHeight="1">
      <c r="F129" s="153" t="s">
        <v>9</v>
      </c>
      <c r="G129" s="153" t="s">
        <v>37</v>
      </c>
      <c r="H129" s="153" t="s">
        <v>29</v>
      </c>
      <c r="I129" s="153" t="s">
        <v>30</v>
      </c>
      <c r="J129" s="153" t="s">
        <v>33</v>
      </c>
      <c r="K129" s="153" t="s">
        <v>34</v>
      </c>
    </row>
    <row r="130" spans="1:11" ht="18" customHeight="1">
      <c r="A130" s="154" t="s">
        <v>157</v>
      </c>
      <c r="B130" s="150" t="s">
        <v>23</v>
      </c>
    </row>
    <row r="131" spans="1:11" ht="18" customHeight="1">
      <c r="A131" s="151" t="s">
        <v>158</v>
      </c>
      <c r="B131" s="147" t="s">
        <v>24</v>
      </c>
      <c r="F131" s="156"/>
      <c r="G131" s="156"/>
      <c r="H131" s="157"/>
      <c r="I131" s="158">
        <v>0</v>
      </c>
      <c r="J131" s="157"/>
      <c r="K131" s="159">
        <f>(H131+I131)-J131</f>
        <v>0</v>
      </c>
    </row>
    <row r="132" spans="1:11" ht="18" customHeight="1">
      <c r="A132" s="151" t="s">
        <v>159</v>
      </c>
      <c r="B132" s="147" t="s">
        <v>25</v>
      </c>
      <c r="F132" s="156"/>
      <c r="G132" s="156"/>
      <c r="H132" s="157"/>
      <c r="I132" s="158">
        <v>0</v>
      </c>
      <c r="J132" s="157"/>
      <c r="K132" s="159">
        <f>(H132+I132)-J132</f>
        <v>0</v>
      </c>
    </row>
    <row r="133" spans="1:11" ht="18" customHeight="1">
      <c r="A133" s="151" t="s">
        <v>160</v>
      </c>
      <c r="B133" s="898"/>
      <c r="C133" s="899"/>
      <c r="D133" s="900"/>
      <c r="F133" s="156"/>
      <c r="G133" s="156"/>
      <c r="H133" s="157"/>
      <c r="I133" s="158">
        <v>0</v>
      </c>
      <c r="J133" s="157"/>
      <c r="K133" s="159">
        <f>(H133+I133)-J133</f>
        <v>0</v>
      </c>
    </row>
    <row r="134" spans="1:11" ht="18" customHeight="1">
      <c r="A134" s="151" t="s">
        <v>161</v>
      </c>
      <c r="B134" s="898"/>
      <c r="C134" s="899"/>
      <c r="D134" s="900"/>
      <c r="F134" s="156"/>
      <c r="G134" s="156"/>
      <c r="H134" s="157"/>
      <c r="I134" s="158">
        <v>0</v>
      </c>
      <c r="J134" s="157"/>
      <c r="K134" s="159">
        <f>(H134+I134)-J134</f>
        <v>0</v>
      </c>
    </row>
    <row r="135" spans="1:11" ht="18" customHeight="1">
      <c r="A135" s="151" t="s">
        <v>162</v>
      </c>
      <c r="B135" s="898"/>
      <c r="C135" s="899"/>
      <c r="D135" s="900"/>
      <c r="F135" s="156"/>
      <c r="G135" s="156"/>
      <c r="H135" s="157"/>
      <c r="I135" s="158">
        <v>0</v>
      </c>
      <c r="J135" s="157"/>
      <c r="K135" s="159">
        <f>(H135+I135)-J135</f>
        <v>0</v>
      </c>
    </row>
    <row r="136" spans="1:11" ht="18" customHeight="1">
      <c r="A136" s="154"/>
    </row>
    <row r="137" spans="1:11" ht="18" customHeight="1">
      <c r="A137" s="154" t="s">
        <v>163</v>
      </c>
      <c r="B137" s="150" t="s">
        <v>27</v>
      </c>
      <c r="F137" s="162">
        <f t="shared" ref="F137:K137" si="13">SUM(F131:F135)</f>
        <v>0</v>
      </c>
      <c r="G137" s="162">
        <f t="shared" si="13"/>
        <v>0</v>
      </c>
      <c r="H137" s="159">
        <f t="shared" si="13"/>
        <v>0</v>
      </c>
      <c r="I137" s="159">
        <f t="shared" si="13"/>
        <v>0</v>
      </c>
      <c r="J137" s="159">
        <f t="shared" si="13"/>
        <v>0</v>
      </c>
      <c r="K137" s="159">
        <f t="shared" si="13"/>
        <v>0</v>
      </c>
    </row>
    <row r="138" spans="1:11" ht="18" customHeight="1">
      <c r="A138" s="147"/>
    </row>
    <row r="139" spans="1:11" ht="42.75" customHeight="1">
      <c r="F139" s="153" t="s">
        <v>9</v>
      </c>
      <c r="G139" s="153" t="s">
        <v>37</v>
      </c>
      <c r="H139" s="153" t="s">
        <v>29</v>
      </c>
      <c r="I139" s="153" t="s">
        <v>30</v>
      </c>
      <c r="J139" s="153" t="s">
        <v>33</v>
      </c>
      <c r="K139" s="153" t="s">
        <v>34</v>
      </c>
    </row>
    <row r="140" spans="1:11" ht="18" customHeight="1">
      <c r="A140" s="154" t="s">
        <v>166</v>
      </c>
      <c r="B140" s="150" t="s">
        <v>26</v>
      </c>
    </row>
    <row r="141" spans="1:11" ht="18" customHeight="1">
      <c r="A141" s="151" t="s">
        <v>137</v>
      </c>
      <c r="B141" s="150" t="s">
        <v>64</v>
      </c>
      <c r="F141" s="197">
        <f t="shared" ref="F141:K141" si="14">F36</f>
        <v>1885.43</v>
      </c>
      <c r="G141" s="197">
        <f t="shared" si="14"/>
        <v>5587</v>
      </c>
      <c r="H141" s="197">
        <f t="shared" si="14"/>
        <v>106771</v>
      </c>
      <c r="I141" s="197">
        <f t="shared" si="14"/>
        <v>75181.1553766</v>
      </c>
      <c r="J141" s="197">
        <f t="shared" si="14"/>
        <v>75562</v>
      </c>
      <c r="K141" s="197">
        <f t="shared" si="14"/>
        <v>106390.1553766</v>
      </c>
    </row>
    <row r="142" spans="1:11" ht="18" customHeight="1">
      <c r="A142" s="151" t="s">
        <v>142</v>
      </c>
      <c r="B142" s="150" t="s">
        <v>65</v>
      </c>
      <c r="F142" s="197">
        <f t="shared" ref="F142:K142" si="15">F49</f>
        <v>40</v>
      </c>
      <c r="G142" s="197">
        <f t="shared" si="15"/>
        <v>1</v>
      </c>
      <c r="H142" s="197">
        <f t="shared" si="15"/>
        <v>3244</v>
      </c>
      <c r="I142" s="197">
        <f t="shared" si="15"/>
        <v>0</v>
      </c>
      <c r="J142" s="197">
        <f t="shared" si="15"/>
        <v>0</v>
      </c>
      <c r="K142" s="197">
        <f t="shared" si="15"/>
        <v>3244</v>
      </c>
    </row>
    <row r="143" spans="1:11" ht="18" customHeight="1">
      <c r="A143" s="151" t="s">
        <v>144</v>
      </c>
      <c r="B143" s="150" t="s">
        <v>66</v>
      </c>
      <c r="F143" s="197">
        <f t="shared" ref="F143:K143" si="16">F64</f>
        <v>0</v>
      </c>
      <c r="G143" s="197">
        <f t="shared" si="16"/>
        <v>0</v>
      </c>
      <c r="H143" s="197">
        <f t="shared" si="16"/>
        <v>0</v>
      </c>
      <c r="I143" s="197">
        <f t="shared" si="16"/>
        <v>0</v>
      </c>
      <c r="J143" s="197">
        <f t="shared" si="16"/>
        <v>0</v>
      </c>
      <c r="K143" s="197">
        <f t="shared" si="16"/>
        <v>0</v>
      </c>
    </row>
    <row r="144" spans="1:11" ht="18" customHeight="1">
      <c r="A144" s="151" t="s">
        <v>146</v>
      </c>
      <c r="B144" s="150" t="s">
        <v>67</v>
      </c>
      <c r="F144" s="197">
        <f t="shared" ref="F144:K144" si="17">F74</f>
        <v>0</v>
      </c>
      <c r="G144" s="197">
        <f t="shared" si="17"/>
        <v>0</v>
      </c>
      <c r="H144" s="197">
        <f t="shared" si="17"/>
        <v>0</v>
      </c>
      <c r="I144" s="197">
        <f t="shared" si="17"/>
        <v>0</v>
      </c>
      <c r="J144" s="197">
        <f t="shared" si="17"/>
        <v>0</v>
      </c>
      <c r="K144" s="197">
        <f t="shared" si="17"/>
        <v>0</v>
      </c>
    </row>
    <row r="145" spans="1:11" ht="18" customHeight="1">
      <c r="A145" s="151" t="s">
        <v>148</v>
      </c>
      <c r="B145" s="150" t="s">
        <v>68</v>
      </c>
      <c r="F145" s="197">
        <f t="shared" ref="F145:K145" si="18">F82</f>
        <v>98</v>
      </c>
      <c r="G145" s="197">
        <f t="shared" si="18"/>
        <v>118</v>
      </c>
      <c r="H145" s="197">
        <f t="shared" si="18"/>
        <v>4096</v>
      </c>
      <c r="I145" s="197">
        <f t="shared" si="18"/>
        <v>0</v>
      </c>
      <c r="J145" s="197">
        <f t="shared" si="18"/>
        <v>440</v>
      </c>
      <c r="K145" s="197">
        <f t="shared" si="18"/>
        <v>3656</v>
      </c>
    </row>
    <row r="146" spans="1:11" ht="18" customHeight="1">
      <c r="A146" s="151" t="s">
        <v>150</v>
      </c>
      <c r="B146" s="150" t="s">
        <v>69</v>
      </c>
      <c r="F146" s="197">
        <f t="shared" ref="F146:K146" si="19">F98</f>
        <v>148</v>
      </c>
      <c r="G146" s="197">
        <f t="shared" si="19"/>
        <v>286</v>
      </c>
      <c r="H146" s="197">
        <f t="shared" si="19"/>
        <v>279330</v>
      </c>
      <c r="I146" s="197">
        <f t="shared" si="19"/>
        <v>196685.91781800002</v>
      </c>
      <c r="J146" s="197">
        <f t="shared" si="19"/>
        <v>0</v>
      </c>
      <c r="K146" s="197">
        <f t="shared" si="19"/>
        <v>476015.91781800007</v>
      </c>
    </row>
    <row r="147" spans="1:11" ht="18" customHeight="1">
      <c r="A147" s="151" t="s">
        <v>153</v>
      </c>
      <c r="B147" s="150" t="s">
        <v>61</v>
      </c>
      <c r="F147" s="162">
        <f t="shared" ref="F147:K147" si="20">F108</f>
        <v>45</v>
      </c>
      <c r="G147" s="162">
        <f t="shared" si="20"/>
        <v>0</v>
      </c>
      <c r="H147" s="162">
        <f t="shared" si="20"/>
        <v>2180</v>
      </c>
      <c r="I147" s="162">
        <f t="shared" si="20"/>
        <v>1535.0134280000002</v>
      </c>
      <c r="J147" s="162">
        <f t="shared" si="20"/>
        <v>0</v>
      </c>
      <c r="K147" s="162">
        <f t="shared" si="20"/>
        <v>3715.0134280000002</v>
      </c>
    </row>
    <row r="148" spans="1:11" ht="18" customHeight="1">
      <c r="A148" s="151" t="s">
        <v>155</v>
      </c>
      <c r="B148" s="150" t="s">
        <v>70</v>
      </c>
      <c r="F148" s="198" t="s">
        <v>73</v>
      </c>
      <c r="G148" s="198" t="s">
        <v>73</v>
      </c>
      <c r="H148" s="199" t="s">
        <v>73</v>
      </c>
      <c r="I148" s="199" t="s">
        <v>73</v>
      </c>
      <c r="J148" s="199" t="s">
        <v>73</v>
      </c>
      <c r="K148" s="200">
        <f>F111</f>
        <v>2561792</v>
      </c>
    </row>
    <row r="149" spans="1:11" ht="18" customHeight="1">
      <c r="A149" s="151" t="s">
        <v>163</v>
      </c>
      <c r="B149" s="150" t="s">
        <v>71</v>
      </c>
      <c r="F149" s="162">
        <f t="shared" ref="F149:K149" si="21">F137</f>
        <v>0</v>
      </c>
      <c r="G149" s="162">
        <f t="shared" si="21"/>
        <v>0</v>
      </c>
      <c r="H149" s="162">
        <f t="shared" si="21"/>
        <v>0</v>
      </c>
      <c r="I149" s="162">
        <f t="shared" si="21"/>
        <v>0</v>
      </c>
      <c r="J149" s="162">
        <f t="shared" si="21"/>
        <v>0</v>
      </c>
      <c r="K149" s="162">
        <f t="shared" si="21"/>
        <v>0</v>
      </c>
    </row>
    <row r="150" spans="1:11" ht="18" customHeight="1">
      <c r="A150" s="151" t="s">
        <v>185</v>
      </c>
      <c r="B150" s="150" t="s">
        <v>186</v>
      </c>
      <c r="F150" s="198" t="s">
        <v>73</v>
      </c>
      <c r="G150" s="198" t="s">
        <v>73</v>
      </c>
      <c r="H150" s="162">
        <f>H18</f>
        <v>1117308</v>
      </c>
      <c r="I150" s="162">
        <f>I18</f>
        <v>0</v>
      </c>
      <c r="J150" s="162">
        <f>J18</f>
        <v>955438</v>
      </c>
      <c r="K150" s="162">
        <f>K18</f>
        <v>161870</v>
      </c>
    </row>
    <row r="151" spans="1:11" ht="18" customHeight="1">
      <c r="B151" s="150"/>
      <c r="F151" s="174"/>
      <c r="G151" s="174"/>
      <c r="H151" s="174"/>
      <c r="I151" s="174"/>
      <c r="J151" s="174"/>
      <c r="K151" s="174"/>
    </row>
    <row r="152" spans="1:11" ht="18" customHeight="1">
      <c r="A152" s="154" t="s">
        <v>165</v>
      </c>
      <c r="B152" s="150" t="s">
        <v>26</v>
      </c>
      <c r="F152" s="201">
        <f t="shared" ref="F152:K152" si="22">SUM(F141:F150)</f>
        <v>2216.4300000000003</v>
      </c>
      <c r="G152" s="201">
        <f t="shared" si="22"/>
        <v>5992</v>
      </c>
      <c r="H152" s="201">
        <f t="shared" si="22"/>
        <v>1512929</v>
      </c>
      <c r="I152" s="201">
        <f t="shared" si="22"/>
        <v>273402.08662259998</v>
      </c>
      <c r="J152" s="201">
        <f t="shared" si="22"/>
        <v>1031440</v>
      </c>
      <c r="K152" s="201">
        <f t="shared" si="22"/>
        <v>3316683.0866226</v>
      </c>
    </row>
    <row r="154" spans="1:11" ht="18" customHeight="1">
      <c r="A154" s="154" t="s">
        <v>168</v>
      </c>
      <c r="B154" s="150" t="s">
        <v>28</v>
      </c>
      <c r="F154" s="53">
        <f>K152/F121</f>
        <v>8.613348003712222E-2</v>
      </c>
    </row>
    <row r="155" spans="1:11" ht="18" customHeight="1">
      <c r="A155" s="154" t="s">
        <v>169</v>
      </c>
      <c r="B155" s="150" t="s">
        <v>72</v>
      </c>
      <c r="F155" s="53">
        <f>K152/F127</f>
        <v>0.596001446681094</v>
      </c>
      <c r="G155" s="150"/>
    </row>
    <row r="156" spans="1:11" ht="18" customHeight="1">
      <c r="G156" s="150"/>
    </row>
  </sheetData>
  <sheetProtection algorithmName="SHA-512" hashValue="iVvdvBFvLJrCQayOzWBOnlmmkvSOlg0vsuWfxw4ykvUWsRMIU69Eos4F9LU4n3blGdfrud4L5z60Zw6vfmvLvQ==" saltValue="dNfDTr1s26G+Dg2uXX89nw==" spinCount="100000" sheet="1" objects="1" scenarios="1"/>
  <mergeCells count="34">
    <mergeCell ref="B41:C41"/>
    <mergeCell ref="D2:H2"/>
    <mergeCell ref="C5:G5"/>
    <mergeCell ref="C6:G6"/>
    <mergeCell ref="C7:G7"/>
    <mergeCell ref="C9:G9"/>
    <mergeCell ref="C10:G10"/>
    <mergeCell ref="C11:G11"/>
    <mergeCell ref="B13:H13"/>
    <mergeCell ref="B30:D30"/>
    <mergeCell ref="B31:D31"/>
    <mergeCell ref="B34:D34"/>
    <mergeCell ref="B90:C90"/>
    <mergeCell ref="B44:D44"/>
    <mergeCell ref="B45:D45"/>
    <mergeCell ref="B46:D46"/>
    <mergeCell ref="B47:D47"/>
    <mergeCell ref="B52:C52"/>
    <mergeCell ref="B53:D53"/>
    <mergeCell ref="B55:D55"/>
    <mergeCell ref="B56:D56"/>
    <mergeCell ref="B57:D57"/>
    <mergeCell ref="B59:D59"/>
    <mergeCell ref="B62:D62"/>
    <mergeCell ref="B106:D106"/>
    <mergeCell ref="B133:D133"/>
    <mergeCell ref="B134:D134"/>
    <mergeCell ref="B135:D135"/>
    <mergeCell ref="B94:D94"/>
    <mergeCell ref="B95:D95"/>
    <mergeCell ref="B96:D96"/>
    <mergeCell ref="B103:C103"/>
    <mergeCell ref="B104:D104"/>
    <mergeCell ref="B105:D105"/>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K158"/>
  <sheetViews>
    <sheetView zoomScaleNormal="100" workbookViewId="0">
      <selection activeCell="K18" sqref="K18"/>
    </sheetView>
  </sheetViews>
  <sheetFormatPr defaultRowHeight="18" customHeight="1"/>
  <cols>
    <col min="1" max="1" width="8.28515625" style="420" customWidth="1"/>
    <col min="2" max="2" width="55.42578125" style="418" bestFit="1" customWidth="1"/>
    <col min="3" max="3" width="9.5703125" style="418" customWidth="1"/>
    <col min="4" max="4" width="9.140625" style="418"/>
    <col min="5" max="5" width="12.42578125" style="418" customWidth="1"/>
    <col min="6" max="6" width="18.5703125" style="418" customWidth="1"/>
    <col min="7" max="7" width="23.5703125" style="418" customWidth="1"/>
    <col min="8" max="8" width="17.140625" style="418" customWidth="1"/>
    <col min="9" max="9" width="21.140625" style="418" customWidth="1"/>
    <col min="10" max="10" width="19.85546875" style="418" customWidth="1"/>
    <col min="11" max="11" width="17.5703125" style="418" customWidth="1"/>
    <col min="12" max="16384" width="9.140625" style="418"/>
  </cols>
  <sheetData>
    <row r="1" spans="1:11" ht="18" customHeight="1">
      <c r="C1" s="484"/>
      <c r="D1" s="485"/>
      <c r="E1" s="484"/>
      <c r="F1" s="484"/>
      <c r="G1" s="484"/>
      <c r="H1" s="484"/>
      <c r="I1" s="484"/>
      <c r="J1" s="484"/>
      <c r="K1" s="484"/>
    </row>
    <row r="2" spans="1:11" ht="18" customHeight="1">
      <c r="D2" s="1023" t="s">
        <v>713</v>
      </c>
      <c r="E2" s="997"/>
      <c r="F2" s="997"/>
      <c r="G2" s="997"/>
      <c r="H2" s="997"/>
    </row>
    <row r="3" spans="1:11" ht="18" customHeight="1">
      <c r="B3" s="419" t="s">
        <v>0</v>
      </c>
    </row>
    <row r="5" spans="1:11" ht="18" customHeight="1">
      <c r="B5" s="427" t="s">
        <v>40</v>
      </c>
      <c r="C5" s="1024" t="s">
        <v>790</v>
      </c>
      <c r="D5" s="1025"/>
      <c r="E5" s="1025"/>
      <c r="F5" s="1025"/>
      <c r="G5" s="1026"/>
    </row>
    <row r="6" spans="1:11" ht="18" customHeight="1">
      <c r="B6" s="427" t="s">
        <v>3</v>
      </c>
      <c r="C6" s="1027">
        <v>18</v>
      </c>
      <c r="D6" s="1028"/>
      <c r="E6" s="1028"/>
      <c r="F6" s="1028"/>
      <c r="G6" s="1029"/>
    </row>
    <row r="7" spans="1:11" ht="18" customHeight="1">
      <c r="B7" s="427" t="s">
        <v>4</v>
      </c>
      <c r="C7" s="1030">
        <v>1340</v>
      </c>
      <c r="D7" s="1031"/>
      <c r="E7" s="1031"/>
      <c r="F7" s="1031"/>
      <c r="G7" s="1032"/>
    </row>
    <row r="9" spans="1:11" ht="18" customHeight="1">
      <c r="B9" s="427" t="s">
        <v>1</v>
      </c>
      <c r="C9" s="1033" t="s">
        <v>503</v>
      </c>
      <c r="D9" s="1033"/>
      <c r="E9" s="1033"/>
      <c r="F9" s="1033"/>
      <c r="G9" s="1033"/>
    </row>
    <row r="10" spans="1:11" ht="18" customHeight="1">
      <c r="B10" s="427" t="s">
        <v>2</v>
      </c>
      <c r="C10" s="1033" t="s">
        <v>507</v>
      </c>
      <c r="D10" s="1033"/>
      <c r="E10" s="1033"/>
      <c r="F10" s="1033"/>
      <c r="G10" s="1033"/>
    </row>
    <row r="11" spans="1:11" ht="18" customHeight="1">
      <c r="B11" s="427" t="s">
        <v>32</v>
      </c>
      <c r="C11" s="1033" t="s">
        <v>508</v>
      </c>
      <c r="D11" s="1033"/>
      <c r="E11" s="1033"/>
      <c r="F11" s="1033"/>
      <c r="G11" s="1033"/>
    </row>
    <row r="12" spans="1:11" ht="18" customHeight="1">
      <c r="B12" s="427"/>
      <c r="C12" s="427"/>
      <c r="D12" s="427"/>
      <c r="E12" s="427"/>
      <c r="F12" s="427"/>
      <c r="G12" s="427"/>
    </row>
    <row r="13" spans="1:11" ht="24.6" customHeight="1">
      <c r="B13" s="1034"/>
      <c r="C13" s="1035"/>
      <c r="D13" s="1035"/>
      <c r="E13" s="1035"/>
      <c r="F13" s="1035"/>
      <c r="G13" s="1035"/>
      <c r="H13" s="1036"/>
      <c r="I13" s="484"/>
    </row>
    <row r="14" spans="1:11" ht="18" customHeight="1">
      <c r="B14" s="497"/>
    </row>
    <row r="15" spans="1:11" ht="18" customHeight="1">
      <c r="B15" s="497"/>
    </row>
    <row r="16" spans="1:11" ht="45" customHeight="1">
      <c r="A16" s="485" t="s">
        <v>181</v>
      </c>
      <c r="B16" s="484"/>
      <c r="C16" s="484"/>
      <c r="D16" s="484"/>
      <c r="E16" s="484"/>
      <c r="F16" s="431" t="s">
        <v>9</v>
      </c>
      <c r="G16" s="431" t="s">
        <v>37</v>
      </c>
      <c r="H16" s="431" t="s">
        <v>29</v>
      </c>
      <c r="I16" s="431" t="s">
        <v>30</v>
      </c>
      <c r="J16" s="431" t="s">
        <v>33</v>
      </c>
      <c r="K16" s="431" t="s">
        <v>34</v>
      </c>
    </row>
    <row r="17" spans="1:11" ht="18" customHeight="1">
      <c r="A17" s="422" t="s">
        <v>184</v>
      </c>
      <c r="B17" s="419" t="s">
        <v>182</v>
      </c>
    </row>
    <row r="18" spans="1:11" ht="18" customHeight="1">
      <c r="A18" s="427" t="s">
        <v>185</v>
      </c>
      <c r="B18" s="439" t="s">
        <v>183</v>
      </c>
      <c r="F18" s="435" t="s">
        <v>73</v>
      </c>
      <c r="G18" s="435" t="s">
        <v>73</v>
      </c>
      <c r="H18" s="433">
        <v>4337670</v>
      </c>
      <c r="I18" s="434">
        <v>0</v>
      </c>
      <c r="J18" s="433">
        <v>3709250</v>
      </c>
      <c r="K18" s="432">
        <f>(H18+I18)-J18</f>
        <v>628420</v>
      </c>
    </row>
    <row r="19" spans="1:11" ht="45" customHeight="1">
      <c r="A19" s="485" t="s">
        <v>8</v>
      </c>
      <c r="B19" s="484"/>
      <c r="C19" s="484"/>
      <c r="D19" s="484"/>
      <c r="E19" s="484"/>
      <c r="F19" s="431" t="s">
        <v>9</v>
      </c>
      <c r="G19" s="431" t="s">
        <v>37</v>
      </c>
      <c r="H19" s="431" t="s">
        <v>29</v>
      </c>
      <c r="I19" s="431" t="s">
        <v>30</v>
      </c>
      <c r="J19" s="431" t="s">
        <v>33</v>
      </c>
      <c r="K19" s="431" t="s">
        <v>34</v>
      </c>
    </row>
    <row r="20" spans="1:11" ht="18" customHeight="1">
      <c r="A20" s="422" t="s">
        <v>74</v>
      </c>
      <c r="B20" s="419" t="s">
        <v>41</v>
      </c>
    </row>
    <row r="21" spans="1:11" ht="18" customHeight="1">
      <c r="A21" s="427" t="s">
        <v>75</v>
      </c>
      <c r="B21" s="439" t="s">
        <v>42</v>
      </c>
      <c r="F21" s="435">
        <v>1930.5</v>
      </c>
      <c r="G21" s="435">
        <v>2007</v>
      </c>
      <c r="H21" s="433">
        <v>195908</v>
      </c>
      <c r="I21" s="434">
        <v>57797</v>
      </c>
      <c r="J21" s="433">
        <v>24435</v>
      </c>
      <c r="K21" s="432">
        <f t="shared" ref="K21:K34" si="0">(H21+I21)-J21</f>
        <v>229270</v>
      </c>
    </row>
    <row r="22" spans="1:11" ht="18" customHeight="1">
      <c r="A22" s="427" t="s">
        <v>76</v>
      </c>
      <c r="B22" s="418" t="s">
        <v>6</v>
      </c>
      <c r="F22" s="435"/>
      <c r="G22" s="435"/>
      <c r="H22" s="433"/>
      <c r="I22" s="434">
        <f t="shared" ref="I22:I34" si="1">H22*F$114</f>
        <v>0</v>
      </c>
      <c r="J22" s="433"/>
      <c r="K22" s="432">
        <f t="shared" si="0"/>
        <v>0</v>
      </c>
    </row>
    <row r="23" spans="1:11" ht="18" customHeight="1">
      <c r="A23" s="427" t="s">
        <v>77</v>
      </c>
      <c r="B23" s="418" t="s">
        <v>43</v>
      </c>
      <c r="F23" s="435"/>
      <c r="G23" s="435"/>
      <c r="H23" s="433"/>
      <c r="I23" s="434">
        <f t="shared" si="1"/>
        <v>0</v>
      </c>
      <c r="J23" s="433"/>
      <c r="K23" s="432">
        <f t="shared" si="0"/>
        <v>0</v>
      </c>
    </row>
    <row r="24" spans="1:11" ht="18" customHeight="1">
      <c r="A24" s="427" t="s">
        <v>78</v>
      </c>
      <c r="B24" s="418" t="s">
        <v>44</v>
      </c>
      <c r="F24" s="435">
        <v>103</v>
      </c>
      <c r="G24" s="435">
        <v>296</v>
      </c>
      <c r="H24" s="433">
        <v>9604</v>
      </c>
      <c r="I24" s="434">
        <v>981</v>
      </c>
      <c r="J24" s="433"/>
      <c r="K24" s="432">
        <f t="shared" si="0"/>
        <v>10585</v>
      </c>
    </row>
    <row r="25" spans="1:11" ht="18" customHeight="1">
      <c r="A25" s="427" t="s">
        <v>79</v>
      </c>
      <c r="B25" s="418" t="s">
        <v>5</v>
      </c>
      <c r="F25" s="435">
        <v>416</v>
      </c>
      <c r="G25" s="435">
        <v>189</v>
      </c>
      <c r="H25" s="433">
        <v>19541</v>
      </c>
      <c r="I25" s="434">
        <v>0</v>
      </c>
      <c r="J25" s="433"/>
      <c r="K25" s="432">
        <f t="shared" si="0"/>
        <v>19541</v>
      </c>
    </row>
    <row r="26" spans="1:11" ht="18" customHeight="1">
      <c r="A26" s="427" t="s">
        <v>80</v>
      </c>
      <c r="B26" s="418" t="s">
        <v>45</v>
      </c>
      <c r="F26" s="435"/>
      <c r="G26" s="435"/>
      <c r="H26" s="433"/>
      <c r="I26" s="434">
        <f t="shared" si="1"/>
        <v>0</v>
      </c>
      <c r="J26" s="433"/>
      <c r="K26" s="432">
        <f t="shared" si="0"/>
        <v>0</v>
      </c>
    </row>
    <row r="27" spans="1:11" ht="18" customHeight="1">
      <c r="A27" s="427" t="s">
        <v>81</v>
      </c>
      <c r="B27" s="418" t="s">
        <v>46</v>
      </c>
      <c r="F27" s="435"/>
      <c r="G27" s="435"/>
      <c r="H27" s="433"/>
      <c r="I27" s="434">
        <f t="shared" si="1"/>
        <v>0</v>
      </c>
      <c r="J27" s="433"/>
      <c r="K27" s="432">
        <f t="shared" si="0"/>
        <v>0</v>
      </c>
    </row>
    <row r="28" spans="1:11" ht="18" customHeight="1">
      <c r="A28" s="427" t="s">
        <v>82</v>
      </c>
      <c r="B28" s="418" t="s">
        <v>47</v>
      </c>
      <c r="F28" s="435"/>
      <c r="G28" s="435"/>
      <c r="H28" s="433"/>
      <c r="I28" s="434">
        <f t="shared" si="1"/>
        <v>0</v>
      </c>
      <c r="J28" s="433"/>
      <c r="K28" s="432">
        <f t="shared" si="0"/>
        <v>0</v>
      </c>
    </row>
    <row r="29" spans="1:11" ht="18" customHeight="1">
      <c r="A29" s="427" t="s">
        <v>83</v>
      </c>
      <c r="B29" s="418" t="s">
        <v>48</v>
      </c>
      <c r="F29" s="435">
        <v>2060</v>
      </c>
      <c r="G29" s="435">
        <v>4865</v>
      </c>
      <c r="H29" s="433">
        <v>652363</v>
      </c>
      <c r="I29" s="434">
        <v>424749</v>
      </c>
      <c r="J29" s="433"/>
      <c r="K29" s="432">
        <f t="shared" si="0"/>
        <v>1077112</v>
      </c>
    </row>
    <row r="30" spans="1:11" ht="18" customHeight="1">
      <c r="A30" s="427" t="s">
        <v>84</v>
      </c>
      <c r="B30" s="1016"/>
      <c r="C30" s="1017"/>
      <c r="D30" s="1018"/>
      <c r="F30" s="435"/>
      <c r="G30" s="435"/>
      <c r="H30" s="433"/>
      <c r="I30" s="434">
        <f t="shared" si="1"/>
        <v>0</v>
      </c>
      <c r="J30" s="433"/>
      <c r="K30" s="432">
        <f t="shared" si="0"/>
        <v>0</v>
      </c>
    </row>
    <row r="31" spans="1:11" ht="18" customHeight="1">
      <c r="A31" s="427" t="s">
        <v>133</v>
      </c>
      <c r="B31" s="1016"/>
      <c r="C31" s="1017"/>
      <c r="D31" s="1018"/>
      <c r="F31" s="435"/>
      <c r="G31" s="435"/>
      <c r="H31" s="433"/>
      <c r="I31" s="434">
        <f t="shared" si="1"/>
        <v>0</v>
      </c>
      <c r="J31" s="433"/>
      <c r="K31" s="432">
        <f t="shared" si="0"/>
        <v>0</v>
      </c>
    </row>
    <row r="32" spans="1:11" ht="18" customHeight="1">
      <c r="A32" s="427" t="s">
        <v>134</v>
      </c>
      <c r="B32" s="483"/>
      <c r="C32" s="482"/>
      <c r="D32" s="481"/>
      <c r="F32" s="435"/>
      <c r="G32" s="480" t="s">
        <v>85</v>
      </c>
      <c r="H32" s="433"/>
      <c r="I32" s="434">
        <f t="shared" si="1"/>
        <v>0</v>
      </c>
      <c r="J32" s="433"/>
      <c r="K32" s="432">
        <f t="shared" si="0"/>
        <v>0</v>
      </c>
    </row>
    <row r="33" spans="1:11" ht="18" customHeight="1">
      <c r="A33" s="427" t="s">
        <v>135</v>
      </c>
      <c r="B33" s="483"/>
      <c r="C33" s="482"/>
      <c r="D33" s="481"/>
      <c r="F33" s="435"/>
      <c r="G33" s="480" t="s">
        <v>85</v>
      </c>
      <c r="H33" s="433"/>
      <c r="I33" s="434">
        <f t="shared" si="1"/>
        <v>0</v>
      </c>
      <c r="J33" s="433"/>
      <c r="K33" s="432">
        <f t="shared" si="0"/>
        <v>0</v>
      </c>
    </row>
    <row r="34" spans="1:11" ht="18" customHeight="1">
      <c r="A34" s="427" t="s">
        <v>136</v>
      </c>
      <c r="B34" s="1016"/>
      <c r="C34" s="1017"/>
      <c r="D34" s="1018"/>
      <c r="F34" s="435"/>
      <c r="G34" s="480" t="s">
        <v>85</v>
      </c>
      <c r="H34" s="433"/>
      <c r="I34" s="434">
        <f t="shared" si="1"/>
        <v>0</v>
      </c>
      <c r="J34" s="433"/>
      <c r="K34" s="432">
        <f t="shared" si="0"/>
        <v>0</v>
      </c>
    </row>
    <row r="35" spans="1:11" ht="18" customHeight="1">
      <c r="K35" s="479"/>
    </row>
    <row r="36" spans="1:11" ht="18" customHeight="1">
      <c r="A36" s="422" t="s">
        <v>137</v>
      </c>
      <c r="B36" s="419" t="s">
        <v>138</v>
      </c>
      <c r="E36" s="419" t="s">
        <v>7</v>
      </c>
      <c r="F36" s="425">
        <f t="shared" ref="F36:K36" si="2">SUM(F21:F34)</f>
        <v>4509.5</v>
      </c>
      <c r="G36" s="425">
        <f t="shared" si="2"/>
        <v>7357</v>
      </c>
      <c r="H36" s="425">
        <f t="shared" si="2"/>
        <v>877416</v>
      </c>
      <c r="I36" s="432">
        <f t="shared" si="2"/>
        <v>483527</v>
      </c>
      <c r="J36" s="432">
        <f t="shared" si="2"/>
        <v>24435</v>
      </c>
      <c r="K36" s="432">
        <f t="shared" si="2"/>
        <v>1336508</v>
      </c>
    </row>
    <row r="37" spans="1:11" ht="18" customHeight="1" thickBot="1">
      <c r="B37" s="419"/>
      <c r="F37" s="478"/>
      <c r="G37" s="478"/>
      <c r="H37" s="477"/>
      <c r="I37" s="477"/>
      <c r="J37" s="477"/>
      <c r="K37" s="476"/>
    </row>
    <row r="38" spans="1:11" ht="42.75" customHeight="1">
      <c r="F38" s="431" t="s">
        <v>9</v>
      </c>
      <c r="G38" s="431" t="s">
        <v>37</v>
      </c>
      <c r="H38" s="431" t="s">
        <v>29</v>
      </c>
      <c r="I38" s="431" t="s">
        <v>30</v>
      </c>
      <c r="J38" s="431" t="s">
        <v>33</v>
      </c>
      <c r="K38" s="431" t="s">
        <v>34</v>
      </c>
    </row>
    <row r="39" spans="1:11" ht="18.75" customHeight="1">
      <c r="A39" s="422" t="s">
        <v>86</v>
      </c>
      <c r="B39" s="419" t="s">
        <v>49</v>
      </c>
    </row>
    <row r="40" spans="1:11" ht="18" customHeight="1">
      <c r="A40" s="427" t="s">
        <v>87</v>
      </c>
      <c r="B40" s="418" t="s">
        <v>31</v>
      </c>
      <c r="F40" s="435">
        <v>280</v>
      </c>
      <c r="G40" s="435">
        <v>1500</v>
      </c>
      <c r="H40" s="433">
        <v>16805</v>
      </c>
      <c r="I40" s="434">
        <v>12923</v>
      </c>
      <c r="J40" s="433"/>
      <c r="K40" s="432">
        <f t="shared" ref="K40:K47" si="3">(H40+I40)-J40</f>
        <v>29728</v>
      </c>
    </row>
    <row r="41" spans="1:11" ht="18" customHeight="1">
      <c r="A41" s="427" t="s">
        <v>88</v>
      </c>
      <c r="B41" s="987" t="s">
        <v>50</v>
      </c>
      <c r="C41" s="1019"/>
      <c r="F41" s="435">
        <v>411</v>
      </c>
      <c r="G41" s="435">
        <v>197</v>
      </c>
      <c r="H41" s="433">
        <v>23412</v>
      </c>
      <c r="I41" s="434">
        <v>18004</v>
      </c>
      <c r="J41" s="433"/>
      <c r="K41" s="432">
        <f t="shared" si="3"/>
        <v>41416</v>
      </c>
    </row>
    <row r="42" spans="1:11" ht="18" customHeight="1">
      <c r="A42" s="427" t="s">
        <v>89</v>
      </c>
      <c r="B42" s="439" t="s">
        <v>11</v>
      </c>
      <c r="F42" s="435">
        <v>56.8</v>
      </c>
      <c r="G42" s="435">
        <v>14</v>
      </c>
      <c r="H42" s="433">
        <v>3528</v>
      </c>
      <c r="I42" s="434">
        <v>2713</v>
      </c>
      <c r="J42" s="433"/>
      <c r="K42" s="432">
        <f t="shared" si="3"/>
        <v>6241</v>
      </c>
    </row>
    <row r="43" spans="1:11" ht="18" customHeight="1">
      <c r="A43" s="427" t="s">
        <v>90</v>
      </c>
      <c r="B43" s="475" t="s">
        <v>10</v>
      </c>
      <c r="C43" s="442"/>
      <c r="D43" s="442"/>
      <c r="F43" s="435"/>
      <c r="G43" s="435"/>
      <c r="H43" s="433"/>
      <c r="I43" s="434">
        <v>0</v>
      </c>
      <c r="J43" s="433"/>
      <c r="K43" s="432">
        <f t="shared" si="3"/>
        <v>0</v>
      </c>
    </row>
    <row r="44" spans="1:11" ht="18" customHeight="1">
      <c r="A44" s="427" t="s">
        <v>91</v>
      </c>
      <c r="B44" s="1016"/>
      <c r="C44" s="1017"/>
      <c r="D44" s="1018"/>
      <c r="F44" s="473"/>
      <c r="G44" s="473"/>
      <c r="H44" s="473"/>
      <c r="I44" s="474">
        <v>0</v>
      </c>
      <c r="J44" s="473"/>
      <c r="K44" s="472">
        <f t="shared" si="3"/>
        <v>0</v>
      </c>
    </row>
    <row r="45" spans="1:11" ht="18" customHeight="1">
      <c r="A45" s="427" t="s">
        <v>139</v>
      </c>
      <c r="B45" s="1016"/>
      <c r="C45" s="1017"/>
      <c r="D45" s="1018"/>
      <c r="F45" s="435"/>
      <c r="G45" s="435"/>
      <c r="H45" s="433"/>
      <c r="I45" s="434">
        <v>0</v>
      </c>
      <c r="J45" s="433"/>
      <c r="K45" s="432">
        <f t="shared" si="3"/>
        <v>0</v>
      </c>
    </row>
    <row r="46" spans="1:11" ht="18" customHeight="1">
      <c r="A46" s="427" t="s">
        <v>140</v>
      </c>
      <c r="B46" s="1016"/>
      <c r="C46" s="1017"/>
      <c r="D46" s="1018"/>
      <c r="F46" s="435"/>
      <c r="G46" s="435"/>
      <c r="H46" s="433"/>
      <c r="I46" s="434">
        <v>0</v>
      </c>
      <c r="J46" s="433"/>
      <c r="K46" s="432">
        <f t="shared" si="3"/>
        <v>0</v>
      </c>
    </row>
    <row r="47" spans="1:11" ht="18" customHeight="1">
      <c r="A47" s="427" t="s">
        <v>141</v>
      </c>
      <c r="B47" s="1016"/>
      <c r="C47" s="1017"/>
      <c r="D47" s="1018"/>
      <c r="F47" s="435"/>
      <c r="G47" s="435"/>
      <c r="H47" s="433"/>
      <c r="I47" s="434">
        <v>0</v>
      </c>
      <c r="J47" s="433"/>
      <c r="K47" s="432">
        <f t="shared" si="3"/>
        <v>0</v>
      </c>
    </row>
    <row r="49" spans="1:11" ht="18" customHeight="1">
      <c r="A49" s="422" t="s">
        <v>142</v>
      </c>
      <c r="B49" s="419" t="s">
        <v>143</v>
      </c>
      <c r="E49" s="419" t="s">
        <v>7</v>
      </c>
      <c r="F49" s="471">
        <f t="shared" ref="F49:K49" si="4">SUM(F40:F47)</f>
        <v>747.8</v>
      </c>
      <c r="G49" s="471">
        <f t="shared" si="4"/>
        <v>1711</v>
      </c>
      <c r="H49" s="432">
        <f t="shared" si="4"/>
        <v>43745</v>
      </c>
      <c r="I49" s="432">
        <f t="shared" si="4"/>
        <v>33640</v>
      </c>
      <c r="J49" s="432">
        <f t="shared" si="4"/>
        <v>0</v>
      </c>
      <c r="K49" s="432">
        <f t="shared" si="4"/>
        <v>77385</v>
      </c>
    </row>
    <row r="50" spans="1:11" ht="18" customHeight="1" thickBot="1">
      <c r="G50" s="443"/>
      <c r="H50" s="443"/>
      <c r="I50" s="443"/>
      <c r="J50" s="443"/>
      <c r="K50" s="443"/>
    </row>
    <row r="51" spans="1:11" ht="42.75" customHeight="1">
      <c r="F51" s="431" t="s">
        <v>9</v>
      </c>
      <c r="G51" s="431" t="s">
        <v>37</v>
      </c>
      <c r="H51" s="431" t="s">
        <v>29</v>
      </c>
      <c r="I51" s="431" t="s">
        <v>30</v>
      </c>
      <c r="J51" s="431" t="s">
        <v>33</v>
      </c>
      <c r="K51" s="431" t="s">
        <v>34</v>
      </c>
    </row>
    <row r="52" spans="1:11" ht="18" customHeight="1">
      <c r="A52" s="422" t="s">
        <v>92</v>
      </c>
      <c r="B52" s="992" t="s">
        <v>38</v>
      </c>
      <c r="C52" s="1020"/>
    </row>
    <row r="53" spans="1:11" ht="18" customHeight="1">
      <c r="A53" s="427" t="s">
        <v>51</v>
      </c>
      <c r="B53" s="1021" t="s">
        <v>499</v>
      </c>
      <c r="C53" s="1022"/>
      <c r="D53" s="1015"/>
      <c r="F53" s="435"/>
      <c r="G53" s="435"/>
      <c r="H53" s="433">
        <v>428772</v>
      </c>
      <c r="I53" s="434">
        <v>0</v>
      </c>
      <c r="J53" s="433"/>
      <c r="K53" s="432">
        <f t="shared" ref="K53:K62" si="5">(H53+I53)-J53</f>
        <v>428772</v>
      </c>
    </row>
    <row r="54" spans="1:11" ht="18" customHeight="1">
      <c r="A54" s="427" t="s">
        <v>93</v>
      </c>
      <c r="B54" s="466" t="s">
        <v>535</v>
      </c>
      <c r="C54" s="465"/>
      <c r="D54" s="464"/>
      <c r="F54" s="435"/>
      <c r="G54" s="435"/>
      <c r="H54" s="433">
        <v>699721</v>
      </c>
      <c r="I54" s="434">
        <v>0</v>
      </c>
      <c r="J54" s="433"/>
      <c r="K54" s="432">
        <f t="shared" si="5"/>
        <v>699721</v>
      </c>
    </row>
    <row r="55" spans="1:11" ht="18" customHeight="1">
      <c r="A55" s="427" t="s">
        <v>94</v>
      </c>
      <c r="B55" s="1013"/>
      <c r="C55" s="1014"/>
      <c r="D55" s="1015"/>
      <c r="F55" s="435"/>
      <c r="G55" s="435"/>
      <c r="H55" s="433"/>
      <c r="I55" s="434">
        <v>0</v>
      </c>
      <c r="J55" s="433"/>
      <c r="K55" s="432">
        <f t="shared" si="5"/>
        <v>0</v>
      </c>
    </row>
    <row r="56" spans="1:11" ht="18" customHeight="1">
      <c r="A56" s="427" t="s">
        <v>95</v>
      </c>
      <c r="B56" s="1013"/>
      <c r="C56" s="1014"/>
      <c r="D56" s="1015"/>
      <c r="F56" s="435"/>
      <c r="G56" s="435"/>
      <c r="H56" s="433"/>
      <c r="I56" s="434">
        <v>0</v>
      </c>
      <c r="J56" s="433"/>
      <c r="K56" s="432">
        <f t="shared" si="5"/>
        <v>0</v>
      </c>
    </row>
    <row r="57" spans="1:11" ht="18" customHeight="1">
      <c r="A57" s="427" t="s">
        <v>96</v>
      </c>
      <c r="B57" s="1013"/>
      <c r="C57" s="1014"/>
      <c r="D57" s="1015"/>
      <c r="F57" s="435"/>
      <c r="G57" s="435"/>
      <c r="H57" s="433"/>
      <c r="I57" s="434">
        <v>0</v>
      </c>
      <c r="J57" s="433"/>
      <c r="K57" s="432">
        <f t="shared" si="5"/>
        <v>0</v>
      </c>
    </row>
    <row r="58" spans="1:11" ht="18" customHeight="1">
      <c r="A58" s="427" t="s">
        <v>97</v>
      </c>
      <c r="B58" s="466"/>
      <c r="C58" s="465"/>
      <c r="D58" s="464"/>
      <c r="F58" s="435"/>
      <c r="G58" s="435"/>
      <c r="H58" s="433"/>
      <c r="I58" s="434">
        <v>0</v>
      </c>
      <c r="J58" s="433"/>
      <c r="K58" s="432">
        <f t="shared" si="5"/>
        <v>0</v>
      </c>
    </row>
    <row r="59" spans="1:11" ht="18" customHeight="1">
      <c r="A59" s="427" t="s">
        <v>98</v>
      </c>
      <c r="B59" s="1013"/>
      <c r="C59" s="1014"/>
      <c r="D59" s="1015"/>
      <c r="F59" s="435"/>
      <c r="G59" s="435"/>
      <c r="H59" s="433"/>
      <c r="I59" s="434">
        <v>0</v>
      </c>
      <c r="J59" s="433"/>
      <c r="K59" s="432">
        <f t="shared" si="5"/>
        <v>0</v>
      </c>
    </row>
    <row r="60" spans="1:11" ht="18" customHeight="1">
      <c r="A60" s="427" t="s">
        <v>99</v>
      </c>
      <c r="B60" s="466" t="s">
        <v>501</v>
      </c>
      <c r="C60" s="465"/>
      <c r="D60" s="464"/>
      <c r="F60" s="435"/>
      <c r="G60" s="435"/>
      <c r="H60" s="433">
        <v>374025</v>
      </c>
      <c r="I60" s="434">
        <v>0</v>
      </c>
      <c r="J60" s="433"/>
      <c r="K60" s="432">
        <f t="shared" si="5"/>
        <v>374025</v>
      </c>
    </row>
    <row r="61" spans="1:11" ht="18" customHeight="1">
      <c r="A61" s="427" t="s">
        <v>100</v>
      </c>
      <c r="B61" s="466"/>
      <c r="C61" s="465"/>
      <c r="D61" s="464"/>
      <c r="F61" s="435"/>
      <c r="G61" s="435"/>
      <c r="H61" s="433"/>
      <c r="I61" s="434">
        <v>0</v>
      </c>
      <c r="J61" s="433"/>
      <c r="K61" s="432">
        <f t="shared" si="5"/>
        <v>0</v>
      </c>
    </row>
    <row r="62" spans="1:11" ht="18" customHeight="1">
      <c r="A62" s="427" t="s">
        <v>101</v>
      </c>
      <c r="B62" s="1013"/>
      <c r="C62" s="1014"/>
      <c r="D62" s="1015"/>
      <c r="F62" s="435"/>
      <c r="G62" s="435"/>
      <c r="H62" s="433"/>
      <c r="I62" s="434">
        <v>0</v>
      </c>
      <c r="J62" s="433"/>
      <c r="K62" s="432">
        <f t="shared" si="5"/>
        <v>0</v>
      </c>
    </row>
    <row r="63" spans="1:11" ht="18" customHeight="1">
      <c r="A63" s="427"/>
      <c r="I63" s="470"/>
    </row>
    <row r="64" spans="1:11" ht="18" customHeight="1">
      <c r="A64" s="427" t="s">
        <v>144</v>
      </c>
      <c r="B64" s="419" t="s">
        <v>145</v>
      </c>
      <c r="E64" s="419" t="s">
        <v>7</v>
      </c>
      <c r="F64" s="425">
        <f t="shared" ref="F64:K64" si="6">SUM(F53:F62)</f>
        <v>0</v>
      </c>
      <c r="G64" s="425">
        <f t="shared" si="6"/>
        <v>0</v>
      </c>
      <c r="H64" s="432">
        <f t="shared" si="6"/>
        <v>1502518</v>
      </c>
      <c r="I64" s="432">
        <f t="shared" si="6"/>
        <v>0</v>
      </c>
      <c r="J64" s="432">
        <f t="shared" si="6"/>
        <v>0</v>
      </c>
      <c r="K64" s="432">
        <f t="shared" si="6"/>
        <v>1502518</v>
      </c>
    </row>
    <row r="65" spans="1:11" ht="18" customHeight="1">
      <c r="F65" s="424"/>
      <c r="G65" s="424"/>
      <c r="H65" s="424"/>
      <c r="I65" s="424"/>
      <c r="J65" s="424"/>
      <c r="K65" s="424"/>
    </row>
    <row r="66" spans="1:11" ht="42.75" customHeight="1">
      <c r="F66" s="469" t="s">
        <v>9</v>
      </c>
      <c r="G66" s="469" t="s">
        <v>37</v>
      </c>
      <c r="H66" s="469" t="s">
        <v>29</v>
      </c>
      <c r="I66" s="469" t="s">
        <v>30</v>
      </c>
      <c r="J66" s="469" t="s">
        <v>33</v>
      </c>
      <c r="K66" s="469" t="s">
        <v>34</v>
      </c>
    </row>
    <row r="67" spans="1:11" ht="18" customHeight="1">
      <c r="A67" s="422" t="s">
        <v>102</v>
      </c>
      <c r="B67" s="419" t="s">
        <v>12</v>
      </c>
      <c r="F67" s="468"/>
      <c r="G67" s="468"/>
      <c r="H67" s="468"/>
      <c r="I67" s="457"/>
      <c r="J67" s="468"/>
      <c r="K67" s="455"/>
    </row>
    <row r="68" spans="1:11" ht="18" customHeight="1">
      <c r="A68" s="427" t="s">
        <v>103</v>
      </c>
      <c r="B68" s="418" t="s">
        <v>52</v>
      </c>
      <c r="F68" s="452"/>
      <c r="G68" s="452"/>
      <c r="H68" s="452"/>
      <c r="I68" s="434">
        <v>0</v>
      </c>
      <c r="J68" s="452"/>
      <c r="K68" s="432">
        <f>(H68+I68)-J68</f>
        <v>0</v>
      </c>
    </row>
    <row r="69" spans="1:11" ht="18" customHeight="1">
      <c r="A69" s="427" t="s">
        <v>104</v>
      </c>
      <c r="B69" s="439" t="s">
        <v>53</v>
      </c>
      <c r="F69" s="452"/>
      <c r="G69" s="452"/>
      <c r="H69" s="452"/>
      <c r="I69" s="434">
        <v>0</v>
      </c>
      <c r="J69" s="452"/>
      <c r="K69" s="432">
        <f>(H69+I69)-J69</f>
        <v>0</v>
      </c>
    </row>
    <row r="70" spans="1:11" ht="18" customHeight="1">
      <c r="A70" s="427" t="s">
        <v>178</v>
      </c>
      <c r="B70" s="466" t="s">
        <v>510</v>
      </c>
      <c r="C70" s="465"/>
      <c r="D70" s="464"/>
      <c r="E70" s="419"/>
      <c r="F70" s="463">
        <v>2066</v>
      </c>
      <c r="G70" s="463"/>
      <c r="H70" s="462">
        <v>97043</v>
      </c>
      <c r="I70" s="434">
        <v>74626</v>
      </c>
      <c r="J70" s="462"/>
      <c r="K70" s="432">
        <f>(H70+I70)-J70</f>
        <v>171669</v>
      </c>
    </row>
    <row r="71" spans="1:11" ht="18" customHeight="1">
      <c r="A71" s="427" t="s">
        <v>179</v>
      </c>
      <c r="B71" s="466"/>
      <c r="C71" s="465"/>
      <c r="D71" s="464"/>
      <c r="E71" s="419"/>
      <c r="F71" s="463"/>
      <c r="G71" s="463"/>
      <c r="H71" s="462"/>
      <c r="I71" s="434">
        <v>0</v>
      </c>
      <c r="J71" s="462"/>
      <c r="K71" s="432">
        <f>(H71+I71)-J71</f>
        <v>0</v>
      </c>
    </row>
    <row r="72" spans="1:11" ht="18" customHeight="1">
      <c r="A72" s="427" t="s">
        <v>180</v>
      </c>
      <c r="B72" s="461"/>
      <c r="C72" s="460"/>
      <c r="D72" s="459"/>
      <c r="E72" s="419"/>
      <c r="F72" s="435"/>
      <c r="G72" s="435"/>
      <c r="H72" s="433"/>
      <c r="I72" s="434">
        <v>0</v>
      </c>
      <c r="J72" s="433"/>
      <c r="K72" s="432">
        <f>(H72+I72)-J72</f>
        <v>0</v>
      </c>
    </row>
    <row r="73" spans="1:11" ht="18" customHeight="1">
      <c r="A73" s="427"/>
      <c r="B73" s="439"/>
      <c r="E73" s="419"/>
      <c r="F73" s="458"/>
      <c r="G73" s="458"/>
      <c r="H73" s="456"/>
      <c r="I73" s="457"/>
      <c r="J73" s="456"/>
      <c r="K73" s="455"/>
    </row>
    <row r="74" spans="1:11" ht="18" customHeight="1">
      <c r="A74" s="422" t="s">
        <v>146</v>
      </c>
      <c r="B74" s="419" t="s">
        <v>147</v>
      </c>
      <c r="E74" s="419" t="s">
        <v>7</v>
      </c>
      <c r="F74" s="450">
        <f t="shared" ref="F74:K74" si="7">SUM(F68:F72)</f>
        <v>2066</v>
      </c>
      <c r="G74" s="450">
        <f t="shared" si="7"/>
        <v>0</v>
      </c>
      <c r="H74" s="567">
        <f t="shared" si="7"/>
        <v>97043</v>
      </c>
      <c r="I74" s="454">
        <f t="shared" si="7"/>
        <v>74626</v>
      </c>
      <c r="J74" s="450">
        <f t="shared" si="7"/>
        <v>0</v>
      </c>
      <c r="K74" s="438">
        <f t="shared" si="7"/>
        <v>171669</v>
      </c>
    </row>
    <row r="75" spans="1:11" ht="42.75" customHeight="1">
      <c r="F75" s="431" t="s">
        <v>9</v>
      </c>
      <c r="G75" s="431" t="s">
        <v>37</v>
      </c>
      <c r="H75" s="431" t="s">
        <v>29</v>
      </c>
      <c r="I75" s="431" t="s">
        <v>30</v>
      </c>
      <c r="J75" s="431" t="s">
        <v>33</v>
      </c>
      <c r="K75" s="431" t="s">
        <v>34</v>
      </c>
    </row>
    <row r="76" spans="1:11" ht="18" customHeight="1">
      <c r="A76" s="422" t="s">
        <v>105</v>
      </c>
      <c r="B76" s="419" t="s">
        <v>106</v>
      </c>
    </row>
    <row r="77" spans="1:11" ht="18" customHeight="1">
      <c r="A77" s="427" t="s">
        <v>107</v>
      </c>
      <c r="B77" s="439" t="s">
        <v>54</v>
      </c>
      <c r="F77" s="435">
        <v>12</v>
      </c>
      <c r="G77" s="435">
        <v>250</v>
      </c>
      <c r="H77" s="433">
        <v>73952</v>
      </c>
      <c r="I77" s="434">
        <v>0</v>
      </c>
      <c r="J77" s="433"/>
      <c r="K77" s="432">
        <f>(H77+I77)-J77</f>
        <v>73952</v>
      </c>
    </row>
    <row r="78" spans="1:11" ht="18" customHeight="1">
      <c r="A78" s="427" t="s">
        <v>108</v>
      </c>
      <c r="B78" s="439" t="s">
        <v>55</v>
      </c>
      <c r="F78" s="435"/>
      <c r="G78" s="435"/>
      <c r="H78" s="433"/>
      <c r="I78" s="434">
        <v>0</v>
      </c>
      <c r="J78" s="433"/>
      <c r="K78" s="432">
        <f>(H78+I78)-J78</f>
        <v>0</v>
      </c>
    </row>
    <row r="79" spans="1:11" ht="18" customHeight="1">
      <c r="A79" s="427" t="s">
        <v>109</v>
      </c>
      <c r="B79" s="439" t="s">
        <v>13</v>
      </c>
      <c r="F79" s="435">
        <v>90</v>
      </c>
      <c r="G79" s="435">
        <v>80</v>
      </c>
      <c r="H79" s="433">
        <v>19288</v>
      </c>
      <c r="I79" s="434">
        <v>0</v>
      </c>
      <c r="J79" s="433"/>
      <c r="K79" s="432">
        <f>(H79+I79)-J79</f>
        <v>19288</v>
      </c>
    </row>
    <row r="80" spans="1:11" ht="18" customHeight="1">
      <c r="A80" s="427" t="s">
        <v>110</v>
      </c>
      <c r="B80" s="439" t="s">
        <v>56</v>
      </c>
      <c r="F80" s="435"/>
      <c r="G80" s="435"/>
      <c r="H80" s="433"/>
      <c r="I80" s="434">
        <v>0</v>
      </c>
      <c r="J80" s="433"/>
      <c r="K80" s="432">
        <f>(H80+I80)-J80</f>
        <v>0</v>
      </c>
    </row>
    <row r="81" spans="1:11" ht="18" customHeight="1">
      <c r="A81" s="427"/>
      <c r="K81" s="451"/>
    </row>
    <row r="82" spans="1:11" ht="18" customHeight="1">
      <c r="A82" s="427" t="s">
        <v>148</v>
      </c>
      <c r="B82" s="419" t="s">
        <v>149</v>
      </c>
      <c r="E82" s="419" t="s">
        <v>7</v>
      </c>
      <c r="F82" s="450">
        <f t="shared" ref="F82:K82" si="8">SUM(F77:F80)</f>
        <v>102</v>
      </c>
      <c r="G82" s="450">
        <f t="shared" si="8"/>
        <v>330</v>
      </c>
      <c r="H82" s="438">
        <f t="shared" si="8"/>
        <v>93240</v>
      </c>
      <c r="I82" s="438">
        <f t="shared" si="8"/>
        <v>0</v>
      </c>
      <c r="J82" s="438">
        <f t="shared" si="8"/>
        <v>0</v>
      </c>
      <c r="K82" s="438">
        <f t="shared" si="8"/>
        <v>93240</v>
      </c>
    </row>
    <row r="83" spans="1:11" ht="18" customHeight="1" thickBot="1">
      <c r="A83" s="427"/>
      <c r="F83" s="443"/>
      <c r="G83" s="443"/>
      <c r="H83" s="443"/>
      <c r="I83" s="443"/>
      <c r="J83" s="443"/>
      <c r="K83" s="443"/>
    </row>
    <row r="84" spans="1:11" ht="42.75" customHeight="1">
      <c r="F84" s="431" t="s">
        <v>9</v>
      </c>
      <c r="G84" s="431" t="s">
        <v>37</v>
      </c>
      <c r="H84" s="431" t="s">
        <v>29</v>
      </c>
      <c r="I84" s="431" t="s">
        <v>30</v>
      </c>
      <c r="J84" s="431" t="s">
        <v>33</v>
      </c>
      <c r="K84" s="431" t="s">
        <v>34</v>
      </c>
    </row>
    <row r="85" spans="1:11" ht="18" customHeight="1">
      <c r="A85" s="422" t="s">
        <v>111</v>
      </c>
      <c r="B85" s="419" t="s">
        <v>57</v>
      </c>
    </row>
    <row r="86" spans="1:11" ht="18" customHeight="1">
      <c r="A86" s="427" t="s">
        <v>112</v>
      </c>
      <c r="B86" s="439" t="s">
        <v>113</v>
      </c>
      <c r="F86" s="435"/>
      <c r="G86" s="435"/>
      <c r="H86" s="433"/>
      <c r="I86" s="434">
        <f t="shared" ref="I86:I96" si="9">H86*F$114</f>
        <v>0</v>
      </c>
      <c r="J86" s="433"/>
      <c r="K86" s="432">
        <f t="shared" ref="K86:K96" si="10">(H86+I86)-J86</f>
        <v>0</v>
      </c>
    </row>
    <row r="87" spans="1:11" ht="18" customHeight="1">
      <c r="A87" s="427" t="s">
        <v>114</v>
      </c>
      <c r="B87" s="439" t="s">
        <v>14</v>
      </c>
      <c r="F87" s="435"/>
      <c r="G87" s="435"/>
      <c r="H87" s="433"/>
      <c r="I87" s="434">
        <f t="shared" si="9"/>
        <v>0</v>
      </c>
      <c r="J87" s="433"/>
      <c r="K87" s="432">
        <f t="shared" si="10"/>
        <v>0</v>
      </c>
    </row>
    <row r="88" spans="1:11" ht="18" customHeight="1">
      <c r="A88" s="427" t="s">
        <v>115</v>
      </c>
      <c r="B88" s="439" t="s">
        <v>116</v>
      </c>
      <c r="F88" s="435">
        <v>986</v>
      </c>
      <c r="G88" s="435"/>
      <c r="H88" s="433">
        <v>41504</v>
      </c>
      <c r="I88" s="434">
        <v>31916</v>
      </c>
      <c r="J88" s="433"/>
      <c r="K88" s="432">
        <f t="shared" si="10"/>
        <v>73420</v>
      </c>
    </row>
    <row r="89" spans="1:11" ht="18" customHeight="1">
      <c r="A89" s="427" t="s">
        <v>117</v>
      </c>
      <c r="B89" s="439" t="s">
        <v>58</v>
      </c>
      <c r="F89" s="435"/>
      <c r="G89" s="435"/>
      <c r="H89" s="433"/>
      <c r="I89" s="434">
        <f t="shared" si="9"/>
        <v>0</v>
      </c>
      <c r="J89" s="433"/>
      <c r="K89" s="432">
        <f t="shared" si="10"/>
        <v>0</v>
      </c>
    </row>
    <row r="90" spans="1:11" ht="18" customHeight="1">
      <c r="A90" s="427" t="s">
        <v>118</v>
      </c>
      <c r="B90" s="987" t="s">
        <v>59</v>
      </c>
      <c r="C90" s="1019"/>
      <c r="F90" s="435"/>
      <c r="G90" s="435"/>
      <c r="H90" s="433"/>
      <c r="I90" s="434">
        <f t="shared" si="9"/>
        <v>0</v>
      </c>
      <c r="J90" s="433"/>
      <c r="K90" s="432">
        <f t="shared" si="10"/>
        <v>0</v>
      </c>
    </row>
    <row r="91" spans="1:11" ht="18" customHeight="1">
      <c r="A91" s="427" t="s">
        <v>119</v>
      </c>
      <c r="B91" s="439" t="s">
        <v>60</v>
      </c>
      <c r="F91" s="435">
        <v>100</v>
      </c>
      <c r="G91" s="435"/>
      <c r="H91" s="433">
        <v>3462</v>
      </c>
      <c r="I91" s="434">
        <v>0</v>
      </c>
      <c r="J91" s="433"/>
      <c r="K91" s="432">
        <f t="shared" si="10"/>
        <v>3462</v>
      </c>
    </row>
    <row r="92" spans="1:11" ht="18" customHeight="1">
      <c r="A92" s="427" t="s">
        <v>120</v>
      </c>
      <c r="B92" s="439" t="s">
        <v>121</v>
      </c>
      <c r="F92" s="449"/>
      <c r="G92" s="449"/>
      <c r="H92" s="448">
        <v>29317</v>
      </c>
      <c r="I92" s="434">
        <v>0</v>
      </c>
      <c r="J92" s="448"/>
      <c r="K92" s="432">
        <f t="shared" si="10"/>
        <v>29317</v>
      </c>
    </row>
    <row r="93" spans="1:11" ht="18" customHeight="1">
      <c r="A93" s="427" t="s">
        <v>122</v>
      </c>
      <c r="B93" s="439" t="s">
        <v>123</v>
      </c>
      <c r="F93" s="435"/>
      <c r="G93" s="435"/>
      <c r="H93" s="433"/>
      <c r="I93" s="434">
        <f t="shared" si="9"/>
        <v>0</v>
      </c>
      <c r="J93" s="433"/>
      <c r="K93" s="432">
        <f t="shared" si="10"/>
        <v>0</v>
      </c>
    </row>
    <row r="94" spans="1:11" ht="18" customHeight="1">
      <c r="A94" s="427" t="s">
        <v>124</v>
      </c>
      <c r="B94" s="1013"/>
      <c r="C94" s="1014"/>
      <c r="D94" s="1015"/>
      <c r="F94" s="435"/>
      <c r="G94" s="435"/>
      <c r="H94" s="433"/>
      <c r="I94" s="434">
        <f t="shared" si="9"/>
        <v>0</v>
      </c>
      <c r="J94" s="433"/>
      <c r="K94" s="432">
        <f t="shared" si="10"/>
        <v>0</v>
      </c>
    </row>
    <row r="95" spans="1:11" ht="18" customHeight="1">
      <c r="A95" s="427" t="s">
        <v>125</v>
      </c>
      <c r="B95" s="1013"/>
      <c r="C95" s="1014"/>
      <c r="D95" s="1015"/>
      <c r="F95" s="435"/>
      <c r="G95" s="435"/>
      <c r="H95" s="433"/>
      <c r="I95" s="434">
        <f t="shared" si="9"/>
        <v>0</v>
      </c>
      <c r="J95" s="433"/>
      <c r="K95" s="432">
        <f t="shared" si="10"/>
        <v>0</v>
      </c>
    </row>
    <row r="96" spans="1:11" ht="18" customHeight="1">
      <c r="A96" s="427" t="s">
        <v>126</v>
      </c>
      <c r="B96" s="1013"/>
      <c r="C96" s="1014"/>
      <c r="D96" s="1015"/>
      <c r="F96" s="435"/>
      <c r="G96" s="435"/>
      <c r="H96" s="433"/>
      <c r="I96" s="434">
        <f t="shared" si="9"/>
        <v>0</v>
      </c>
      <c r="J96" s="433"/>
      <c r="K96" s="432">
        <f t="shared" si="10"/>
        <v>0</v>
      </c>
    </row>
    <row r="97" spans="1:11" ht="18" customHeight="1">
      <c r="A97" s="427"/>
      <c r="B97" s="439"/>
    </row>
    <row r="98" spans="1:11" ht="18" customHeight="1">
      <c r="A98" s="422" t="s">
        <v>150</v>
      </c>
      <c r="B98" s="419" t="s">
        <v>151</v>
      </c>
      <c r="E98" s="419" t="s">
        <v>7</v>
      </c>
      <c r="F98" s="425">
        <f t="shared" ref="F98:K98" si="11">SUM(F86:F96)</f>
        <v>1086</v>
      </c>
      <c r="G98" s="425">
        <f t="shared" si="11"/>
        <v>0</v>
      </c>
      <c r="H98" s="425">
        <f t="shared" si="11"/>
        <v>74283</v>
      </c>
      <c r="I98" s="425">
        <f t="shared" si="11"/>
        <v>31916</v>
      </c>
      <c r="J98" s="425">
        <f t="shared" si="11"/>
        <v>0</v>
      </c>
      <c r="K98" s="425">
        <f t="shared" si="11"/>
        <v>106199</v>
      </c>
    </row>
    <row r="99" spans="1:11" ht="18" customHeight="1" thickBot="1">
      <c r="B99" s="419"/>
      <c r="F99" s="443"/>
      <c r="G99" s="443"/>
      <c r="H99" s="443"/>
      <c r="I99" s="443"/>
      <c r="J99" s="443"/>
      <c r="K99" s="443"/>
    </row>
    <row r="100" spans="1:11" ht="42.75" customHeight="1">
      <c r="F100" s="431" t="s">
        <v>9</v>
      </c>
      <c r="G100" s="431" t="s">
        <v>37</v>
      </c>
      <c r="H100" s="431" t="s">
        <v>29</v>
      </c>
      <c r="I100" s="431" t="s">
        <v>30</v>
      </c>
      <c r="J100" s="431" t="s">
        <v>33</v>
      </c>
      <c r="K100" s="431" t="s">
        <v>34</v>
      </c>
    </row>
    <row r="101" spans="1:11" ht="18" customHeight="1">
      <c r="A101" s="422" t="s">
        <v>130</v>
      </c>
      <c r="B101" s="419" t="s">
        <v>63</v>
      </c>
    </row>
    <row r="102" spans="1:11" ht="18" customHeight="1">
      <c r="A102" s="427" t="s">
        <v>131</v>
      </c>
      <c r="B102" s="439" t="s">
        <v>152</v>
      </c>
      <c r="F102" s="435"/>
      <c r="G102" s="435"/>
      <c r="H102" s="433">
        <v>59495</v>
      </c>
      <c r="I102" s="434">
        <v>45752</v>
      </c>
      <c r="J102" s="433"/>
      <c r="K102" s="432">
        <f>(H102+I102)-J102</f>
        <v>105247</v>
      </c>
    </row>
    <row r="103" spans="1:11" ht="18" customHeight="1">
      <c r="A103" s="427" t="s">
        <v>132</v>
      </c>
      <c r="B103" s="987" t="s">
        <v>62</v>
      </c>
      <c r="C103" s="987"/>
      <c r="F103" s="435">
        <v>200</v>
      </c>
      <c r="G103" s="435"/>
      <c r="H103" s="433">
        <v>31925</v>
      </c>
      <c r="I103" s="434">
        <v>0</v>
      </c>
      <c r="J103" s="433"/>
      <c r="K103" s="432">
        <f>(H103+I103)-J103</f>
        <v>31925</v>
      </c>
    </row>
    <row r="104" spans="1:11" ht="18" customHeight="1">
      <c r="A104" s="427" t="s">
        <v>128</v>
      </c>
      <c r="B104" s="1013"/>
      <c r="C104" s="1014"/>
      <c r="D104" s="1015"/>
      <c r="F104" s="435"/>
      <c r="G104" s="435"/>
      <c r="H104" s="433"/>
      <c r="I104" s="434">
        <f>H104*F$114</f>
        <v>0</v>
      </c>
      <c r="J104" s="433"/>
      <c r="K104" s="432">
        <f>(H104+I104)-J104</f>
        <v>0</v>
      </c>
    </row>
    <row r="105" spans="1:11" ht="18" customHeight="1">
      <c r="A105" s="427" t="s">
        <v>127</v>
      </c>
      <c r="B105" s="1013"/>
      <c r="C105" s="1014"/>
      <c r="D105" s="1015"/>
      <c r="F105" s="435"/>
      <c r="G105" s="435"/>
      <c r="H105" s="433"/>
      <c r="I105" s="434">
        <f>H105*F$114</f>
        <v>0</v>
      </c>
      <c r="J105" s="433"/>
      <c r="K105" s="432">
        <f>(H105+I105)-J105</f>
        <v>0</v>
      </c>
    </row>
    <row r="106" spans="1:11" ht="18" customHeight="1">
      <c r="A106" s="427" t="s">
        <v>129</v>
      </c>
      <c r="B106" s="1013"/>
      <c r="C106" s="1014"/>
      <c r="D106" s="1015"/>
      <c r="F106" s="435"/>
      <c r="G106" s="435"/>
      <c r="H106" s="433"/>
      <c r="I106" s="434">
        <f>H106*F$114</f>
        <v>0</v>
      </c>
      <c r="J106" s="433"/>
      <c r="K106" s="432">
        <f>(H106+I106)-J106</f>
        <v>0</v>
      </c>
    </row>
    <row r="107" spans="1:11" ht="18" customHeight="1">
      <c r="B107" s="419"/>
    </row>
    <row r="108" spans="1:11" s="442" customFormat="1" ht="18" customHeight="1">
      <c r="A108" s="422" t="s">
        <v>153</v>
      </c>
      <c r="B108" s="447" t="s">
        <v>154</v>
      </c>
      <c r="C108" s="418"/>
      <c r="D108" s="418"/>
      <c r="E108" s="419" t="s">
        <v>7</v>
      </c>
      <c r="F108" s="425">
        <f t="shared" ref="F108:K108" si="12">SUM(F102:F106)</f>
        <v>200</v>
      </c>
      <c r="G108" s="425">
        <f t="shared" si="12"/>
        <v>0</v>
      </c>
      <c r="H108" s="432">
        <f t="shared" si="12"/>
        <v>91420</v>
      </c>
      <c r="I108" s="432">
        <f t="shared" si="12"/>
        <v>45752</v>
      </c>
      <c r="J108" s="432">
        <f t="shared" si="12"/>
        <v>0</v>
      </c>
      <c r="K108" s="432">
        <f t="shared" si="12"/>
        <v>137172</v>
      </c>
    </row>
    <row r="109" spans="1:11" s="442" customFormat="1" ht="18" customHeight="1" thickBot="1">
      <c r="A109" s="446"/>
      <c r="B109" s="445"/>
      <c r="C109" s="444"/>
      <c r="D109" s="444"/>
      <c r="E109" s="444"/>
      <c r="F109" s="443"/>
      <c r="G109" s="443"/>
      <c r="H109" s="443"/>
      <c r="I109" s="443"/>
      <c r="J109" s="443"/>
      <c r="K109" s="443"/>
    </row>
    <row r="110" spans="1:11" s="442" customFormat="1" ht="18" customHeight="1">
      <c r="A110" s="422" t="s">
        <v>156</v>
      </c>
      <c r="B110" s="419" t="s">
        <v>39</v>
      </c>
      <c r="C110" s="418"/>
      <c r="D110" s="418"/>
      <c r="E110" s="418"/>
      <c r="F110" s="418"/>
      <c r="G110" s="418"/>
      <c r="H110" s="418"/>
      <c r="I110" s="418"/>
      <c r="J110" s="418"/>
      <c r="K110" s="418"/>
    </row>
    <row r="111" spans="1:11" ht="18" customHeight="1">
      <c r="A111" s="422" t="s">
        <v>155</v>
      </c>
      <c r="B111" s="419" t="s">
        <v>164</v>
      </c>
      <c r="E111" s="419" t="s">
        <v>7</v>
      </c>
      <c r="F111" s="433">
        <v>3172151</v>
      </c>
    </row>
    <row r="112" spans="1:11" ht="18" customHeight="1">
      <c r="B112" s="419"/>
      <c r="E112" s="419"/>
      <c r="F112" s="441"/>
    </row>
    <row r="113" spans="1:6" ht="15">
      <c r="A113" s="422"/>
      <c r="B113" s="419" t="s">
        <v>15</v>
      </c>
    </row>
    <row r="114" spans="1:6" ht="15">
      <c r="A114" s="427" t="s">
        <v>171</v>
      </c>
      <c r="B114" s="439" t="s">
        <v>35</v>
      </c>
      <c r="F114" s="440">
        <v>0.76859999999999995</v>
      </c>
    </row>
    <row r="115" spans="1:6" ht="15">
      <c r="A115" s="427"/>
      <c r="B115" s="419"/>
    </row>
    <row r="116" spans="1:6" ht="15">
      <c r="A116" s="427" t="s">
        <v>170</v>
      </c>
      <c r="B116" s="419" t="s">
        <v>16</v>
      </c>
    </row>
    <row r="117" spans="1:6" ht="15">
      <c r="A117" s="427" t="s">
        <v>172</v>
      </c>
      <c r="B117" s="439" t="s">
        <v>17</v>
      </c>
      <c r="F117" s="433">
        <v>151815179</v>
      </c>
    </row>
    <row r="118" spans="1:6" ht="15">
      <c r="A118" s="427" t="s">
        <v>173</v>
      </c>
      <c r="B118" s="418" t="s">
        <v>18</v>
      </c>
      <c r="F118" s="433">
        <v>3259963</v>
      </c>
    </row>
    <row r="119" spans="1:6" ht="15">
      <c r="A119" s="427" t="s">
        <v>174</v>
      </c>
      <c r="B119" s="419" t="s">
        <v>19</v>
      </c>
      <c r="F119" s="438">
        <f>SUM(F117:F118)</f>
        <v>155075142</v>
      </c>
    </row>
    <row r="120" spans="1:6" ht="15">
      <c r="A120" s="427"/>
      <c r="B120" s="419"/>
    </row>
    <row r="121" spans="1:6" ht="15">
      <c r="A121" s="427" t="s">
        <v>167</v>
      </c>
      <c r="B121" s="419" t="s">
        <v>36</v>
      </c>
      <c r="F121" s="433">
        <v>148463817</v>
      </c>
    </row>
    <row r="122" spans="1:6" ht="15">
      <c r="A122" s="427"/>
    </row>
    <row r="123" spans="1:6" ht="15">
      <c r="A123" s="427" t="s">
        <v>175</v>
      </c>
      <c r="B123" s="419" t="s">
        <v>20</v>
      </c>
      <c r="F123" s="433">
        <f>+F119-F121</f>
        <v>6611325</v>
      </c>
    </row>
    <row r="124" spans="1:6" ht="15">
      <c r="A124" s="427"/>
    </row>
    <row r="125" spans="1:6" ht="15">
      <c r="A125" s="427" t="s">
        <v>176</v>
      </c>
      <c r="B125" s="419" t="s">
        <v>21</v>
      </c>
      <c r="F125" s="433">
        <v>7758</v>
      </c>
    </row>
    <row r="126" spans="1:6" ht="15">
      <c r="A126" s="427"/>
    </row>
    <row r="127" spans="1:6" ht="15">
      <c r="A127" s="427" t="s">
        <v>177</v>
      </c>
      <c r="B127" s="419" t="s">
        <v>22</v>
      </c>
      <c r="F127" s="433">
        <v>6619082</v>
      </c>
    </row>
    <row r="128" spans="1:6" ht="15">
      <c r="A128" s="427"/>
    </row>
    <row r="129" spans="1:11" ht="42.75" customHeight="1">
      <c r="F129" s="431" t="s">
        <v>9</v>
      </c>
      <c r="G129" s="431" t="s">
        <v>37</v>
      </c>
      <c r="H129" s="431" t="s">
        <v>29</v>
      </c>
      <c r="I129" s="431" t="s">
        <v>30</v>
      </c>
      <c r="J129" s="431" t="s">
        <v>33</v>
      </c>
      <c r="K129" s="431" t="s">
        <v>34</v>
      </c>
    </row>
    <row r="130" spans="1:11" ht="18" customHeight="1">
      <c r="A130" s="422" t="s">
        <v>157</v>
      </c>
      <c r="B130" s="419" t="s">
        <v>23</v>
      </c>
    </row>
    <row r="131" spans="1:11" ht="18" customHeight="1">
      <c r="A131" s="427" t="s">
        <v>158</v>
      </c>
      <c r="B131" s="418" t="s">
        <v>24</v>
      </c>
      <c r="F131" s="435"/>
      <c r="G131" s="435"/>
      <c r="H131" s="433"/>
      <c r="I131" s="434">
        <v>0</v>
      </c>
      <c r="J131" s="433"/>
      <c r="K131" s="432">
        <f>(H131+I131)-J131</f>
        <v>0</v>
      </c>
    </row>
    <row r="132" spans="1:11" ht="18" customHeight="1">
      <c r="A132" s="427" t="s">
        <v>159</v>
      </c>
      <c r="B132" s="418" t="s">
        <v>25</v>
      </c>
      <c r="F132" s="435"/>
      <c r="G132" s="435"/>
      <c r="H132" s="433"/>
      <c r="I132" s="434">
        <v>0</v>
      </c>
      <c r="J132" s="433"/>
      <c r="K132" s="432">
        <f>(H132+I132)-J132</f>
        <v>0</v>
      </c>
    </row>
    <row r="133" spans="1:11" ht="18" customHeight="1">
      <c r="A133" s="427" t="s">
        <v>160</v>
      </c>
      <c r="B133" s="1016"/>
      <c r="C133" s="1017"/>
      <c r="D133" s="1018"/>
      <c r="F133" s="435"/>
      <c r="G133" s="435"/>
      <c r="H133" s="433"/>
      <c r="I133" s="434">
        <v>0</v>
      </c>
      <c r="J133" s="433"/>
      <c r="K133" s="432">
        <f>(H133+I133)-J133</f>
        <v>0</v>
      </c>
    </row>
    <row r="134" spans="1:11" ht="18" customHeight="1">
      <c r="A134" s="427" t="s">
        <v>161</v>
      </c>
      <c r="B134" s="1016"/>
      <c r="C134" s="1017"/>
      <c r="D134" s="1018"/>
      <c r="F134" s="435"/>
      <c r="G134" s="435"/>
      <c r="H134" s="433"/>
      <c r="I134" s="434">
        <v>0</v>
      </c>
      <c r="J134" s="433"/>
      <c r="K134" s="432">
        <f>(H134+I134)-J134</f>
        <v>0</v>
      </c>
    </row>
    <row r="135" spans="1:11" ht="18" customHeight="1">
      <c r="A135" s="427" t="s">
        <v>162</v>
      </c>
      <c r="B135" s="1016"/>
      <c r="C135" s="1017"/>
      <c r="D135" s="1018"/>
      <c r="F135" s="435"/>
      <c r="G135" s="435"/>
      <c r="H135" s="433"/>
      <c r="I135" s="434">
        <v>0</v>
      </c>
      <c r="J135" s="433"/>
      <c r="K135" s="432">
        <f>(H135+I135)-J135</f>
        <v>0</v>
      </c>
    </row>
    <row r="136" spans="1:11" ht="18" customHeight="1">
      <c r="A136" s="422"/>
    </row>
    <row r="137" spans="1:11" ht="18" customHeight="1">
      <c r="A137" s="422" t="s">
        <v>163</v>
      </c>
      <c r="B137" s="419" t="s">
        <v>27</v>
      </c>
      <c r="F137" s="425">
        <f t="shared" ref="F137:K137" si="13">SUM(F131:F135)</f>
        <v>0</v>
      </c>
      <c r="G137" s="425">
        <f t="shared" si="13"/>
        <v>0</v>
      </c>
      <c r="H137" s="432">
        <f t="shared" si="13"/>
        <v>0</v>
      </c>
      <c r="I137" s="432">
        <f t="shared" si="13"/>
        <v>0</v>
      </c>
      <c r="J137" s="432">
        <f t="shared" si="13"/>
        <v>0</v>
      </c>
      <c r="K137" s="432">
        <f t="shared" si="13"/>
        <v>0</v>
      </c>
    </row>
    <row r="138" spans="1:11" ht="18" customHeight="1">
      <c r="A138" s="418"/>
    </row>
    <row r="139" spans="1:11" ht="42.75" customHeight="1">
      <c r="F139" s="431" t="s">
        <v>9</v>
      </c>
      <c r="G139" s="431" t="s">
        <v>37</v>
      </c>
      <c r="H139" s="431" t="s">
        <v>29</v>
      </c>
      <c r="I139" s="431" t="s">
        <v>30</v>
      </c>
      <c r="J139" s="431" t="s">
        <v>33</v>
      </c>
      <c r="K139" s="431" t="s">
        <v>34</v>
      </c>
    </row>
    <row r="140" spans="1:11" ht="18" customHeight="1">
      <c r="A140" s="422" t="s">
        <v>166</v>
      </c>
      <c r="B140" s="419" t="s">
        <v>26</v>
      </c>
    </row>
    <row r="141" spans="1:11" ht="18" customHeight="1">
      <c r="A141" s="427" t="s">
        <v>137</v>
      </c>
      <c r="B141" s="419" t="s">
        <v>64</v>
      </c>
      <c r="F141" s="430">
        <f t="shared" ref="F141:K141" si="14">F36</f>
        <v>4509.5</v>
      </c>
      <c r="G141" s="430">
        <f t="shared" si="14"/>
        <v>7357</v>
      </c>
      <c r="H141" s="430">
        <f t="shared" si="14"/>
        <v>877416</v>
      </c>
      <c r="I141" s="430">
        <f t="shared" si="14"/>
        <v>483527</v>
      </c>
      <c r="J141" s="430">
        <f t="shared" si="14"/>
        <v>24435</v>
      </c>
      <c r="K141" s="430">
        <f t="shared" si="14"/>
        <v>1336508</v>
      </c>
    </row>
    <row r="142" spans="1:11" ht="18" customHeight="1">
      <c r="A142" s="427" t="s">
        <v>142</v>
      </c>
      <c r="B142" s="419" t="s">
        <v>65</v>
      </c>
      <c r="F142" s="430">
        <f t="shared" ref="F142:K142" si="15">F49</f>
        <v>747.8</v>
      </c>
      <c r="G142" s="430">
        <f t="shared" si="15"/>
        <v>1711</v>
      </c>
      <c r="H142" s="430">
        <f t="shared" si="15"/>
        <v>43745</v>
      </c>
      <c r="I142" s="430">
        <f t="shared" si="15"/>
        <v>33640</v>
      </c>
      <c r="J142" s="430">
        <f t="shared" si="15"/>
        <v>0</v>
      </c>
      <c r="K142" s="430">
        <f t="shared" si="15"/>
        <v>77385</v>
      </c>
    </row>
    <row r="143" spans="1:11" ht="18" customHeight="1">
      <c r="A143" s="427" t="s">
        <v>144</v>
      </c>
      <c r="B143" s="419" t="s">
        <v>66</v>
      </c>
      <c r="F143" s="430">
        <f t="shared" ref="F143:K143" si="16">F64</f>
        <v>0</v>
      </c>
      <c r="G143" s="430">
        <f t="shared" si="16"/>
        <v>0</v>
      </c>
      <c r="H143" s="430">
        <f t="shared" si="16"/>
        <v>1502518</v>
      </c>
      <c r="I143" s="430">
        <f t="shared" si="16"/>
        <v>0</v>
      </c>
      <c r="J143" s="430">
        <f t="shared" si="16"/>
        <v>0</v>
      </c>
      <c r="K143" s="430">
        <f t="shared" si="16"/>
        <v>1502518</v>
      </c>
    </row>
    <row r="144" spans="1:11" ht="18" customHeight="1">
      <c r="A144" s="427" t="s">
        <v>146</v>
      </c>
      <c r="B144" s="419" t="s">
        <v>67</v>
      </c>
      <c r="F144" s="430">
        <f t="shared" ref="F144:K144" si="17">F74</f>
        <v>2066</v>
      </c>
      <c r="G144" s="430">
        <f t="shared" si="17"/>
        <v>0</v>
      </c>
      <c r="H144" s="430">
        <f t="shared" si="17"/>
        <v>97043</v>
      </c>
      <c r="I144" s="430">
        <f t="shared" si="17"/>
        <v>74626</v>
      </c>
      <c r="J144" s="430">
        <f t="shared" si="17"/>
        <v>0</v>
      </c>
      <c r="K144" s="430">
        <f t="shared" si="17"/>
        <v>171669</v>
      </c>
    </row>
    <row r="145" spans="1:11" ht="18" customHeight="1">
      <c r="A145" s="427" t="s">
        <v>148</v>
      </c>
      <c r="B145" s="419" t="s">
        <v>68</v>
      </c>
      <c r="F145" s="430">
        <f t="shared" ref="F145:K145" si="18">F82</f>
        <v>102</v>
      </c>
      <c r="G145" s="430">
        <f t="shared" si="18"/>
        <v>330</v>
      </c>
      <c r="H145" s="430">
        <f t="shared" si="18"/>
        <v>93240</v>
      </c>
      <c r="I145" s="430">
        <f t="shared" si="18"/>
        <v>0</v>
      </c>
      <c r="J145" s="430">
        <f t="shared" si="18"/>
        <v>0</v>
      </c>
      <c r="K145" s="430">
        <f t="shared" si="18"/>
        <v>93240</v>
      </c>
    </row>
    <row r="146" spans="1:11" ht="18" customHeight="1">
      <c r="A146" s="427" t="s">
        <v>150</v>
      </c>
      <c r="B146" s="419" t="s">
        <v>69</v>
      </c>
      <c r="F146" s="430">
        <f t="shared" ref="F146:K146" si="19">F98</f>
        <v>1086</v>
      </c>
      <c r="G146" s="430">
        <f t="shared" si="19"/>
        <v>0</v>
      </c>
      <c r="H146" s="430">
        <f t="shared" si="19"/>
        <v>74283</v>
      </c>
      <c r="I146" s="430">
        <f t="shared" si="19"/>
        <v>31916</v>
      </c>
      <c r="J146" s="430">
        <f t="shared" si="19"/>
        <v>0</v>
      </c>
      <c r="K146" s="430">
        <f t="shared" si="19"/>
        <v>106199</v>
      </c>
    </row>
    <row r="147" spans="1:11" ht="18" customHeight="1">
      <c r="A147" s="427" t="s">
        <v>153</v>
      </c>
      <c r="B147" s="419" t="s">
        <v>61</v>
      </c>
      <c r="F147" s="425">
        <f t="shared" ref="F147:K147" si="20">F108</f>
        <v>200</v>
      </c>
      <c r="G147" s="425">
        <f t="shared" si="20"/>
        <v>0</v>
      </c>
      <c r="H147" s="425">
        <f t="shared" si="20"/>
        <v>91420</v>
      </c>
      <c r="I147" s="425">
        <f t="shared" si="20"/>
        <v>45752</v>
      </c>
      <c r="J147" s="425">
        <f t="shared" si="20"/>
        <v>0</v>
      </c>
      <c r="K147" s="425">
        <f t="shared" si="20"/>
        <v>137172</v>
      </c>
    </row>
    <row r="148" spans="1:11" ht="18" customHeight="1">
      <c r="A148" s="427" t="s">
        <v>155</v>
      </c>
      <c r="B148" s="419" t="s">
        <v>70</v>
      </c>
      <c r="F148" s="426" t="s">
        <v>73</v>
      </c>
      <c r="G148" s="426" t="s">
        <v>73</v>
      </c>
      <c r="H148" s="429" t="s">
        <v>73</v>
      </c>
      <c r="I148" s="429" t="s">
        <v>73</v>
      </c>
      <c r="J148" s="429" t="s">
        <v>73</v>
      </c>
      <c r="K148" s="428">
        <f>F111</f>
        <v>3172151</v>
      </c>
    </row>
    <row r="149" spans="1:11" ht="18" customHeight="1">
      <c r="A149" s="427" t="s">
        <v>163</v>
      </c>
      <c r="B149" s="419" t="s">
        <v>71</v>
      </c>
      <c r="F149" s="425">
        <f t="shared" ref="F149:K149" si="21">F137</f>
        <v>0</v>
      </c>
      <c r="G149" s="425">
        <f t="shared" si="21"/>
        <v>0</v>
      </c>
      <c r="H149" s="425">
        <f t="shared" si="21"/>
        <v>0</v>
      </c>
      <c r="I149" s="425">
        <f t="shared" si="21"/>
        <v>0</v>
      </c>
      <c r="J149" s="425">
        <f t="shared" si="21"/>
        <v>0</v>
      </c>
      <c r="K149" s="425">
        <f t="shared" si="21"/>
        <v>0</v>
      </c>
    </row>
    <row r="150" spans="1:11" ht="18" customHeight="1">
      <c r="A150" s="427" t="s">
        <v>185</v>
      </c>
      <c r="B150" s="419" t="s">
        <v>186</v>
      </c>
      <c r="F150" s="426" t="s">
        <v>73</v>
      </c>
      <c r="G150" s="426" t="s">
        <v>73</v>
      </c>
      <c r="H150" s="425">
        <f>H18</f>
        <v>4337670</v>
      </c>
      <c r="I150" s="425">
        <f>I18</f>
        <v>0</v>
      </c>
      <c r="J150" s="425">
        <f>J18</f>
        <v>3709250</v>
      </c>
      <c r="K150" s="425">
        <f>K18</f>
        <v>628420</v>
      </c>
    </row>
    <row r="151" spans="1:11" ht="18" customHeight="1">
      <c r="B151" s="419"/>
      <c r="F151" s="424"/>
      <c r="G151" s="424"/>
      <c r="H151" s="424"/>
      <c r="I151" s="424"/>
      <c r="J151" s="424"/>
      <c r="K151" s="424"/>
    </row>
    <row r="152" spans="1:11" ht="18" customHeight="1">
      <c r="A152" s="422" t="s">
        <v>165</v>
      </c>
      <c r="B152" s="419" t="s">
        <v>26</v>
      </c>
      <c r="F152" s="423">
        <f t="shared" ref="F152:K152" si="22">SUM(F141:F150)</f>
        <v>8711.2999999999993</v>
      </c>
      <c r="G152" s="423">
        <f t="shared" si="22"/>
        <v>9398</v>
      </c>
      <c r="H152" s="423">
        <f t="shared" si="22"/>
        <v>7117335</v>
      </c>
      <c r="I152" s="423">
        <f t="shared" si="22"/>
        <v>669461</v>
      </c>
      <c r="J152" s="423">
        <f t="shared" si="22"/>
        <v>3733685</v>
      </c>
      <c r="K152" s="423">
        <f t="shared" si="22"/>
        <v>7225262</v>
      </c>
    </row>
    <row r="154" spans="1:11" ht="18" customHeight="1">
      <c r="A154" s="422" t="s">
        <v>168</v>
      </c>
      <c r="B154" s="419" t="s">
        <v>28</v>
      </c>
      <c r="F154" s="421">
        <f>K152/F121</f>
        <v>4.8666820953417893E-2</v>
      </c>
      <c r="H154" s="568"/>
      <c r="J154" s="568"/>
    </row>
    <row r="155" spans="1:11" ht="18" customHeight="1">
      <c r="A155" s="422" t="s">
        <v>169</v>
      </c>
      <c r="B155" s="419" t="s">
        <v>72</v>
      </c>
      <c r="F155" s="421">
        <f>K152/F127</f>
        <v>1.0915806753867077</v>
      </c>
      <c r="G155" s="419"/>
      <c r="H155" s="568"/>
    </row>
    <row r="156" spans="1:11" ht="18" customHeight="1">
      <c r="G156" s="419"/>
    </row>
    <row r="158" spans="1:11" ht="18" customHeight="1">
      <c r="I158" s="568"/>
    </row>
  </sheetData>
  <mergeCells count="34">
    <mergeCell ref="B41:C41"/>
    <mergeCell ref="D2:H2"/>
    <mergeCell ref="C5:G5"/>
    <mergeCell ref="C6:G6"/>
    <mergeCell ref="C7:G7"/>
    <mergeCell ref="C9:G9"/>
    <mergeCell ref="C10:G10"/>
    <mergeCell ref="C11:G11"/>
    <mergeCell ref="B13:H13"/>
    <mergeCell ref="B30:D30"/>
    <mergeCell ref="B31:D31"/>
    <mergeCell ref="B34:D34"/>
    <mergeCell ref="B90:C90"/>
    <mergeCell ref="B44:D44"/>
    <mergeCell ref="B45:D45"/>
    <mergeCell ref="B46:D46"/>
    <mergeCell ref="B47:D47"/>
    <mergeCell ref="B52:C52"/>
    <mergeCell ref="B53:D53"/>
    <mergeCell ref="B55:D55"/>
    <mergeCell ref="B56:D56"/>
    <mergeCell ref="B57:D57"/>
    <mergeCell ref="B59:D59"/>
    <mergeCell ref="B62:D62"/>
    <mergeCell ref="B106:D106"/>
    <mergeCell ref="B133:D133"/>
    <mergeCell ref="B134:D134"/>
    <mergeCell ref="B135:D135"/>
    <mergeCell ref="B94:D94"/>
    <mergeCell ref="B95:D95"/>
    <mergeCell ref="B96:D96"/>
    <mergeCell ref="B103:C103"/>
    <mergeCell ref="B104:D104"/>
    <mergeCell ref="B105:D105"/>
  </mergeCells>
  <pageMargins left="0.7" right="0.7" top="0.75" bottom="0.75" header="0.3" footer="0.3"/>
  <pageSetup paperSize="5" scale="7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K156"/>
  <sheetViews>
    <sheetView showGridLines="0" topLeftCell="A6" zoomScaleNormal="100" zoomScaleSheetLayoutView="80" workbookViewId="0">
      <selection activeCell="K18" sqref="K18"/>
    </sheetView>
  </sheetViews>
  <sheetFormatPr defaultRowHeight="18" customHeight="1"/>
  <cols>
    <col min="1" max="1" width="8.28515625" style="146" customWidth="1"/>
    <col min="2" max="2" width="55.42578125" style="147" bestFit="1" customWidth="1"/>
    <col min="3" max="3" width="9.5703125" style="147" customWidth="1"/>
    <col min="4" max="4" width="9.140625" style="147"/>
    <col min="5" max="5" width="12.42578125" style="147" customWidth="1"/>
    <col min="6" max="6" width="18.5703125" style="147" customWidth="1"/>
    <col min="7" max="7" width="23.5703125" style="147" customWidth="1"/>
    <col min="8" max="8" width="17.140625" style="147" customWidth="1"/>
    <col min="9" max="9" width="21.140625" style="147" customWidth="1"/>
    <col min="10" max="10" width="19.85546875" style="147" customWidth="1"/>
    <col min="11" max="11" width="17.5703125" style="147" customWidth="1"/>
    <col min="12" max="16384" width="9.140625" style="147"/>
  </cols>
  <sheetData>
    <row r="1" spans="1:11" ht="18" customHeight="1">
      <c r="C1" s="148"/>
      <c r="D1" s="149"/>
      <c r="E1" s="148"/>
      <c r="F1" s="148"/>
      <c r="G1" s="148"/>
      <c r="H1" s="148"/>
      <c r="I1" s="148"/>
      <c r="J1" s="148"/>
      <c r="K1" s="148"/>
    </row>
    <row r="2" spans="1:11" ht="18" customHeight="1">
      <c r="D2" s="910" t="s">
        <v>713</v>
      </c>
      <c r="E2" s="911"/>
      <c r="F2" s="911"/>
      <c r="G2" s="911"/>
      <c r="H2" s="911"/>
    </row>
    <row r="3" spans="1:11" ht="18" customHeight="1">
      <c r="B3" s="150" t="s">
        <v>0</v>
      </c>
    </row>
    <row r="5" spans="1:11" ht="18" customHeight="1">
      <c r="B5" s="151" t="s">
        <v>40</v>
      </c>
      <c r="C5" s="912" t="s">
        <v>791</v>
      </c>
      <c r="D5" s="918"/>
      <c r="E5" s="918"/>
      <c r="F5" s="918"/>
      <c r="G5" s="919"/>
    </row>
    <row r="6" spans="1:11" ht="18" customHeight="1">
      <c r="B6" s="151" t="s">
        <v>3</v>
      </c>
      <c r="C6" s="929">
        <v>210019</v>
      </c>
      <c r="D6" s="921"/>
      <c r="E6" s="921"/>
      <c r="F6" s="921"/>
      <c r="G6" s="922"/>
    </row>
    <row r="7" spans="1:11" ht="18" customHeight="1">
      <c r="B7" s="151" t="s">
        <v>4</v>
      </c>
      <c r="C7" s="930">
        <v>2639</v>
      </c>
      <c r="D7" s="924"/>
      <c r="E7" s="924"/>
      <c r="F7" s="924"/>
      <c r="G7" s="925"/>
    </row>
    <row r="9" spans="1:11" ht="18" customHeight="1">
      <c r="B9" s="151" t="s">
        <v>1</v>
      </c>
      <c r="C9" s="912" t="s">
        <v>537</v>
      </c>
      <c r="D9" s="918"/>
      <c r="E9" s="918"/>
      <c r="F9" s="918"/>
      <c r="G9" s="919"/>
    </row>
    <row r="10" spans="1:11" ht="18" customHeight="1">
      <c r="B10" s="151" t="s">
        <v>2</v>
      </c>
      <c r="C10" s="926" t="s">
        <v>792</v>
      </c>
      <c r="D10" s="927"/>
      <c r="E10" s="927"/>
      <c r="F10" s="927"/>
      <c r="G10" s="928"/>
    </row>
    <row r="11" spans="1:11" ht="18" customHeight="1">
      <c r="B11" s="151" t="s">
        <v>32</v>
      </c>
      <c r="C11" s="912" t="s">
        <v>538</v>
      </c>
      <c r="D11" s="913"/>
      <c r="E11" s="913"/>
      <c r="F11" s="913"/>
      <c r="G11" s="913"/>
    </row>
    <row r="12" spans="1:11" ht="18" customHeight="1">
      <c r="B12" s="151"/>
      <c r="C12" s="151"/>
      <c r="D12" s="151"/>
      <c r="E12" s="151"/>
      <c r="F12" s="151"/>
      <c r="G12" s="151"/>
    </row>
    <row r="13" spans="1:11" ht="24.6" customHeight="1">
      <c r="B13" s="914"/>
      <c r="C13" s="915"/>
      <c r="D13" s="915"/>
      <c r="E13" s="915"/>
      <c r="F13" s="915"/>
      <c r="G13" s="915"/>
      <c r="H13" s="916"/>
      <c r="I13" s="148"/>
    </row>
    <row r="14" spans="1:11" ht="18" customHeight="1">
      <c r="B14" s="152"/>
    </row>
    <row r="15" spans="1:11" ht="18" customHeight="1">
      <c r="B15" s="152"/>
    </row>
    <row r="16" spans="1:11" ht="45" customHeight="1">
      <c r="A16" s="149" t="s">
        <v>181</v>
      </c>
      <c r="B16" s="148"/>
      <c r="C16" s="148"/>
      <c r="D16" s="148"/>
      <c r="E16" s="148"/>
      <c r="F16" s="153" t="s">
        <v>9</v>
      </c>
      <c r="G16" s="153" t="s">
        <v>37</v>
      </c>
      <c r="H16" s="153" t="s">
        <v>29</v>
      </c>
      <c r="I16" s="153" t="s">
        <v>30</v>
      </c>
      <c r="J16" s="153" t="s">
        <v>33</v>
      </c>
      <c r="K16" s="153" t="s">
        <v>34</v>
      </c>
    </row>
    <row r="17" spans="1:11" ht="18" customHeight="1">
      <c r="A17" s="154" t="s">
        <v>184</v>
      </c>
      <c r="B17" s="150" t="s">
        <v>182</v>
      </c>
    </row>
    <row r="18" spans="1:11" ht="18" customHeight="1">
      <c r="A18" s="151" t="s">
        <v>185</v>
      </c>
      <c r="B18" s="155" t="s">
        <v>183</v>
      </c>
      <c r="F18" s="156" t="s">
        <v>73</v>
      </c>
      <c r="G18" s="156" t="s">
        <v>73</v>
      </c>
      <c r="H18" s="157">
        <v>10335294</v>
      </c>
      <c r="I18" s="158">
        <v>0</v>
      </c>
      <c r="J18" s="157">
        <v>8837969</v>
      </c>
      <c r="K18" s="159">
        <f>(H18+I18)-J18</f>
        <v>1497325</v>
      </c>
    </row>
    <row r="19" spans="1:11" ht="45" customHeight="1">
      <c r="A19" s="149" t="s">
        <v>8</v>
      </c>
      <c r="B19" s="148"/>
      <c r="C19" s="148"/>
      <c r="D19" s="148"/>
      <c r="E19" s="148"/>
      <c r="F19" s="153" t="s">
        <v>9</v>
      </c>
      <c r="G19" s="153" t="s">
        <v>37</v>
      </c>
      <c r="H19" s="153" t="s">
        <v>29</v>
      </c>
      <c r="I19" s="153" t="s">
        <v>30</v>
      </c>
      <c r="J19" s="153" t="s">
        <v>33</v>
      </c>
      <c r="K19" s="153" t="s">
        <v>34</v>
      </c>
    </row>
    <row r="20" spans="1:11" ht="18" customHeight="1">
      <c r="A20" s="154" t="s">
        <v>74</v>
      </c>
      <c r="B20" s="150" t="s">
        <v>41</v>
      </c>
    </row>
    <row r="21" spans="1:11" ht="18" customHeight="1">
      <c r="A21" s="151" t="s">
        <v>75</v>
      </c>
      <c r="B21" s="155" t="s">
        <v>42</v>
      </c>
      <c r="F21" s="156">
        <v>923</v>
      </c>
      <c r="G21" s="156">
        <v>2068</v>
      </c>
      <c r="H21" s="157">
        <v>54651</v>
      </c>
      <c r="I21" s="158">
        <f t="shared" ref="I21:I34" si="0">H21*F$114</f>
        <v>28090.614000000001</v>
      </c>
      <c r="J21" s="157">
        <v>6710</v>
      </c>
      <c r="K21" s="159">
        <f t="shared" ref="K21:K34" si="1">(H21+I21)-J21</f>
        <v>76031.614000000001</v>
      </c>
    </row>
    <row r="22" spans="1:11" ht="18" customHeight="1">
      <c r="A22" s="151" t="s">
        <v>76</v>
      </c>
      <c r="B22" s="147" t="s">
        <v>6</v>
      </c>
      <c r="F22" s="156">
        <v>452</v>
      </c>
      <c r="G22" s="156">
        <v>1158</v>
      </c>
      <c r="H22" s="157">
        <v>22359</v>
      </c>
      <c r="I22" s="158">
        <f t="shared" si="0"/>
        <v>11492.526</v>
      </c>
      <c r="J22" s="157">
        <v>0</v>
      </c>
      <c r="K22" s="159">
        <f t="shared" si="1"/>
        <v>33851.525999999998</v>
      </c>
    </row>
    <row r="23" spans="1:11" ht="18" customHeight="1">
      <c r="A23" s="151" t="s">
        <v>77</v>
      </c>
      <c r="B23" s="147" t="s">
        <v>43</v>
      </c>
      <c r="F23" s="156">
        <v>16976</v>
      </c>
      <c r="G23" s="156">
        <v>35732</v>
      </c>
      <c r="H23" s="157">
        <v>692244</v>
      </c>
      <c r="I23" s="158">
        <f t="shared" si="0"/>
        <v>355813.41600000003</v>
      </c>
      <c r="J23" s="157">
        <v>232342</v>
      </c>
      <c r="K23" s="159">
        <f t="shared" si="1"/>
        <v>815715.41599999997</v>
      </c>
    </row>
    <row r="24" spans="1:11" ht="18" customHeight="1">
      <c r="A24" s="151" t="s">
        <v>78</v>
      </c>
      <c r="B24" s="147" t="s">
        <v>44</v>
      </c>
      <c r="F24" s="156">
        <v>0</v>
      </c>
      <c r="G24" s="156">
        <v>0</v>
      </c>
      <c r="H24" s="157">
        <v>0</v>
      </c>
      <c r="I24" s="158">
        <f t="shared" si="0"/>
        <v>0</v>
      </c>
      <c r="J24" s="157">
        <v>0</v>
      </c>
      <c r="K24" s="159">
        <f t="shared" si="1"/>
        <v>0</v>
      </c>
    </row>
    <row r="25" spans="1:11" ht="18" customHeight="1">
      <c r="A25" s="151" t="s">
        <v>79</v>
      </c>
      <c r="B25" s="147" t="s">
        <v>5</v>
      </c>
      <c r="F25" s="156">
        <v>1554</v>
      </c>
      <c r="G25" s="156">
        <v>1678</v>
      </c>
      <c r="H25" s="157">
        <v>52117</v>
      </c>
      <c r="I25" s="158">
        <f t="shared" si="0"/>
        <v>26788.137999999999</v>
      </c>
      <c r="J25" s="157">
        <v>0</v>
      </c>
      <c r="K25" s="159">
        <f t="shared" si="1"/>
        <v>78905.138000000006</v>
      </c>
    </row>
    <row r="26" spans="1:11" ht="18" customHeight="1">
      <c r="A26" s="151" t="s">
        <v>80</v>
      </c>
      <c r="B26" s="147" t="s">
        <v>45</v>
      </c>
      <c r="F26" s="156">
        <v>1303</v>
      </c>
      <c r="G26" s="156">
        <v>4819</v>
      </c>
      <c r="H26" s="157">
        <v>121266</v>
      </c>
      <c r="I26" s="158">
        <f t="shared" si="0"/>
        <v>62330.724000000002</v>
      </c>
      <c r="J26" s="157">
        <v>40056</v>
      </c>
      <c r="K26" s="159">
        <f t="shared" si="1"/>
        <v>143540.72399999999</v>
      </c>
    </row>
    <row r="27" spans="1:11" ht="18" customHeight="1">
      <c r="A27" s="151" t="s">
        <v>81</v>
      </c>
      <c r="B27" s="147" t="s">
        <v>46</v>
      </c>
      <c r="F27" s="156">
        <v>0</v>
      </c>
      <c r="G27" s="156">
        <v>0</v>
      </c>
      <c r="H27" s="157">
        <v>75000</v>
      </c>
      <c r="I27" s="158">
        <f t="shared" si="0"/>
        <v>38550</v>
      </c>
      <c r="J27" s="157">
        <v>0</v>
      </c>
      <c r="K27" s="159">
        <f t="shared" si="1"/>
        <v>113550</v>
      </c>
    </row>
    <row r="28" spans="1:11" ht="18" customHeight="1">
      <c r="A28" s="151" t="s">
        <v>82</v>
      </c>
      <c r="B28" s="147" t="s">
        <v>47</v>
      </c>
      <c r="F28" s="156">
        <v>0</v>
      </c>
      <c r="G28" s="156">
        <v>0</v>
      </c>
      <c r="H28" s="157">
        <v>0</v>
      </c>
      <c r="I28" s="158">
        <f t="shared" si="0"/>
        <v>0</v>
      </c>
      <c r="J28" s="157">
        <v>0</v>
      </c>
      <c r="K28" s="159">
        <f t="shared" si="1"/>
        <v>0</v>
      </c>
    </row>
    <row r="29" spans="1:11" ht="18" customHeight="1">
      <c r="A29" s="151" t="s">
        <v>83</v>
      </c>
      <c r="B29" s="147" t="s">
        <v>48</v>
      </c>
      <c r="F29" s="156">
        <v>1952</v>
      </c>
      <c r="G29" s="156">
        <v>1062</v>
      </c>
      <c r="H29" s="157">
        <v>307239</v>
      </c>
      <c r="I29" s="158">
        <f t="shared" si="0"/>
        <v>157920.84599999999</v>
      </c>
      <c r="J29" s="157">
        <v>0</v>
      </c>
      <c r="K29" s="159">
        <f t="shared" si="1"/>
        <v>465159.84600000002</v>
      </c>
    </row>
    <row r="30" spans="1:11" ht="18" customHeight="1">
      <c r="A30" s="151" t="s">
        <v>84</v>
      </c>
      <c r="B30" s="898"/>
      <c r="C30" s="899"/>
      <c r="D30" s="900"/>
      <c r="F30" s="156"/>
      <c r="G30" s="156"/>
      <c r="H30" s="157"/>
      <c r="I30" s="158">
        <f t="shared" si="0"/>
        <v>0</v>
      </c>
      <c r="J30" s="157"/>
      <c r="K30" s="159">
        <f t="shared" si="1"/>
        <v>0</v>
      </c>
    </row>
    <row r="31" spans="1:11" ht="18" customHeight="1">
      <c r="A31" s="151" t="s">
        <v>133</v>
      </c>
      <c r="B31" s="898"/>
      <c r="C31" s="899"/>
      <c r="D31" s="900"/>
      <c r="F31" s="156"/>
      <c r="G31" s="156"/>
      <c r="H31" s="157"/>
      <c r="I31" s="158">
        <f t="shared" si="0"/>
        <v>0</v>
      </c>
      <c r="J31" s="157"/>
      <c r="K31" s="159">
        <f t="shared" si="1"/>
        <v>0</v>
      </c>
    </row>
    <row r="32" spans="1:11" ht="18" customHeight="1">
      <c r="A32" s="151" t="s">
        <v>134</v>
      </c>
      <c r="B32" s="393"/>
      <c r="C32" s="394"/>
      <c r="D32" s="395"/>
      <c r="F32" s="156"/>
      <c r="G32" s="160" t="s">
        <v>85</v>
      </c>
      <c r="H32" s="157"/>
      <c r="I32" s="158">
        <f t="shared" si="0"/>
        <v>0</v>
      </c>
      <c r="J32" s="157"/>
      <c r="K32" s="159">
        <f t="shared" si="1"/>
        <v>0</v>
      </c>
    </row>
    <row r="33" spans="1:11" ht="18" customHeight="1">
      <c r="A33" s="151" t="s">
        <v>135</v>
      </c>
      <c r="B33" s="393"/>
      <c r="C33" s="394"/>
      <c r="D33" s="395"/>
      <c r="F33" s="156"/>
      <c r="G33" s="160" t="s">
        <v>85</v>
      </c>
      <c r="H33" s="157"/>
      <c r="I33" s="158">
        <f t="shared" si="0"/>
        <v>0</v>
      </c>
      <c r="J33" s="157"/>
      <c r="K33" s="159">
        <f t="shared" si="1"/>
        <v>0</v>
      </c>
    </row>
    <row r="34" spans="1:11" ht="18" customHeight="1">
      <c r="A34" s="151" t="s">
        <v>136</v>
      </c>
      <c r="B34" s="898"/>
      <c r="C34" s="899"/>
      <c r="D34" s="900"/>
      <c r="F34" s="156"/>
      <c r="G34" s="160" t="s">
        <v>85</v>
      </c>
      <c r="H34" s="157"/>
      <c r="I34" s="158">
        <f t="shared" si="0"/>
        <v>0</v>
      </c>
      <c r="J34" s="157"/>
      <c r="K34" s="159">
        <f t="shared" si="1"/>
        <v>0</v>
      </c>
    </row>
    <row r="35" spans="1:11" ht="18" customHeight="1">
      <c r="K35" s="161"/>
    </row>
    <row r="36" spans="1:11" ht="18" customHeight="1">
      <c r="A36" s="154" t="s">
        <v>137</v>
      </c>
      <c r="B36" s="150" t="s">
        <v>138</v>
      </c>
      <c r="E36" s="150" t="s">
        <v>7</v>
      </c>
      <c r="F36" s="162">
        <f t="shared" ref="F36:K36" si="2">SUM(F21:F34)</f>
        <v>23160</v>
      </c>
      <c r="G36" s="162">
        <f t="shared" si="2"/>
        <v>46517</v>
      </c>
      <c r="H36" s="162">
        <f t="shared" si="2"/>
        <v>1324876</v>
      </c>
      <c r="I36" s="159">
        <f t="shared" si="2"/>
        <v>680986.26399999997</v>
      </c>
      <c r="J36" s="159">
        <f t="shared" si="2"/>
        <v>279108</v>
      </c>
      <c r="K36" s="159">
        <f t="shared" si="2"/>
        <v>1726754.264</v>
      </c>
    </row>
    <row r="37" spans="1:11" ht="18" customHeight="1" thickBot="1">
      <c r="B37" s="150"/>
      <c r="F37" s="163"/>
      <c r="G37" s="163"/>
      <c r="H37" s="164"/>
      <c r="I37" s="164"/>
      <c r="J37" s="164"/>
      <c r="K37" s="165"/>
    </row>
    <row r="38" spans="1:11" ht="42.75" customHeight="1">
      <c r="F38" s="153" t="s">
        <v>9</v>
      </c>
      <c r="G38" s="153" t="s">
        <v>37</v>
      </c>
      <c r="H38" s="153" t="s">
        <v>29</v>
      </c>
      <c r="I38" s="153" t="s">
        <v>30</v>
      </c>
      <c r="J38" s="153" t="s">
        <v>33</v>
      </c>
      <c r="K38" s="153" t="s">
        <v>34</v>
      </c>
    </row>
    <row r="39" spans="1:11" ht="18.75" customHeight="1">
      <c r="A39" s="154" t="s">
        <v>86</v>
      </c>
      <c r="B39" s="150" t="s">
        <v>49</v>
      </c>
    </row>
    <row r="40" spans="1:11" ht="18" customHeight="1">
      <c r="A40" s="151" t="s">
        <v>87</v>
      </c>
      <c r="B40" s="147" t="s">
        <v>31</v>
      </c>
      <c r="F40" s="156">
        <v>0</v>
      </c>
      <c r="G40" s="156">
        <v>0</v>
      </c>
      <c r="H40" s="157">
        <v>0</v>
      </c>
      <c r="I40" s="158">
        <v>0</v>
      </c>
      <c r="J40" s="157">
        <v>0</v>
      </c>
      <c r="K40" s="159">
        <f t="shared" ref="K40:K47" si="3">(H40+I40)-J40</f>
        <v>0</v>
      </c>
    </row>
    <row r="41" spans="1:11" ht="18" customHeight="1">
      <c r="A41" s="151" t="s">
        <v>88</v>
      </c>
      <c r="B41" s="904" t="s">
        <v>50</v>
      </c>
      <c r="C41" s="907"/>
      <c r="F41" s="156">
        <v>3330</v>
      </c>
      <c r="G41" s="156">
        <v>278</v>
      </c>
      <c r="H41" s="157">
        <v>134688</v>
      </c>
      <c r="I41" s="158">
        <v>0</v>
      </c>
      <c r="J41" s="157">
        <v>0</v>
      </c>
      <c r="K41" s="159">
        <f t="shared" si="3"/>
        <v>134688</v>
      </c>
    </row>
    <row r="42" spans="1:11" ht="18" customHeight="1">
      <c r="A42" s="151" t="s">
        <v>89</v>
      </c>
      <c r="B42" s="155" t="s">
        <v>11</v>
      </c>
      <c r="F42" s="156">
        <v>4441</v>
      </c>
      <c r="G42" s="156">
        <v>306</v>
      </c>
      <c r="H42" s="157">
        <v>342946</v>
      </c>
      <c r="I42" s="158">
        <v>176274.24</v>
      </c>
      <c r="J42" s="157">
        <v>38754.870000000003</v>
      </c>
      <c r="K42" s="159">
        <f t="shared" si="3"/>
        <v>480465.37</v>
      </c>
    </row>
    <row r="43" spans="1:11" ht="18" customHeight="1">
      <c r="A43" s="151" t="s">
        <v>90</v>
      </c>
      <c r="B43" s="166" t="s">
        <v>10</v>
      </c>
      <c r="C43" s="167"/>
      <c r="D43" s="167"/>
      <c r="F43" s="156">
        <v>0</v>
      </c>
      <c r="G43" s="156">
        <v>0</v>
      </c>
      <c r="H43" s="157">
        <v>0</v>
      </c>
      <c r="I43" s="158">
        <v>0</v>
      </c>
      <c r="J43" s="157">
        <v>0</v>
      </c>
      <c r="K43" s="159">
        <f t="shared" si="3"/>
        <v>0</v>
      </c>
    </row>
    <row r="44" spans="1:11" ht="18" customHeight="1">
      <c r="A44" s="151" t="s">
        <v>91</v>
      </c>
      <c r="B44" s="898"/>
      <c r="C44" s="899"/>
      <c r="D44" s="900"/>
      <c r="F44" s="168"/>
      <c r="G44" s="168"/>
      <c r="H44" s="168"/>
      <c r="I44" s="169">
        <v>0</v>
      </c>
      <c r="J44" s="168"/>
      <c r="K44" s="170">
        <f t="shared" si="3"/>
        <v>0</v>
      </c>
    </row>
    <row r="45" spans="1:11" ht="18" customHeight="1">
      <c r="A45" s="151" t="s">
        <v>139</v>
      </c>
      <c r="B45" s="898"/>
      <c r="C45" s="899"/>
      <c r="D45" s="900"/>
      <c r="F45" s="156"/>
      <c r="G45" s="156"/>
      <c r="H45" s="157"/>
      <c r="I45" s="158">
        <v>0</v>
      </c>
      <c r="J45" s="157"/>
      <c r="K45" s="159">
        <f t="shared" si="3"/>
        <v>0</v>
      </c>
    </row>
    <row r="46" spans="1:11" ht="18" customHeight="1">
      <c r="A46" s="151" t="s">
        <v>140</v>
      </c>
      <c r="B46" s="898"/>
      <c r="C46" s="899"/>
      <c r="D46" s="900"/>
      <c r="F46" s="156"/>
      <c r="G46" s="156"/>
      <c r="H46" s="157"/>
      <c r="I46" s="158">
        <v>0</v>
      </c>
      <c r="J46" s="157"/>
      <c r="K46" s="159">
        <f t="shared" si="3"/>
        <v>0</v>
      </c>
    </row>
    <row r="47" spans="1:11" ht="18" customHeight="1">
      <c r="A47" s="151" t="s">
        <v>141</v>
      </c>
      <c r="B47" s="898"/>
      <c r="C47" s="899"/>
      <c r="D47" s="900"/>
      <c r="F47" s="156"/>
      <c r="G47" s="156"/>
      <c r="H47" s="157"/>
      <c r="I47" s="158">
        <v>0</v>
      </c>
      <c r="J47" s="157"/>
      <c r="K47" s="159">
        <f t="shared" si="3"/>
        <v>0</v>
      </c>
    </row>
    <row r="49" spans="1:11" ht="18" customHeight="1">
      <c r="A49" s="154" t="s">
        <v>142</v>
      </c>
      <c r="B49" s="150" t="s">
        <v>143</v>
      </c>
      <c r="E49" s="150" t="s">
        <v>7</v>
      </c>
      <c r="F49" s="171">
        <f t="shared" ref="F49:K49" si="4">SUM(F40:F47)</f>
        <v>7771</v>
      </c>
      <c r="G49" s="171">
        <f t="shared" si="4"/>
        <v>584</v>
      </c>
      <c r="H49" s="159">
        <f t="shared" si="4"/>
        <v>477634</v>
      </c>
      <c r="I49" s="159">
        <f t="shared" si="4"/>
        <v>176274.24</v>
      </c>
      <c r="J49" s="159">
        <f t="shared" si="4"/>
        <v>38754.870000000003</v>
      </c>
      <c r="K49" s="159">
        <f t="shared" si="4"/>
        <v>615153.37</v>
      </c>
    </row>
    <row r="50" spans="1:11" ht="18" customHeight="1" thickBot="1">
      <c r="G50" s="172"/>
      <c r="H50" s="172"/>
      <c r="I50" s="172"/>
      <c r="J50" s="172"/>
      <c r="K50" s="172"/>
    </row>
    <row r="51" spans="1:11" ht="42.75" customHeight="1">
      <c r="F51" s="153" t="s">
        <v>9</v>
      </c>
      <c r="G51" s="153" t="s">
        <v>37</v>
      </c>
      <c r="H51" s="153" t="s">
        <v>29</v>
      </c>
      <c r="I51" s="153" t="s">
        <v>30</v>
      </c>
      <c r="J51" s="153" t="s">
        <v>33</v>
      </c>
      <c r="K51" s="153" t="s">
        <v>34</v>
      </c>
    </row>
    <row r="52" spans="1:11" ht="18" customHeight="1">
      <c r="A52" s="154" t="s">
        <v>92</v>
      </c>
      <c r="B52" s="905" t="s">
        <v>38</v>
      </c>
      <c r="C52" s="906"/>
    </row>
    <row r="53" spans="1:11" ht="18" customHeight="1">
      <c r="A53" s="151" t="s">
        <v>51</v>
      </c>
      <c r="B53" s="908" t="s">
        <v>539</v>
      </c>
      <c r="C53" s="909"/>
      <c r="D53" s="903"/>
      <c r="F53" s="156">
        <v>3731</v>
      </c>
      <c r="G53" s="156">
        <v>359</v>
      </c>
      <c r="H53" s="157">
        <v>211924</v>
      </c>
      <c r="I53" s="158">
        <v>63683</v>
      </c>
      <c r="J53" s="157">
        <v>33757</v>
      </c>
      <c r="K53" s="159">
        <f t="shared" ref="K53:K62" si="5">(H53+I53)-J53</f>
        <v>241850</v>
      </c>
    </row>
    <row r="54" spans="1:11" ht="18" customHeight="1">
      <c r="A54" s="151" t="s">
        <v>93</v>
      </c>
      <c r="B54" s="396" t="s">
        <v>540</v>
      </c>
      <c r="C54" s="397"/>
      <c r="D54" s="392"/>
      <c r="F54" s="156">
        <v>390</v>
      </c>
      <c r="G54" s="156">
        <v>6118</v>
      </c>
      <c r="H54" s="157">
        <v>14669</v>
      </c>
      <c r="I54" s="158">
        <v>0</v>
      </c>
      <c r="J54" s="157">
        <v>0</v>
      </c>
      <c r="K54" s="159">
        <f t="shared" si="5"/>
        <v>14669</v>
      </c>
    </row>
    <row r="55" spans="1:11" ht="18" customHeight="1">
      <c r="A55" s="151" t="s">
        <v>94</v>
      </c>
      <c r="B55" s="901" t="s">
        <v>541</v>
      </c>
      <c r="C55" s="902"/>
      <c r="D55" s="903"/>
      <c r="F55" s="156">
        <v>0</v>
      </c>
      <c r="G55" s="156">
        <v>0</v>
      </c>
      <c r="H55" s="157">
        <v>4866893</v>
      </c>
      <c r="I55" s="158">
        <v>0</v>
      </c>
      <c r="J55" s="157">
        <v>1201141</v>
      </c>
      <c r="K55" s="159">
        <f t="shared" si="5"/>
        <v>3665752</v>
      </c>
    </row>
    <row r="56" spans="1:11" ht="18" customHeight="1">
      <c r="A56" s="151" t="s">
        <v>95</v>
      </c>
      <c r="B56" s="901" t="s">
        <v>542</v>
      </c>
      <c r="C56" s="902"/>
      <c r="D56" s="903"/>
      <c r="F56" s="156">
        <v>39467</v>
      </c>
      <c r="G56" s="156">
        <v>23852</v>
      </c>
      <c r="H56" s="157">
        <v>6128643</v>
      </c>
      <c r="I56" s="158">
        <v>698826</v>
      </c>
      <c r="J56" s="157">
        <v>2691991</v>
      </c>
      <c r="K56" s="159">
        <f t="shared" si="5"/>
        <v>4135478</v>
      </c>
    </row>
    <row r="57" spans="1:11" ht="18" customHeight="1">
      <c r="A57" s="151" t="s">
        <v>96</v>
      </c>
      <c r="B57" s="901" t="s">
        <v>543</v>
      </c>
      <c r="C57" s="902"/>
      <c r="D57" s="903"/>
      <c r="F57" s="156">
        <v>0</v>
      </c>
      <c r="G57" s="156">
        <v>0</v>
      </c>
      <c r="H57" s="157">
        <v>83500</v>
      </c>
      <c r="I57" s="158">
        <v>0</v>
      </c>
      <c r="J57" s="157">
        <v>0</v>
      </c>
      <c r="K57" s="159">
        <f t="shared" si="5"/>
        <v>83500</v>
      </c>
    </row>
    <row r="58" spans="1:11" ht="18" customHeight="1">
      <c r="A58" s="151" t="s">
        <v>97</v>
      </c>
      <c r="B58" s="396" t="s">
        <v>64</v>
      </c>
      <c r="C58" s="397"/>
      <c r="D58" s="392"/>
      <c r="F58" s="156">
        <v>184620</v>
      </c>
      <c r="G58" s="156">
        <v>54190</v>
      </c>
      <c r="H58" s="157">
        <v>23304611</v>
      </c>
      <c r="I58" s="158">
        <v>3721623</v>
      </c>
      <c r="J58" s="157">
        <v>13846808</v>
      </c>
      <c r="K58" s="159">
        <f t="shared" si="5"/>
        <v>13179426</v>
      </c>
    </row>
    <row r="59" spans="1:11" ht="18" customHeight="1">
      <c r="A59" s="151" t="s">
        <v>98</v>
      </c>
      <c r="B59" s="901" t="s">
        <v>636</v>
      </c>
      <c r="C59" s="902"/>
      <c r="D59" s="903"/>
      <c r="F59" s="156">
        <v>0</v>
      </c>
      <c r="G59" s="156">
        <v>0</v>
      </c>
      <c r="H59" s="157">
        <v>56900</v>
      </c>
      <c r="I59" s="158">
        <v>0</v>
      </c>
      <c r="J59" s="157">
        <v>0</v>
      </c>
      <c r="K59" s="159">
        <f t="shared" si="5"/>
        <v>56900</v>
      </c>
    </row>
    <row r="60" spans="1:11" ht="18" customHeight="1">
      <c r="A60" s="151" t="s">
        <v>99</v>
      </c>
      <c r="B60" s="396" t="s">
        <v>793</v>
      </c>
      <c r="C60" s="397"/>
      <c r="D60" s="392"/>
      <c r="F60" s="156">
        <v>0</v>
      </c>
      <c r="G60" s="156">
        <v>0</v>
      </c>
      <c r="H60" s="157">
        <v>688330</v>
      </c>
      <c r="I60" s="158">
        <v>0</v>
      </c>
      <c r="J60" s="157">
        <v>0</v>
      </c>
      <c r="K60" s="159">
        <f t="shared" si="5"/>
        <v>688330</v>
      </c>
    </row>
    <row r="61" spans="1:11" ht="18" customHeight="1">
      <c r="A61" s="151" t="s">
        <v>100</v>
      </c>
      <c r="B61" s="396" t="s">
        <v>794</v>
      </c>
      <c r="C61" s="397"/>
      <c r="D61" s="392"/>
      <c r="F61" s="156">
        <v>0</v>
      </c>
      <c r="G61" s="156">
        <v>0</v>
      </c>
      <c r="H61" s="157">
        <v>239075</v>
      </c>
      <c r="I61" s="158">
        <v>0</v>
      </c>
      <c r="J61" s="157">
        <v>0</v>
      </c>
      <c r="K61" s="159">
        <f t="shared" si="5"/>
        <v>239075</v>
      </c>
    </row>
    <row r="62" spans="1:11" ht="18" customHeight="1">
      <c r="A62" s="151" t="s">
        <v>101</v>
      </c>
      <c r="B62" s="901" t="s">
        <v>795</v>
      </c>
      <c r="C62" s="902"/>
      <c r="D62" s="903"/>
      <c r="F62" s="156">
        <v>5522</v>
      </c>
      <c r="G62" s="156">
        <v>666</v>
      </c>
      <c r="H62" s="157">
        <v>249926</v>
      </c>
      <c r="I62" s="158">
        <v>335267</v>
      </c>
      <c r="J62" s="157">
        <v>259681</v>
      </c>
      <c r="K62" s="159">
        <f t="shared" si="5"/>
        <v>325512</v>
      </c>
    </row>
    <row r="63" spans="1:11" ht="18" customHeight="1">
      <c r="A63" s="151"/>
      <c r="I63" s="173"/>
    </row>
    <row r="64" spans="1:11" ht="18" customHeight="1">
      <c r="A64" s="151" t="s">
        <v>144</v>
      </c>
      <c r="B64" s="150" t="s">
        <v>145</v>
      </c>
      <c r="E64" s="150" t="s">
        <v>7</v>
      </c>
      <c r="F64" s="162">
        <f t="shared" ref="F64:K64" si="6">SUM(F53:F62)</f>
        <v>233730</v>
      </c>
      <c r="G64" s="162">
        <f t="shared" si="6"/>
        <v>85185</v>
      </c>
      <c r="H64" s="159">
        <f t="shared" si="6"/>
        <v>35844471</v>
      </c>
      <c r="I64" s="159">
        <f t="shared" si="6"/>
        <v>4819399</v>
      </c>
      <c r="J64" s="159">
        <f t="shared" si="6"/>
        <v>18033378</v>
      </c>
      <c r="K64" s="159">
        <f t="shared" si="6"/>
        <v>22630492</v>
      </c>
    </row>
    <row r="65" spans="1:11" ht="18" customHeight="1">
      <c r="F65" s="174"/>
      <c r="G65" s="174"/>
      <c r="H65" s="174"/>
      <c r="I65" s="174"/>
      <c r="J65" s="174"/>
      <c r="K65" s="174"/>
    </row>
    <row r="66" spans="1:11" ht="42.75" customHeight="1">
      <c r="F66" s="175" t="s">
        <v>9</v>
      </c>
      <c r="G66" s="175" t="s">
        <v>37</v>
      </c>
      <c r="H66" s="175" t="s">
        <v>29</v>
      </c>
      <c r="I66" s="175" t="s">
        <v>30</v>
      </c>
      <c r="J66" s="175" t="s">
        <v>33</v>
      </c>
      <c r="K66" s="175" t="s">
        <v>34</v>
      </c>
    </row>
    <row r="67" spans="1:11" ht="18" customHeight="1">
      <c r="A67" s="154" t="s">
        <v>102</v>
      </c>
      <c r="B67" s="150" t="s">
        <v>12</v>
      </c>
      <c r="F67" s="176"/>
      <c r="G67" s="176"/>
      <c r="H67" s="176"/>
      <c r="I67" s="177"/>
      <c r="J67" s="176"/>
      <c r="K67" s="178"/>
    </row>
    <row r="68" spans="1:11" ht="18" customHeight="1">
      <c r="A68" s="151" t="s">
        <v>103</v>
      </c>
      <c r="B68" s="147" t="s">
        <v>52</v>
      </c>
      <c r="F68" s="179">
        <v>6</v>
      </c>
      <c r="G68" s="179">
        <v>0</v>
      </c>
      <c r="H68" s="179">
        <v>535</v>
      </c>
      <c r="I68" s="158">
        <v>0</v>
      </c>
      <c r="J68" s="179">
        <v>0</v>
      </c>
      <c r="K68" s="159">
        <f>(H68+I68)-J68</f>
        <v>535</v>
      </c>
    </row>
    <row r="69" spans="1:11" ht="18" customHeight="1">
      <c r="A69" s="151" t="s">
        <v>104</v>
      </c>
      <c r="B69" s="155" t="s">
        <v>53</v>
      </c>
      <c r="F69" s="179"/>
      <c r="G69" s="179"/>
      <c r="H69" s="179"/>
      <c r="I69" s="158">
        <v>0</v>
      </c>
      <c r="J69" s="179"/>
      <c r="K69" s="159">
        <f>(H69+I69)-J69</f>
        <v>0</v>
      </c>
    </row>
    <row r="70" spans="1:11" ht="18" customHeight="1">
      <c r="A70" s="151" t="s">
        <v>178</v>
      </c>
      <c r="B70" s="396"/>
      <c r="C70" s="397"/>
      <c r="D70" s="392"/>
      <c r="E70" s="150"/>
      <c r="F70" s="180"/>
      <c r="G70" s="180"/>
      <c r="H70" s="181"/>
      <c r="I70" s="158">
        <v>0</v>
      </c>
      <c r="J70" s="181"/>
      <c r="K70" s="159">
        <f>(H70+I70)-J70</f>
        <v>0</v>
      </c>
    </row>
    <row r="71" spans="1:11" ht="18" customHeight="1">
      <c r="A71" s="151" t="s">
        <v>179</v>
      </c>
      <c r="B71" s="396"/>
      <c r="C71" s="397"/>
      <c r="D71" s="392"/>
      <c r="E71" s="150"/>
      <c r="F71" s="180"/>
      <c r="G71" s="180"/>
      <c r="H71" s="181"/>
      <c r="I71" s="158">
        <v>0</v>
      </c>
      <c r="J71" s="181"/>
      <c r="K71" s="159">
        <f>(H71+I71)-J71</f>
        <v>0</v>
      </c>
    </row>
    <row r="72" spans="1:11" ht="18" customHeight="1">
      <c r="A72" s="151" t="s">
        <v>180</v>
      </c>
      <c r="B72" s="390"/>
      <c r="C72" s="391"/>
      <c r="D72" s="182"/>
      <c r="E72" s="150"/>
      <c r="F72" s="156"/>
      <c r="G72" s="156"/>
      <c r="H72" s="157"/>
      <c r="I72" s="158">
        <v>0</v>
      </c>
      <c r="J72" s="157"/>
      <c r="K72" s="159">
        <f>(H72+I72)-J72</f>
        <v>0</v>
      </c>
    </row>
    <row r="73" spans="1:11" ht="18" customHeight="1">
      <c r="A73" s="151"/>
      <c r="B73" s="155"/>
      <c r="E73" s="150"/>
      <c r="F73" s="183"/>
      <c r="G73" s="183"/>
      <c r="H73" s="184"/>
      <c r="I73" s="177"/>
      <c r="J73" s="184"/>
      <c r="K73" s="178"/>
    </row>
    <row r="74" spans="1:11" ht="18" customHeight="1">
      <c r="A74" s="154" t="s">
        <v>146</v>
      </c>
      <c r="B74" s="150" t="s">
        <v>147</v>
      </c>
      <c r="E74" s="150" t="s">
        <v>7</v>
      </c>
      <c r="F74" s="185">
        <f t="shared" ref="F74:K74" si="7">SUM(F68:F72)</f>
        <v>6</v>
      </c>
      <c r="G74" s="185">
        <f t="shared" si="7"/>
        <v>0</v>
      </c>
      <c r="H74" s="185">
        <f t="shared" si="7"/>
        <v>535</v>
      </c>
      <c r="I74" s="186">
        <f t="shared" si="7"/>
        <v>0</v>
      </c>
      <c r="J74" s="185">
        <f t="shared" si="7"/>
        <v>0</v>
      </c>
      <c r="K74" s="187">
        <f t="shared" si="7"/>
        <v>535</v>
      </c>
    </row>
    <row r="75" spans="1:11" ht="42.75" customHeight="1">
      <c r="F75" s="153" t="s">
        <v>9</v>
      </c>
      <c r="G75" s="153" t="s">
        <v>37</v>
      </c>
      <c r="H75" s="153" t="s">
        <v>29</v>
      </c>
      <c r="I75" s="153" t="s">
        <v>30</v>
      </c>
      <c r="J75" s="153" t="s">
        <v>33</v>
      </c>
      <c r="K75" s="153" t="s">
        <v>34</v>
      </c>
    </row>
    <row r="76" spans="1:11" ht="18" customHeight="1">
      <c r="A76" s="154" t="s">
        <v>105</v>
      </c>
      <c r="B76" s="150" t="s">
        <v>106</v>
      </c>
    </row>
    <row r="77" spans="1:11" ht="18" customHeight="1">
      <c r="A77" s="151" t="s">
        <v>107</v>
      </c>
      <c r="B77" s="155" t="s">
        <v>54</v>
      </c>
      <c r="F77" s="156">
        <v>0</v>
      </c>
      <c r="G77" s="156">
        <v>0</v>
      </c>
      <c r="H77" s="157">
        <v>14745</v>
      </c>
      <c r="I77" s="158">
        <v>0</v>
      </c>
      <c r="J77" s="157">
        <v>0</v>
      </c>
      <c r="K77" s="159">
        <f>(H77+I77)-J77</f>
        <v>14745</v>
      </c>
    </row>
    <row r="78" spans="1:11" ht="18" customHeight="1">
      <c r="A78" s="151" t="s">
        <v>108</v>
      </c>
      <c r="B78" s="155" t="s">
        <v>55</v>
      </c>
      <c r="F78" s="156">
        <v>0</v>
      </c>
      <c r="G78" s="156">
        <v>0</v>
      </c>
      <c r="H78" s="157">
        <v>0</v>
      </c>
      <c r="I78" s="158">
        <v>0</v>
      </c>
      <c r="J78" s="157">
        <v>0</v>
      </c>
      <c r="K78" s="159">
        <f>(H78+I78)-J78</f>
        <v>0</v>
      </c>
    </row>
    <row r="79" spans="1:11" ht="18" customHeight="1">
      <c r="A79" s="151" t="s">
        <v>109</v>
      </c>
      <c r="B79" s="155" t="s">
        <v>13</v>
      </c>
      <c r="F79" s="156">
        <v>1662</v>
      </c>
      <c r="G79" s="156">
        <v>2106</v>
      </c>
      <c r="H79" s="157">
        <v>85744</v>
      </c>
      <c r="I79" s="158">
        <v>0</v>
      </c>
      <c r="J79" s="157">
        <v>0</v>
      </c>
      <c r="K79" s="159">
        <f>(H79+I79)-J79</f>
        <v>85744</v>
      </c>
    </row>
    <row r="80" spans="1:11" ht="18" customHeight="1">
      <c r="A80" s="151" t="s">
        <v>110</v>
      </c>
      <c r="B80" s="155" t="s">
        <v>56</v>
      </c>
      <c r="F80" s="156">
        <v>0</v>
      </c>
      <c r="G80" s="156">
        <v>0</v>
      </c>
      <c r="H80" s="157">
        <v>0</v>
      </c>
      <c r="I80" s="158">
        <v>0</v>
      </c>
      <c r="J80" s="157">
        <v>0</v>
      </c>
      <c r="K80" s="159">
        <f>(H80+I80)-J80</f>
        <v>0</v>
      </c>
    </row>
    <row r="81" spans="1:11" ht="18" customHeight="1">
      <c r="A81" s="151"/>
      <c r="K81" s="188"/>
    </row>
    <row r="82" spans="1:11" ht="18" customHeight="1">
      <c r="A82" s="151" t="s">
        <v>148</v>
      </c>
      <c r="B82" s="150" t="s">
        <v>149</v>
      </c>
      <c r="E82" s="150" t="s">
        <v>7</v>
      </c>
      <c r="F82" s="185">
        <f t="shared" ref="F82:K82" si="8">SUM(F77:F80)</f>
        <v>1662</v>
      </c>
      <c r="G82" s="185">
        <f t="shared" si="8"/>
        <v>2106</v>
      </c>
      <c r="H82" s="187">
        <f t="shared" si="8"/>
        <v>100489</v>
      </c>
      <c r="I82" s="187">
        <f t="shared" si="8"/>
        <v>0</v>
      </c>
      <c r="J82" s="187">
        <f t="shared" si="8"/>
        <v>0</v>
      </c>
      <c r="K82" s="187">
        <f t="shared" si="8"/>
        <v>100489</v>
      </c>
    </row>
    <row r="83" spans="1:11" ht="18" customHeight="1" thickBot="1">
      <c r="A83" s="151"/>
      <c r="F83" s="172"/>
      <c r="G83" s="172"/>
      <c r="H83" s="172"/>
      <c r="I83" s="172"/>
      <c r="J83" s="172"/>
      <c r="K83" s="172"/>
    </row>
    <row r="84" spans="1:11" ht="42.75" customHeight="1">
      <c r="F84" s="153" t="s">
        <v>9</v>
      </c>
      <c r="G84" s="153" t="s">
        <v>37</v>
      </c>
      <c r="H84" s="153" t="s">
        <v>29</v>
      </c>
      <c r="I84" s="153" t="s">
        <v>30</v>
      </c>
      <c r="J84" s="153" t="s">
        <v>33</v>
      </c>
      <c r="K84" s="153" t="s">
        <v>34</v>
      </c>
    </row>
    <row r="85" spans="1:11" ht="18" customHeight="1">
      <c r="A85" s="154" t="s">
        <v>111</v>
      </c>
      <c r="B85" s="150" t="s">
        <v>57</v>
      </c>
    </row>
    <row r="86" spans="1:11" ht="18" customHeight="1">
      <c r="A86" s="151" t="s">
        <v>112</v>
      </c>
      <c r="B86" s="155" t="s">
        <v>113</v>
      </c>
      <c r="F86" s="156">
        <v>0</v>
      </c>
      <c r="G86" s="156">
        <v>0</v>
      </c>
      <c r="H86" s="157">
        <v>0</v>
      </c>
      <c r="I86" s="158">
        <f t="shared" ref="I86:I96" si="9">H86*F$114</f>
        <v>0</v>
      </c>
      <c r="J86" s="157">
        <v>0</v>
      </c>
      <c r="K86" s="159">
        <f t="shared" ref="K86:K96" si="10">(H86+I86)-J86</f>
        <v>0</v>
      </c>
    </row>
    <row r="87" spans="1:11" ht="18" customHeight="1">
      <c r="A87" s="151" t="s">
        <v>114</v>
      </c>
      <c r="B87" s="155" t="s">
        <v>14</v>
      </c>
      <c r="F87" s="156">
        <v>133</v>
      </c>
      <c r="G87" s="156">
        <v>0</v>
      </c>
      <c r="H87" s="157">
        <v>16684</v>
      </c>
      <c r="I87" s="158">
        <f t="shared" si="9"/>
        <v>8575.5760000000009</v>
      </c>
      <c r="J87" s="157">
        <v>0</v>
      </c>
      <c r="K87" s="159">
        <f t="shared" si="10"/>
        <v>25259.576000000001</v>
      </c>
    </row>
    <row r="88" spans="1:11" ht="18" customHeight="1">
      <c r="A88" s="151" t="s">
        <v>115</v>
      </c>
      <c r="B88" s="155" t="s">
        <v>116</v>
      </c>
      <c r="F88" s="156">
        <v>43</v>
      </c>
      <c r="G88" s="156">
        <v>0</v>
      </c>
      <c r="H88" s="157">
        <v>23102</v>
      </c>
      <c r="I88" s="158">
        <f t="shared" si="9"/>
        <v>11874.428</v>
      </c>
      <c r="J88" s="157">
        <v>0</v>
      </c>
      <c r="K88" s="159">
        <f t="shared" si="10"/>
        <v>34976.428</v>
      </c>
    </row>
    <row r="89" spans="1:11" ht="18" customHeight="1">
      <c r="A89" s="151" t="s">
        <v>117</v>
      </c>
      <c r="B89" s="155" t="s">
        <v>58</v>
      </c>
      <c r="F89" s="156">
        <v>0</v>
      </c>
      <c r="G89" s="156">
        <v>0</v>
      </c>
      <c r="H89" s="157">
        <v>76232</v>
      </c>
      <c r="I89" s="158">
        <f t="shared" si="9"/>
        <v>39183.248</v>
      </c>
      <c r="J89" s="157">
        <v>0</v>
      </c>
      <c r="K89" s="159">
        <f t="shared" si="10"/>
        <v>115415.24799999999</v>
      </c>
    </row>
    <row r="90" spans="1:11" ht="18" customHeight="1">
      <c r="A90" s="151" t="s">
        <v>118</v>
      </c>
      <c r="B90" s="904" t="s">
        <v>59</v>
      </c>
      <c r="C90" s="907"/>
      <c r="F90" s="156">
        <v>0</v>
      </c>
      <c r="G90" s="156">
        <v>0</v>
      </c>
      <c r="H90" s="157">
        <v>0</v>
      </c>
      <c r="I90" s="158">
        <f t="shared" si="9"/>
        <v>0</v>
      </c>
      <c r="J90" s="157">
        <v>0</v>
      </c>
      <c r="K90" s="159">
        <f t="shared" si="10"/>
        <v>0</v>
      </c>
    </row>
    <row r="91" spans="1:11" ht="18" customHeight="1">
      <c r="A91" s="151" t="s">
        <v>119</v>
      </c>
      <c r="B91" s="155" t="s">
        <v>60</v>
      </c>
      <c r="F91" s="156">
        <v>1239</v>
      </c>
      <c r="G91" s="156">
        <v>343</v>
      </c>
      <c r="H91" s="157">
        <v>194807</v>
      </c>
      <c r="I91" s="158">
        <f t="shared" si="9"/>
        <v>100130.798</v>
      </c>
      <c r="J91" s="157">
        <v>350</v>
      </c>
      <c r="K91" s="159">
        <f t="shared" si="10"/>
        <v>294587.79800000001</v>
      </c>
    </row>
    <row r="92" spans="1:11" ht="18" customHeight="1">
      <c r="A92" s="151" t="s">
        <v>120</v>
      </c>
      <c r="B92" s="155" t="s">
        <v>121</v>
      </c>
      <c r="F92" s="189">
        <v>0</v>
      </c>
      <c r="G92" s="189">
        <v>0</v>
      </c>
      <c r="H92" s="190">
        <v>0</v>
      </c>
      <c r="I92" s="158">
        <f t="shared" si="9"/>
        <v>0</v>
      </c>
      <c r="J92" s="190">
        <v>0</v>
      </c>
      <c r="K92" s="159">
        <f t="shared" si="10"/>
        <v>0</v>
      </c>
    </row>
    <row r="93" spans="1:11" ht="18" customHeight="1">
      <c r="A93" s="151" t="s">
        <v>122</v>
      </c>
      <c r="B93" s="155" t="s">
        <v>123</v>
      </c>
      <c r="F93" s="156">
        <v>14</v>
      </c>
      <c r="G93" s="156">
        <v>61</v>
      </c>
      <c r="H93" s="157">
        <v>674</v>
      </c>
      <c r="I93" s="158">
        <f t="shared" si="9"/>
        <v>346.43600000000004</v>
      </c>
      <c r="J93" s="157">
        <v>0</v>
      </c>
      <c r="K93" s="159">
        <f t="shared" si="10"/>
        <v>1020.436</v>
      </c>
    </row>
    <row r="94" spans="1:11" ht="18" customHeight="1">
      <c r="A94" s="151" t="s">
        <v>124</v>
      </c>
      <c r="B94" s="901"/>
      <c r="C94" s="902"/>
      <c r="D94" s="903"/>
      <c r="F94" s="156"/>
      <c r="G94" s="156"/>
      <c r="H94" s="157"/>
      <c r="I94" s="158">
        <f t="shared" si="9"/>
        <v>0</v>
      </c>
      <c r="J94" s="157"/>
      <c r="K94" s="159">
        <f t="shared" si="10"/>
        <v>0</v>
      </c>
    </row>
    <row r="95" spans="1:11" ht="18" customHeight="1">
      <c r="A95" s="151" t="s">
        <v>125</v>
      </c>
      <c r="B95" s="901"/>
      <c r="C95" s="902"/>
      <c r="D95" s="903"/>
      <c r="F95" s="156"/>
      <c r="G95" s="156"/>
      <c r="H95" s="157"/>
      <c r="I95" s="158">
        <f t="shared" si="9"/>
        <v>0</v>
      </c>
      <c r="J95" s="157"/>
      <c r="K95" s="159">
        <f t="shared" si="10"/>
        <v>0</v>
      </c>
    </row>
    <row r="96" spans="1:11" ht="18" customHeight="1">
      <c r="A96" s="151" t="s">
        <v>126</v>
      </c>
      <c r="B96" s="901"/>
      <c r="C96" s="902"/>
      <c r="D96" s="903"/>
      <c r="F96" s="156"/>
      <c r="G96" s="156"/>
      <c r="H96" s="157"/>
      <c r="I96" s="158">
        <f t="shared" si="9"/>
        <v>0</v>
      </c>
      <c r="J96" s="157"/>
      <c r="K96" s="159">
        <f t="shared" si="10"/>
        <v>0</v>
      </c>
    </row>
    <row r="97" spans="1:11" ht="18" customHeight="1">
      <c r="A97" s="151"/>
      <c r="B97" s="155"/>
    </row>
    <row r="98" spans="1:11" ht="18" customHeight="1">
      <c r="A98" s="154" t="s">
        <v>150</v>
      </c>
      <c r="B98" s="150" t="s">
        <v>151</v>
      </c>
      <c r="E98" s="150" t="s">
        <v>7</v>
      </c>
      <c r="F98" s="162">
        <f t="shared" ref="F98:K98" si="11">SUM(F86:F96)</f>
        <v>1429</v>
      </c>
      <c r="G98" s="162">
        <f t="shared" si="11"/>
        <v>404</v>
      </c>
      <c r="H98" s="162">
        <f t="shared" si="11"/>
        <v>311499</v>
      </c>
      <c r="I98" s="162">
        <f t="shared" si="11"/>
        <v>160110.48599999998</v>
      </c>
      <c r="J98" s="162">
        <f t="shared" si="11"/>
        <v>350</v>
      </c>
      <c r="K98" s="162">
        <f t="shared" si="11"/>
        <v>471259.48599999998</v>
      </c>
    </row>
    <row r="99" spans="1:11" ht="18" customHeight="1" thickBot="1">
      <c r="B99" s="150"/>
      <c r="F99" s="172"/>
      <c r="G99" s="172"/>
      <c r="H99" s="172"/>
      <c r="I99" s="172"/>
      <c r="J99" s="172"/>
      <c r="K99" s="172"/>
    </row>
    <row r="100" spans="1:11" ht="42.75" customHeight="1">
      <c r="F100" s="153" t="s">
        <v>9</v>
      </c>
      <c r="G100" s="153" t="s">
        <v>37</v>
      </c>
      <c r="H100" s="153" t="s">
        <v>29</v>
      </c>
      <c r="I100" s="153" t="s">
        <v>30</v>
      </c>
      <c r="J100" s="153" t="s">
        <v>33</v>
      </c>
      <c r="K100" s="153" t="s">
        <v>34</v>
      </c>
    </row>
    <row r="101" spans="1:11" ht="18" customHeight="1">
      <c r="A101" s="154" t="s">
        <v>130</v>
      </c>
      <c r="B101" s="150" t="s">
        <v>63</v>
      </c>
    </row>
    <row r="102" spans="1:11" ht="18" customHeight="1">
      <c r="A102" s="151" t="s">
        <v>131</v>
      </c>
      <c r="B102" s="155" t="s">
        <v>152</v>
      </c>
      <c r="F102" s="156">
        <v>203</v>
      </c>
      <c r="G102" s="156">
        <v>0</v>
      </c>
      <c r="H102" s="157">
        <v>11222</v>
      </c>
      <c r="I102" s="158">
        <f>H102*F$114</f>
        <v>5768.1080000000002</v>
      </c>
      <c r="J102" s="157">
        <v>0</v>
      </c>
      <c r="K102" s="159">
        <f>(H102+I102)-J102</f>
        <v>16990.108</v>
      </c>
    </row>
    <row r="103" spans="1:11" ht="18" customHeight="1">
      <c r="A103" s="151" t="s">
        <v>132</v>
      </c>
      <c r="B103" s="904" t="s">
        <v>62</v>
      </c>
      <c r="C103" s="904"/>
      <c r="F103" s="156"/>
      <c r="G103" s="156"/>
      <c r="H103" s="157"/>
      <c r="I103" s="158">
        <f>H103*F$114</f>
        <v>0</v>
      </c>
      <c r="J103" s="157"/>
      <c r="K103" s="159">
        <f>(H103+I103)-J103</f>
        <v>0</v>
      </c>
    </row>
    <row r="104" spans="1:11" ht="18" customHeight="1">
      <c r="A104" s="151" t="s">
        <v>128</v>
      </c>
      <c r="B104" s="901"/>
      <c r="C104" s="902"/>
      <c r="D104" s="903"/>
      <c r="F104" s="156"/>
      <c r="G104" s="156"/>
      <c r="H104" s="157"/>
      <c r="I104" s="158">
        <f>H104*F$114</f>
        <v>0</v>
      </c>
      <c r="J104" s="157"/>
      <c r="K104" s="159">
        <f>(H104+I104)-J104</f>
        <v>0</v>
      </c>
    </row>
    <row r="105" spans="1:11" ht="18" customHeight="1">
      <c r="A105" s="151" t="s">
        <v>127</v>
      </c>
      <c r="B105" s="901"/>
      <c r="C105" s="902"/>
      <c r="D105" s="903"/>
      <c r="F105" s="156"/>
      <c r="G105" s="156"/>
      <c r="H105" s="157"/>
      <c r="I105" s="158">
        <f>H105*F$114</f>
        <v>0</v>
      </c>
      <c r="J105" s="157"/>
      <c r="K105" s="159">
        <f>(H105+I105)-J105</f>
        <v>0</v>
      </c>
    </row>
    <row r="106" spans="1:11" ht="18" customHeight="1">
      <c r="A106" s="151" t="s">
        <v>129</v>
      </c>
      <c r="B106" s="901"/>
      <c r="C106" s="902"/>
      <c r="D106" s="903"/>
      <c r="F106" s="156"/>
      <c r="G106" s="156"/>
      <c r="H106" s="157"/>
      <c r="I106" s="158">
        <f>H106*F$114</f>
        <v>0</v>
      </c>
      <c r="J106" s="157"/>
      <c r="K106" s="159">
        <f>(H106+I106)-J106</f>
        <v>0</v>
      </c>
    </row>
    <row r="107" spans="1:11" ht="18" customHeight="1">
      <c r="B107" s="150"/>
    </row>
    <row r="108" spans="1:11" s="167" customFormat="1" ht="18" customHeight="1">
      <c r="A108" s="154" t="s">
        <v>153</v>
      </c>
      <c r="B108" s="191" t="s">
        <v>154</v>
      </c>
      <c r="C108" s="147"/>
      <c r="D108" s="147"/>
      <c r="E108" s="150" t="s">
        <v>7</v>
      </c>
      <c r="F108" s="162">
        <f t="shared" ref="F108:K108" si="12">SUM(F102:F106)</f>
        <v>203</v>
      </c>
      <c r="G108" s="162">
        <f t="shared" si="12"/>
        <v>0</v>
      </c>
      <c r="H108" s="159">
        <f t="shared" si="12"/>
        <v>11222</v>
      </c>
      <c r="I108" s="159">
        <f t="shared" si="12"/>
        <v>5768.1080000000002</v>
      </c>
      <c r="J108" s="159">
        <f t="shared" si="12"/>
        <v>0</v>
      </c>
      <c r="K108" s="159">
        <f t="shared" si="12"/>
        <v>16990.108</v>
      </c>
    </row>
    <row r="109" spans="1:11" s="167" customFormat="1" ht="18" customHeight="1" thickBot="1">
      <c r="A109" s="192"/>
      <c r="B109" s="193"/>
      <c r="C109" s="194"/>
      <c r="D109" s="194"/>
      <c r="E109" s="194"/>
      <c r="F109" s="172"/>
      <c r="G109" s="172"/>
      <c r="H109" s="172"/>
      <c r="I109" s="172"/>
      <c r="J109" s="172"/>
      <c r="K109" s="172"/>
    </row>
    <row r="110" spans="1:11" s="167" customFormat="1" ht="18" customHeight="1">
      <c r="A110" s="154" t="s">
        <v>156</v>
      </c>
      <c r="B110" s="150" t="s">
        <v>39</v>
      </c>
      <c r="C110" s="147"/>
      <c r="D110" s="147"/>
      <c r="E110" s="147"/>
      <c r="F110" s="147"/>
      <c r="G110" s="147"/>
      <c r="H110" s="147"/>
      <c r="I110" s="147"/>
      <c r="J110" s="147"/>
      <c r="K110" s="147"/>
    </row>
    <row r="111" spans="1:11" ht="18" customHeight="1">
      <c r="A111" s="154" t="s">
        <v>155</v>
      </c>
      <c r="B111" s="150" t="s">
        <v>164</v>
      </c>
      <c r="E111" s="150" t="s">
        <v>7</v>
      </c>
      <c r="F111" s="157">
        <v>6622800</v>
      </c>
    </row>
    <row r="112" spans="1:11" ht="18" customHeight="1">
      <c r="B112" s="150"/>
      <c r="E112" s="150"/>
      <c r="F112" s="195"/>
    </row>
    <row r="113" spans="1:6" ht="18" customHeight="1">
      <c r="A113" s="154"/>
      <c r="B113" s="150" t="s">
        <v>15</v>
      </c>
    </row>
    <row r="114" spans="1:6" ht="18" customHeight="1">
      <c r="A114" s="151" t="s">
        <v>171</v>
      </c>
      <c r="B114" s="155" t="s">
        <v>35</v>
      </c>
      <c r="F114" s="196">
        <v>0.51400000000000001</v>
      </c>
    </row>
    <row r="115" spans="1:6" ht="18" customHeight="1">
      <c r="A115" s="151"/>
      <c r="B115" s="150"/>
    </row>
    <row r="116" spans="1:6" ht="18" customHeight="1">
      <c r="A116" s="151" t="s">
        <v>170</v>
      </c>
      <c r="B116" s="150" t="s">
        <v>16</v>
      </c>
    </row>
    <row r="117" spans="1:6" ht="18" customHeight="1">
      <c r="A117" s="151" t="s">
        <v>172</v>
      </c>
      <c r="B117" s="155" t="s">
        <v>17</v>
      </c>
      <c r="F117" s="157">
        <v>390074940</v>
      </c>
    </row>
    <row r="118" spans="1:6" ht="18" customHeight="1">
      <c r="A118" s="151" t="s">
        <v>173</v>
      </c>
      <c r="B118" s="147" t="s">
        <v>18</v>
      </c>
      <c r="F118" s="157">
        <v>3696703</v>
      </c>
    </row>
    <row r="119" spans="1:6" ht="18" customHeight="1">
      <c r="A119" s="151" t="s">
        <v>174</v>
      </c>
      <c r="B119" s="150" t="s">
        <v>19</v>
      </c>
      <c r="F119" s="187">
        <f>SUM(F117:F118)</f>
        <v>393771643</v>
      </c>
    </row>
    <row r="120" spans="1:6" ht="18" customHeight="1">
      <c r="A120" s="151"/>
      <c r="B120" s="150"/>
    </row>
    <row r="121" spans="1:6" ht="18" customHeight="1">
      <c r="A121" s="151" t="s">
        <v>167</v>
      </c>
      <c r="B121" s="150" t="s">
        <v>36</v>
      </c>
      <c r="F121" s="157">
        <v>378327991</v>
      </c>
    </row>
    <row r="122" spans="1:6" ht="18" customHeight="1">
      <c r="A122" s="151"/>
    </row>
    <row r="123" spans="1:6" ht="18" customHeight="1">
      <c r="A123" s="151" t="s">
        <v>175</v>
      </c>
      <c r="B123" s="150" t="s">
        <v>20</v>
      </c>
      <c r="F123" s="157">
        <v>15443652</v>
      </c>
    </row>
    <row r="124" spans="1:6" ht="18" customHeight="1">
      <c r="A124" s="151"/>
    </row>
    <row r="125" spans="1:6" ht="18" customHeight="1">
      <c r="A125" s="151" t="s">
        <v>176</v>
      </c>
      <c r="B125" s="150" t="s">
        <v>21</v>
      </c>
      <c r="F125" s="157">
        <v>8624337</v>
      </c>
    </row>
    <row r="126" spans="1:6" ht="18" customHeight="1">
      <c r="A126" s="151"/>
    </row>
    <row r="127" spans="1:6" ht="18" customHeight="1">
      <c r="A127" s="151" t="s">
        <v>177</v>
      </c>
      <c r="B127" s="150" t="s">
        <v>22</v>
      </c>
      <c r="F127" s="157">
        <v>24067989</v>
      </c>
    </row>
    <row r="128" spans="1:6" ht="18" customHeight="1">
      <c r="A128" s="151"/>
    </row>
    <row r="129" spans="1:11" ht="42.75" customHeight="1">
      <c r="F129" s="153" t="s">
        <v>9</v>
      </c>
      <c r="G129" s="153" t="s">
        <v>37</v>
      </c>
      <c r="H129" s="153" t="s">
        <v>29</v>
      </c>
      <c r="I129" s="153" t="s">
        <v>30</v>
      </c>
      <c r="J129" s="153" t="s">
        <v>33</v>
      </c>
      <c r="K129" s="153" t="s">
        <v>34</v>
      </c>
    </row>
    <row r="130" spans="1:11" ht="18" customHeight="1">
      <c r="A130" s="154" t="s">
        <v>157</v>
      </c>
      <c r="B130" s="150" t="s">
        <v>23</v>
      </c>
    </row>
    <row r="131" spans="1:11" ht="18" customHeight="1">
      <c r="A131" s="151" t="s">
        <v>158</v>
      </c>
      <c r="B131" s="147" t="s">
        <v>24</v>
      </c>
      <c r="F131" s="156"/>
      <c r="G131" s="156"/>
      <c r="H131" s="157"/>
      <c r="I131" s="158">
        <v>0</v>
      </c>
      <c r="J131" s="157"/>
      <c r="K131" s="159">
        <f>(H131+I131)-J131</f>
        <v>0</v>
      </c>
    </row>
    <row r="132" spans="1:11" ht="18" customHeight="1">
      <c r="A132" s="151" t="s">
        <v>159</v>
      </c>
      <c r="B132" s="147" t="s">
        <v>25</v>
      </c>
      <c r="F132" s="156"/>
      <c r="G132" s="156"/>
      <c r="H132" s="157"/>
      <c r="I132" s="158">
        <v>0</v>
      </c>
      <c r="J132" s="157"/>
      <c r="K132" s="159">
        <f>(H132+I132)-J132</f>
        <v>0</v>
      </c>
    </row>
    <row r="133" spans="1:11" ht="18" customHeight="1">
      <c r="A133" s="151" t="s">
        <v>160</v>
      </c>
      <c r="B133" s="898"/>
      <c r="C133" s="899"/>
      <c r="D133" s="900"/>
      <c r="F133" s="156"/>
      <c r="G133" s="156"/>
      <c r="H133" s="157"/>
      <c r="I133" s="158">
        <v>0</v>
      </c>
      <c r="J133" s="157"/>
      <c r="K133" s="159">
        <f>(H133+I133)-J133</f>
        <v>0</v>
      </c>
    </row>
    <row r="134" spans="1:11" ht="18" customHeight="1">
      <c r="A134" s="151" t="s">
        <v>161</v>
      </c>
      <c r="B134" s="898"/>
      <c r="C134" s="899"/>
      <c r="D134" s="900"/>
      <c r="F134" s="156"/>
      <c r="G134" s="156"/>
      <c r="H134" s="157"/>
      <c r="I134" s="158">
        <v>0</v>
      </c>
      <c r="J134" s="157"/>
      <c r="K134" s="159">
        <f>(H134+I134)-J134</f>
        <v>0</v>
      </c>
    </row>
    <row r="135" spans="1:11" ht="18" customHeight="1">
      <c r="A135" s="151" t="s">
        <v>162</v>
      </c>
      <c r="B135" s="898"/>
      <c r="C135" s="899"/>
      <c r="D135" s="900"/>
      <c r="F135" s="156"/>
      <c r="G135" s="156"/>
      <c r="H135" s="157"/>
      <c r="I135" s="158">
        <v>0</v>
      </c>
      <c r="J135" s="157"/>
      <c r="K135" s="159">
        <f>(H135+I135)-J135</f>
        <v>0</v>
      </c>
    </row>
    <row r="136" spans="1:11" ht="18" customHeight="1">
      <c r="A136" s="154"/>
    </row>
    <row r="137" spans="1:11" ht="18" customHeight="1">
      <c r="A137" s="154" t="s">
        <v>163</v>
      </c>
      <c r="B137" s="150" t="s">
        <v>27</v>
      </c>
      <c r="F137" s="162">
        <f t="shared" ref="F137:K137" si="13">SUM(F131:F135)</f>
        <v>0</v>
      </c>
      <c r="G137" s="162">
        <f t="shared" si="13"/>
        <v>0</v>
      </c>
      <c r="H137" s="159">
        <f t="shared" si="13"/>
        <v>0</v>
      </c>
      <c r="I137" s="159">
        <f t="shared" si="13"/>
        <v>0</v>
      </c>
      <c r="J137" s="159">
        <f t="shared" si="13"/>
        <v>0</v>
      </c>
      <c r="K137" s="159">
        <f t="shared" si="13"/>
        <v>0</v>
      </c>
    </row>
    <row r="138" spans="1:11" ht="18" customHeight="1">
      <c r="A138" s="147"/>
    </row>
    <row r="139" spans="1:11" ht="42.75" customHeight="1">
      <c r="F139" s="153" t="s">
        <v>9</v>
      </c>
      <c r="G139" s="153" t="s">
        <v>37</v>
      </c>
      <c r="H139" s="153" t="s">
        <v>29</v>
      </c>
      <c r="I139" s="153" t="s">
        <v>30</v>
      </c>
      <c r="J139" s="153" t="s">
        <v>33</v>
      </c>
      <c r="K139" s="153" t="s">
        <v>34</v>
      </c>
    </row>
    <row r="140" spans="1:11" ht="18" customHeight="1">
      <c r="A140" s="154" t="s">
        <v>166</v>
      </c>
      <c r="B140" s="150" t="s">
        <v>26</v>
      </c>
    </row>
    <row r="141" spans="1:11" ht="18" customHeight="1">
      <c r="A141" s="151" t="s">
        <v>137</v>
      </c>
      <c r="B141" s="150" t="s">
        <v>64</v>
      </c>
      <c r="F141" s="197">
        <f t="shared" ref="F141:K141" si="14">F36</f>
        <v>23160</v>
      </c>
      <c r="G141" s="197">
        <f t="shared" si="14"/>
        <v>46517</v>
      </c>
      <c r="H141" s="197">
        <f t="shared" si="14"/>
        <v>1324876</v>
      </c>
      <c r="I141" s="197">
        <f t="shared" si="14"/>
        <v>680986.26399999997</v>
      </c>
      <c r="J141" s="197">
        <f t="shared" si="14"/>
        <v>279108</v>
      </c>
      <c r="K141" s="197">
        <f t="shared" si="14"/>
        <v>1726754.264</v>
      </c>
    </row>
    <row r="142" spans="1:11" ht="18" customHeight="1">
      <c r="A142" s="151" t="s">
        <v>142</v>
      </c>
      <c r="B142" s="150" t="s">
        <v>65</v>
      </c>
      <c r="F142" s="197">
        <f t="shared" ref="F142:K142" si="15">F49</f>
        <v>7771</v>
      </c>
      <c r="G142" s="197">
        <f t="shared" si="15"/>
        <v>584</v>
      </c>
      <c r="H142" s="197">
        <f t="shared" si="15"/>
        <v>477634</v>
      </c>
      <c r="I142" s="197">
        <f t="shared" si="15"/>
        <v>176274.24</v>
      </c>
      <c r="J142" s="197">
        <f t="shared" si="15"/>
        <v>38754.870000000003</v>
      </c>
      <c r="K142" s="197">
        <f t="shared" si="15"/>
        <v>615153.37</v>
      </c>
    </row>
    <row r="143" spans="1:11" ht="18" customHeight="1">
      <c r="A143" s="151" t="s">
        <v>144</v>
      </c>
      <c r="B143" s="150" t="s">
        <v>66</v>
      </c>
      <c r="F143" s="197">
        <f t="shared" ref="F143:K143" si="16">F64</f>
        <v>233730</v>
      </c>
      <c r="G143" s="197">
        <f t="shared" si="16"/>
        <v>85185</v>
      </c>
      <c r="H143" s="197">
        <f t="shared" si="16"/>
        <v>35844471</v>
      </c>
      <c r="I143" s="197">
        <f t="shared" si="16"/>
        <v>4819399</v>
      </c>
      <c r="J143" s="197">
        <f t="shared" si="16"/>
        <v>18033378</v>
      </c>
      <c r="K143" s="197">
        <f t="shared" si="16"/>
        <v>22630492</v>
      </c>
    </row>
    <row r="144" spans="1:11" ht="18" customHeight="1">
      <c r="A144" s="151" t="s">
        <v>146</v>
      </c>
      <c r="B144" s="150" t="s">
        <v>67</v>
      </c>
      <c r="F144" s="197">
        <f t="shared" ref="F144:K144" si="17">F74</f>
        <v>6</v>
      </c>
      <c r="G144" s="197">
        <f t="shared" si="17"/>
        <v>0</v>
      </c>
      <c r="H144" s="197">
        <f t="shared" si="17"/>
        <v>535</v>
      </c>
      <c r="I144" s="197">
        <f t="shared" si="17"/>
        <v>0</v>
      </c>
      <c r="J144" s="197">
        <f t="shared" si="17"/>
        <v>0</v>
      </c>
      <c r="K144" s="197">
        <f t="shared" si="17"/>
        <v>535</v>
      </c>
    </row>
    <row r="145" spans="1:11" ht="18" customHeight="1">
      <c r="A145" s="151" t="s">
        <v>148</v>
      </c>
      <c r="B145" s="150" t="s">
        <v>68</v>
      </c>
      <c r="F145" s="197">
        <f t="shared" ref="F145:K145" si="18">F82</f>
        <v>1662</v>
      </c>
      <c r="G145" s="197">
        <f t="shared" si="18"/>
        <v>2106</v>
      </c>
      <c r="H145" s="197">
        <f t="shared" si="18"/>
        <v>100489</v>
      </c>
      <c r="I145" s="197">
        <f t="shared" si="18"/>
        <v>0</v>
      </c>
      <c r="J145" s="197">
        <f t="shared" si="18"/>
        <v>0</v>
      </c>
      <c r="K145" s="197">
        <f t="shared" si="18"/>
        <v>100489</v>
      </c>
    </row>
    <row r="146" spans="1:11" ht="18" customHeight="1">
      <c r="A146" s="151" t="s">
        <v>150</v>
      </c>
      <c r="B146" s="150" t="s">
        <v>69</v>
      </c>
      <c r="F146" s="197">
        <f t="shared" ref="F146:K146" si="19">F98</f>
        <v>1429</v>
      </c>
      <c r="G146" s="197">
        <f t="shared" si="19"/>
        <v>404</v>
      </c>
      <c r="H146" s="197">
        <f t="shared" si="19"/>
        <v>311499</v>
      </c>
      <c r="I146" s="197">
        <f t="shared" si="19"/>
        <v>160110.48599999998</v>
      </c>
      <c r="J146" s="197">
        <f t="shared" si="19"/>
        <v>350</v>
      </c>
      <c r="K146" s="197">
        <f t="shared" si="19"/>
        <v>471259.48599999998</v>
      </c>
    </row>
    <row r="147" spans="1:11" ht="18" customHeight="1">
      <c r="A147" s="151" t="s">
        <v>153</v>
      </c>
      <c r="B147" s="150" t="s">
        <v>61</v>
      </c>
      <c r="F147" s="162">
        <f t="shared" ref="F147:K147" si="20">F108</f>
        <v>203</v>
      </c>
      <c r="G147" s="162">
        <f t="shared" si="20"/>
        <v>0</v>
      </c>
      <c r="H147" s="162">
        <f t="shared" si="20"/>
        <v>11222</v>
      </c>
      <c r="I147" s="162">
        <f t="shared" si="20"/>
        <v>5768.1080000000002</v>
      </c>
      <c r="J147" s="162">
        <f t="shared" si="20"/>
        <v>0</v>
      </c>
      <c r="K147" s="162">
        <f t="shared" si="20"/>
        <v>16990.108</v>
      </c>
    </row>
    <row r="148" spans="1:11" ht="18" customHeight="1">
      <c r="A148" s="151" t="s">
        <v>155</v>
      </c>
      <c r="B148" s="150" t="s">
        <v>70</v>
      </c>
      <c r="F148" s="198" t="s">
        <v>73</v>
      </c>
      <c r="G148" s="198" t="s">
        <v>73</v>
      </c>
      <c r="H148" s="199" t="s">
        <v>73</v>
      </c>
      <c r="I148" s="199" t="s">
        <v>73</v>
      </c>
      <c r="J148" s="199" t="s">
        <v>73</v>
      </c>
      <c r="K148" s="200">
        <f>F111</f>
        <v>6622800</v>
      </c>
    </row>
    <row r="149" spans="1:11" ht="18" customHeight="1">
      <c r="A149" s="151" t="s">
        <v>163</v>
      </c>
      <c r="B149" s="150" t="s">
        <v>71</v>
      </c>
      <c r="F149" s="162">
        <f t="shared" ref="F149:K149" si="21">F137</f>
        <v>0</v>
      </c>
      <c r="G149" s="162">
        <f t="shared" si="21"/>
        <v>0</v>
      </c>
      <c r="H149" s="162">
        <f t="shared" si="21"/>
        <v>0</v>
      </c>
      <c r="I149" s="162">
        <f t="shared" si="21"/>
        <v>0</v>
      </c>
      <c r="J149" s="162">
        <f t="shared" si="21"/>
        <v>0</v>
      </c>
      <c r="K149" s="162">
        <f t="shared" si="21"/>
        <v>0</v>
      </c>
    </row>
    <row r="150" spans="1:11" ht="18" customHeight="1">
      <c r="A150" s="151" t="s">
        <v>185</v>
      </c>
      <c r="B150" s="150" t="s">
        <v>186</v>
      </c>
      <c r="F150" s="198" t="s">
        <v>73</v>
      </c>
      <c r="G150" s="198" t="s">
        <v>73</v>
      </c>
      <c r="H150" s="162">
        <f>H18</f>
        <v>10335294</v>
      </c>
      <c r="I150" s="162">
        <f>I18</f>
        <v>0</v>
      </c>
      <c r="J150" s="162">
        <f>J18</f>
        <v>8837969</v>
      </c>
      <c r="K150" s="162">
        <f>K18</f>
        <v>1497325</v>
      </c>
    </row>
    <row r="151" spans="1:11" ht="18" customHeight="1">
      <c r="B151" s="150"/>
      <c r="F151" s="174"/>
      <c r="G151" s="174"/>
      <c r="H151" s="174"/>
      <c r="I151" s="174"/>
      <c r="J151" s="174"/>
      <c r="K151" s="174"/>
    </row>
    <row r="152" spans="1:11" ht="18" customHeight="1">
      <c r="A152" s="154" t="s">
        <v>165</v>
      </c>
      <c r="B152" s="150" t="s">
        <v>26</v>
      </c>
      <c r="F152" s="201">
        <f t="shared" ref="F152:K152" si="22">SUM(F141:F150)</f>
        <v>267961</v>
      </c>
      <c r="G152" s="201">
        <f t="shared" si="22"/>
        <v>134796</v>
      </c>
      <c r="H152" s="201">
        <f t="shared" si="22"/>
        <v>48406020</v>
      </c>
      <c r="I152" s="201">
        <f t="shared" si="22"/>
        <v>5842538.0979999993</v>
      </c>
      <c r="J152" s="201">
        <f t="shared" si="22"/>
        <v>27189559.870000001</v>
      </c>
      <c r="K152" s="201">
        <f t="shared" si="22"/>
        <v>33681798.228</v>
      </c>
    </row>
    <row r="154" spans="1:11" ht="18" customHeight="1">
      <c r="A154" s="154" t="s">
        <v>168</v>
      </c>
      <c r="B154" s="150" t="s">
        <v>28</v>
      </c>
      <c r="F154" s="53">
        <f>K152/F121</f>
        <v>8.902803659589649E-2</v>
      </c>
    </row>
    <row r="155" spans="1:11" ht="18" customHeight="1">
      <c r="A155" s="154" t="s">
        <v>169</v>
      </c>
      <c r="B155" s="150" t="s">
        <v>72</v>
      </c>
      <c r="F155" s="53">
        <f>K152/F127</f>
        <v>1.3994438101164164</v>
      </c>
      <c r="G155" s="150"/>
    </row>
    <row r="156" spans="1:11" ht="18" customHeight="1">
      <c r="G156" s="150"/>
    </row>
  </sheetData>
  <sheetProtection algorithmName="SHA-512" hashValue="iVvdvBFvLJrCQayOzWBOnlmmkvSOlg0vsuWfxw4ykvUWsRMIU69Eos4F9LU4n3blGdfrud4L5z60Zw6vfmvLvQ==" saltValue="dNfDTr1s26G+Dg2uXX89nw==" spinCount="100000" sheet="1" objects="1" scenarios="1"/>
  <mergeCells count="34">
    <mergeCell ref="B41:C41"/>
    <mergeCell ref="D2:H2"/>
    <mergeCell ref="C5:G5"/>
    <mergeCell ref="C6:G6"/>
    <mergeCell ref="C7:G7"/>
    <mergeCell ref="C9:G9"/>
    <mergeCell ref="C10:G10"/>
    <mergeCell ref="C11:G11"/>
    <mergeCell ref="B13:H13"/>
    <mergeCell ref="B30:D30"/>
    <mergeCell ref="B31:D31"/>
    <mergeCell ref="B34:D34"/>
    <mergeCell ref="B90:C90"/>
    <mergeCell ref="B44:D44"/>
    <mergeCell ref="B45:D45"/>
    <mergeCell ref="B46:D46"/>
    <mergeCell ref="B47:D47"/>
    <mergeCell ref="B52:C52"/>
    <mergeCell ref="B53:D53"/>
    <mergeCell ref="B55:D55"/>
    <mergeCell ref="B56:D56"/>
    <mergeCell ref="B57:D57"/>
    <mergeCell ref="B59:D59"/>
    <mergeCell ref="B62:D62"/>
    <mergeCell ref="B106:D106"/>
    <mergeCell ref="B133:D133"/>
    <mergeCell ref="B134:D134"/>
    <mergeCell ref="B135:D135"/>
    <mergeCell ref="B94:D94"/>
    <mergeCell ref="B95:D95"/>
    <mergeCell ref="B96:D96"/>
    <mergeCell ref="B103:C103"/>
    <mergeCell ref="B104:D104"/>
    <mergeCell ref="B105:D105"/>
  </mergeCells>
  <printOptions headings="1" gridLines="1"/>
  <pageMargins left="0.17" right="0.16" top="0.35" bottom="0.32" header="0.17" footer="0.17"/>
  <pageSetup scale="59" fitToHeight="3" orientation="landscape"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8">
    <tabColor theme="0"/>
    <pageSetUpPr fitToPage="1"/>
  </sheetPr>
  <dimension ref="A1:R156"/>
  <sheetViews>
    <sheetView showGridLines="0" topLeftCell="A6" zoomScaleNormal="100" zoomScaleSheetLayoutView="85" workbookViewId="0">
      <selection activeCell="K18" sqref="K18"/>
    </sheetView>
  </sheetViews>
  <sheetFormatPr defaultRowHeight="18" customHeight="1"/>
  <cols>
    <col min="1" max="1" width="8.28515625" style="7" customWidth="1"/>
    <col min="2" max="2" width="55.42578125" bestFit="1" customWidth="1"/>
    <col min="3" max="3" width="9.5703125" customWidth="1"/>
    <col min="5" max="5" width="12.42578125" customWidth="1"/>
    <col min="6" max="6" width="18.5703125" customWidth="1"/>
    <col min="7" max="7" width="23.5703125" customWidth="1"/>
    <col min="8" max="8" width="17.140625" customWidth="1"/>
    <col min="9" max="9" width="21.140625" customWidth="1"/>
    <col min="10" max="10" width="19.85546875" customWidth="1"/>
    <col min="11" max="11" width="17.5703125" customWidth="1"/>
    <col min="12" max="12" width="2.5703125" customWidth="1"/>
    <col min="13" max="13" width="12.5703125" customWidth="1"/>
    <col min="14" max="14" width="11.28515625" style="682" bestFit="1" customWidth="1"/>
  </cols>
  <sheetData>
    <row r="1" spans="1:14" ht="18" customHeight="1">
      <c r="C1" s="3"/>
      <c r="D1" s="2"/>
      <c r="E1" s="3"/>
      <c r="F1" s="3"/>
      <c r="G1" s="3"/>
      <c r="H1" s="3"/>
      <c r="I1" s="3"/>
      <c r="J1" s="3"/>
      <c r="K1" s="3"/>
    </row>
    <row r="2" spans="1:14" ht="18" customHeight="1">
      <c r="D2" s="940" t="s">
        <v>776</v>
      </c>
      <c r="E2" s="941"/>
      <c r="F2" s="941"/>
      <c r="G2" s="941"/>
      <c r="H2" s="941"/>
    </row>
    <row r="3" spans="1:14" ht="18" customHeight="1">
      <c r="B3" s="1" t="s">
        <v>0</v>
      </c>
    </row>
    <row r="5" spans="1:14" ht="18" customHeight="1">
      <c r="B5" s="345" t="s">
        <v>40</v>
      </c>
      <c r="C5" s="1049" t="s">
        <v>298</v>
      </c>
      <c r="D5" s="1050"/>
      <c r="E5" s="1050"/>
      <c r="F5" s="1050"/>
      <c r="G5" s="1051"/>
      <c r="H5" s="347"/>
      <c r="I5" s="347"/>
      <c r="J5" s="347"/>
      <c r="K5" s="347"/>
    </row>
    <row r="6" spans="1:14" ht="18" customHeight="1">
      <c r="B6" s="345" t="s">
        <v>3</v>
      </c>
      <c r="C6" s="1052" t="s">
        <v>593</v>
      </c>
      <c r="D6" s="1053"/>
      <c r="E6" s="1053"/>
      <c r="F6" s="1053"/>
      <c r="G6" s="1054"/>
      <c r="H6" s="347"/>
      <c r="I6" s="347"/>
      <c r="J6" s="347"/>
      <c r="K6" s="347"/>
    </row>
    <row r="7" spans="1:14" ht="18" customHeight="1">
      <c r="B7" s="345" t="s">
        <v>4</v>
      </c>
      <c r="C7" s="1055">
        <f>1711+34+31</f>
        <v>1776</v>
      </c>
      <c r="D7" s="1056"/>
      <c r="E7" s="1056"/>
      <c r="F7" s="1056"/>
      <c r="G7" s="1057"/>
      <c r="H7" s="347"/>
      <c r="I7" s="347"/>
      <c r="J7" s="347"/>
      <c r="K7" s="347"/>
      <c r="M7" s="257"/>
      <c r="N7" s="683"/>
    </row>
    <row r="8" spans="1:14" ht="18" customHeight="1">
      <c r="B8" s="347"/>
      <c r="C8" s="347"/>
      <c r="D8" s="347"/>
      <c r="E8" s="347"/>
      <c r="F8" s="347"/>
      <c r="G8" s="347"/>
      <c r="H8" s="347"/>
      <c r="I8" s="347"/>
      <c r="J8" s="347"/>
      <c r="K8" s="347"/>
    </row>
    <row r="9" spans="1:14" ht="18" customHeight="1">
      <c r="B9" s="345" t="s">
        <v>1</v>
      </c>
      <c r="C9" s="1049" t="s">
        <v>594</v>
      </c>
      <c r="D9" s="1050"/>
      <c r="E9" s="1050"/>
      <c r="F9" s="1050"/>
      <c r="G9" s="1051"/>
      <c r="H9" s="347"/>
      <c r="I9" s="347"/>
      <c r="J9" s="347"/>
      <c r="K9" s="347"/>
    </row>
    <row r="10" spans="1:14" ht="18" customHeight="1">
      <c r="B10" s="345" t="s">
        <v>2</v>
      </c>
      <c r="C10" s="1042" t="s">
        <v>595</v>
      </c>
      <c r="D10" s="1043"/>
      <c r="E10" s="1043"/>
      <c r="F10" s="1043"/>
      <c r="G10" s="1044"/>
      <c r="H10" s="347"/>
      <c r="I10" s="347"/>
      <c r="J10" s="347"/>
      <c r="K10" s="347"/>
    </row>
    <row r="11" spans="1:14" ht="18" customHeight="1">
      <c r="B11" s="345" t="s">
        <v>32</v>
      </c>
      <c r="C11" s="1042" t="s">
        <v>883</v>
      </c>
      <c r="D11" s="1043"/>
      <c r="E11" s="1043"/>
      <c r="F11" s="1043"/>
      <c r="G11" s="1044"/>
      <c r="H11" s="347"/>
      <c r="I11" s="347"/>
      <c r="J11" s="347"/>
      <c r="K11" s="347"/>
    </row>
    <row r="12" spans="1:14" ht="18" customHeight="1">
      <c r="B12" s="345"/>
      <c r="C12" s="345"/>
      <c r="D12" s="345"/>
      <c r="E12" s="345"/>
      <c r="F12" s="345"/>
      <c r="G12" s="345"/>
      <c r="H12" s="347"/>
      <c r="I12" s="347"/>
      <c r="J12" s="347"/>
      <c r="K12" s="347"/>
    </row>
    <row r="13" spans="1:14" ht="24.6" customHeight="1">
      <c r="B13" s="955"/>
      <c r="C13" s="1045"/>
      <c r="D13" s="1045"/>
      <c r="E13" s="1045"/>
      <c r="F13" s="1045"/>
      <c r="G13" s="1045"/>
      <c r="H13" s="1046"/>
      <c r="I13" s="684"/>
      <c r="J13" s="347"/>
      <c r="K13" s="347"/>
    </row>
    <row r="14" spans="1:14" ht="18" customHeight="1">
      <c r="B14" s="6"/>
      <c r="C14" s="347"/>
      <c r="D14" s="347"/>
      <c r="E14" s="347"/>
      <c r="F14" s="347"/>
      <c r="G14" s="347"/>
      <c r="H14" s="347"/>
      <c r="I14" s="347"/>
      <c r="J14" s="347"/>
      <c r="K14" s="347"/>
    </row>
    <row r="15" spans="1:14" ht="18" customHeight="1">
      <c r="B15" s="6"/>
      <c r="C15" s="347"/>
      <c r="D15" s="347"/>
      <c r="E15" s="347"/>
      <c r="F15" s="347"/>
      <c r="G15" s="347"/>
      <c r="H15" s="347"/>
      <c r="I15" s="347"/>
      <c r="J15" s="347"/>
      <c r="K15" s="347"/>
    </row>
    <row r="16" spans="1:14" ht="45" customHeight="1">
      <c r="A16" s="2" t="s">
        <v>181</v>
      </c>
      <c r="B16" s="684"/>
      <c r="C16" s="684"/>
      <c r="D16" s="684"/>
      <c r="E16" s="684"/>
      <c r="F16" s="685" t="s">
        <v>9</v>
      </c>
      <c r="G16" s="685" t="s">
        <v>37</v>
      </c>
      <c r="H16" s="685" t="s">
        <v>29</v>
      </c>
      <c r="I16" s="685" t="s">
        <v>30</v>
      </c>
      <c r="J16" s="685" t="s">
        <v>33</v>
      </c>
      <c r="K16" s="685" t="s">
        <v>34</v>
      </c>
    </row>
    <row r="17" spans="1:13" ht="18" customHeight="1">
      <c r="A17" s="5" t="s">
        <v>184</v>
      </c>
      <c r="B17" s="686" t="s">
        <v>182</v>
      </c>
      <c r="C17" s="347"/>
      <c r="D17" s="347"/>
      <c r="E17" s="347"/>
      <c r="F17" s="347"/>
      <c r="G17" s="347"/>
      <c r="H17" s="347"/>
      <c r="I17" s="347"/>
      <c r="J17" s="347"/>
      <c r="K17" s="347"/>
    </row>
    <row r="18" spans="1:13" ht="18" customHeight="1">
      <c r="A18" s="4" t="s">
        <v>185</v>
      </c>
      <c r="B18" s="687" t="s">
        <v>183</v>
      </c>
      <c r="C18" s="347"/>
      <c r="D18" s="347"/>
      <c r="E18" s="347"/>
      <c r="F18" s="43" t="s">
        <v>73</v>
      </c>
      <c r="G18" s="43" t="s">
        <v>73</v>
      </c>
      <c r="H18" s="287">
        <v>7253095.6238646954</v>
      </c>
      <c r="I18" s="44">
        <v>0</v>
      </c>
      <c r="J18" s="287">
        <v>6202303.6349099334</v>
      </c>
      <c r="K18" s="288">
        <f>(H18+I18)-J18</f>
        <v>1050791.988954762</v>
      </c>
    </row>
    <row r="19" spans="1:13" ht="45" customHeight="1">
      <c r="A19" s="2" t="s">
        <v>8</v>
      </c>
      <c r="B19" s="684"/>
      <c r="C19" s="684"/>
      <c r="D19" s="684"/>
      <c r="E19" s="684"/>
      <c r="F19" s="685" t="s">
        <v>9</v>
      </c>
      <c r="G19" s="685" t="s">
        <v>37</v>
      </c>
      <c r="H19" s="685" t="s">
        <v>29</v>
      </c>
      <c r="I19" s="685" t="s">
        <v>30</v>
      </c>
      <c r="J19" s="685" t="s">
        <v>33</v>
      </c>
      <c r="K19" s="685" t="s">
        <v>34</v>
      </c>
    </row>
    <row r="20" spans="1:13" ht="18" customHeight="1">
      <c r="A20" s="5" t="s">
        <v>74</v>
      </c>
      <c r="B20" s="686" t="s">
        <v>41</v>
      </c>
      <c r="C20" s="347"/>
      <c r="D20" s="347"/>
      <c r="E20" s="347"/>
      <c r="F20" s="347"/>
      <c r="G20" s="347"/>
      <c r="H20" s="347"/>
      <c r="I20" s="347"/>
      <c r="J20" s="347"/>
      <c r="K20" s="347"/>
    </row>
    <row r="21" spans="1:13" ht="18" customHeight="1">
      <c r="A21" s="4" t="s">
        <v>75</v>
      </c>
      <c r="B21" s="687" t="s">
        <v>42</v>
      </c>
      <c r="C21" s="347"/>
      <c r="D21" s="347"/>
      <c r="E21" s="347"/>
      <c r="F21" s="43">
        <v>4940</v>
      </c>
      <c r="G21" s="43">
        <v>15658</v>
      </c>
      <c r="H21" s="287">
        <v>374821</v>
      </c>
      <c r="I21" s="287">
        <f t="shared" ref="I21:I30" si="0">H21*F$114</f>
        <v>201688.14678002303</v>
      </c>
      <c r="J21" s="287">
        <v>88825</v>
      </c>
      <c r="K21" s="288">
        <f t="shared" ref="K21:K30" si="1">(H21+I21)-J21</f>
        <v>487684.146780023</v>
      </c>
      <c r="L21" s="289"/>
      <c r="M21" s="688"/>
    </row>
    <row r="22" spans="1:13" ht="18" customHeight="1">
      <c r="A22" s="4" t="s">
        <v>76</v>
      </c>
      <c r="B22" s="347" t="s">
        <v>6</v>
      </c>
      <c r="C22" s="347"/>
      <c r="D22" s="347"/>
      <c r="E22" s="347"/>
      <c r="F22" s="43">
        <v>99</v>
      </c>
      <c r="G22" s="43">
        <v>346</v>
      </c>
      <c r="H22" s="287">
        <v>7237</v>
      </c>
      <c r="I22" s="287">
        <f t="shared" si="0"/>
        <v>3894.1711330128956</v>
      </c>
      <c r="J22" s="287">
        <v>0</v>
      </c>
      <c r="K22" s="288">
        <f t="shared" si="1"/>
        <v>11131.171133012896</v>
      </c>
      <c r="L22" s="289"/>
      <c r="M22" s="289"/>
    </row>
    <row r="23" spans="1:13" ht="18" customHeight="1">
      <c r="A23" s="4" t="s">
        <v>77</v>
      </c>
      <c r="B23" s="347" t="s">
        <v>43</v>
      </c>
      <c r="C23" s="347"/>
      <c r="D23" s="347"/>
      <c r="E23" s="347"/>
      <c r="F23" s="43">
        <v>0</v>
      </c>
      <c r="G23" s="43">
        <v>0</v>
      </c>
      <c r="H23" s="287">
        <v>0</v>
      </c>
      <c r="I23" s="287">
        <f t="shared" si="0"/>
        <v>0</v>
      </c>
      <c r="J23" s="287">
        <v>0</v>
      </c>
      <c r="K23" s="288">
        <f t="shared" si="1"/>
        <v>0</v>
      </c>
      <c r="L23" s="289"/>
      <c r="M23" s="289"/>
    </row>
    <row r="24" spans="1:13" ht="18" customHeight="1">
      <c r="A24" s="4" t="s">
        <v>78</v>
      </c>
      <c r="B24" s="347" t="s">
        <v>44</v>
      </c>
      <c r="C24" s="347"/>
      <c r="D24" s="347"/>
      <c r="E24" s="347"/>
      <c r="F24" s="43">
        <v>1076.8</v>
      </c>
      <c r="G24" s="43">
        <v>2608</v>
      </c>
      <c r="H24" s="287">
        <v>164625</v>
      </c>
      <c r="I24" s="287">
        <f t="shared" si="0"/>
        <v>88583.380236596378</v>
      </c>
      <c r="J24" s="287">
        <v>12548</v>
      </c>
      <c r="K24" s="288">
        <f t="shared" si="1"/>
        <v>240660.38023659639</v>
      </c>
      <c r="L24" s="289"/>
      <c r="M24" s="289"/>
    </row>
    <row r="25" spans="1:13" ht="18" customHeight="1">
      <c r="A25" s="4" t="s">
        <v>79</v>
      </c>
      <c r="B25" s="347" t="s">
        <v>5</v>
      </c>
      <c r="C25" s="347"/>
      <c r="D25" s="347"/>
      <c r="E25" s="347"/>
      <c r="F25" s="43">
        <v>89</v>
      </c>
      <c r="G25" s="43">
        <v>244</v>
      </c>
      <c r="H25" s="287">
        <v>5348</v>
      </c>
      <c r="I25" s="287">
        <f t="shared" si="0"/>
        <v>2877.7155201537885</v>
      </c>
      <c r="J25" s="287">
        <v>0</v>
      </c>
      <c r="K25" s="288">
        <f t="shared" si="1"/>
        <v>8225.715520153788</v>
      </c>
      <c r="L25" s="289"/>
      <c r="M25" s="289"/>
    </row>
    <row r="26" spans="1:13" ht="18" customHeight="1">
      <c r="A26" s="4" t="s">
        <v>80</v>
      </c>
      <c r="B26" s="347" t="s">
        <v>45</v>
      </c>
      <c r="C26" s="347"/>
      <c r="D26" s="347"/>
      <c r="E26" s="347"/>
      <c r="F26" s="43">
        <v>0</v>
      </c>
      <c r="G26" s="43">
        <v>0</v>
      </c>
      <c r="H26" s="287">
        <v>0</v>
      </c>
      <c r="I26" s="287">
        <f t="shared" si="0"/>
        <v>0</v>
      </c>
      <c r="J26" s="287">
        <v>0</v>
      </c>
      <c r="K26" s="288">
        <f t="shared" si="1"/>
        <v>0</v>
      </c>
      <c r="L26" s="289"/>
      <c r="M26" s="289"/>
    </row>
    <row r="27" spans="1:13" ht="18" customHeight="1">
      <c r="A27" s="4" t="s">
        <v>81</v>
      </c>
      <c r="B27" s="347" t="s">
        <v>46</v>
      </c>
      <c r="C27" s="347"/>
      <c r="D27" s="347"/>
      <c r="E27" s="347"/>
      <c r="F27" s="43">
        <v>272</v>
      </c>
      <c r="G27" s="43">
        <v>1088</v>
      </c>
      <c r="H27" s="287">
        <v>112313</v>
      </c>
      <c r="I27" s="287">
        <f t="shared" si="0"/>
        <v>60434.716382765975</v>
      </c>
      <c r="J27" s="287">
        <v>0</v>
      </c>
      <c r="K27" s="288">
        <f t="shared" si="1"/>
        <v>172747.71638276597</v>
      </c>
      <c r="L27" s="289"/>
      <c r="M27" s="289"/>
    </row>
    <row r="28" spans="1:13" ht="18" customHeight="1">
      <c r="A28" s="4" t="s">
        <v>82</v>
      </c>
      <c r="B28" s="347" t="s">
        <v>47</v>
      </c>
      <c r="C28" s="347"/>
      <c r="D28" s="347"/>
      <c r="E28" s="347"/>
      <c r="F28" s="43">
        <v>0</v>
      </c>
      <c r="G28" s="43">
        <v>0</v>
      </c>
      <c r="H28" s="287">
        <v>0</v>
      </c>
      <c r="I28" s="287">
        <f t="shared" si="0"/>
        <v>0</v>
      </c>
      <c r="J28" s="287">
        <v>0</v>
      </c>
      <c r="K28" s="288">
        <f t="shared" si="1"/>
        <v>0</v>
      </c>
      <c r="L28" s="289"/>
      <c r="M28" s="289"/>
    </row>
    <row r="29" spans="1:13" ht="18" customHeight="1">
      <c r="A29" s="4" t="s">
        <v>83</v>
      </c>
      <c r="B29" s="347" t="s">
        <v>48</v>
      </c>
      <c r="C29" s="347"/>
      <c r="D29" s="347"/>
      <c r="E29" s="347"/>
      <c r="F29" s="43">
        <v>20102</v>
      </c>
      <c r="G29" s="43">
        <v>2274</v>
      </c>
      <c r="H29" s="287">
        <v>641932</v>
      </c>
      <c r="I29" s="287">
        <f t="shared" si="0"/>
        <v>345418.41422650742</v>
      </c>
      <c r="J29" s="287">
        <v>0</v>
      </c>
      <c r="K29" s="288">
        <f t="shared" si="1"/>
        <v>987350.41422650742</v>
      </c>
      <c r="L29" s="289"/>
      <c r="M29" s="289"/>
    </row>
    <row r="30" spans="1:13" ht="18" customHeight="1">
      <c r="A30" s="4" t="s">
        <v>84</v>
      </c>
      <c r="B30" s="1038" t="s">
        <v>596</v>
      </c>
      <c r="C30" s="1037"/>
      <c r="D30" s="1037"/>
      <c r="E30" s="347"/>
      <c r="F30" s="43">
        <v>1</v>
      </c>
      <c r="G30" s="43">
        <v>0</v>
      </c>
      <c r="H30" s="287">
        <v>1888</v>
      </c>
      <c r="I30" s="287">
        <f t="shared" si="0"/>
        <v>1015.9175209518236</v>
      </c>
      <c r="J30" s="287">
        <v>0</v>
      </c>
      <c r="K30" s="288">
        <f t="shared" si="1"/>
        <v>2903.9175209518235</v>
      </c>
      <c r="L30" s="289"/>
      <c r="M30" s="289"/>
    </row>
    <row r="31" spans="1:13" ht="18" customHeight="1">
      <c r="A31" s="4" t="s">
        <v>133</v>
      </c>
      <c r="B31" s="1037"/>
      <c r="C31" s="1037"/>
      <c r="D31" s="1037"/>
      <c r="E31" s="347"/>
      <c r="F31" s="341"/>
      <c r="G31" s="341"/>
      <c r="H31" s="689"/>
      <c r="I31" s="689"/>
      <c r="J31" s="689"/>
      <c r="K31" s="690"/>
      <c r="L31" s="289"/>
      <c r="M31" s="289"/>
    </row>
    <row r="32" spans="1:13" ht="18" customHeight="1">
      <c r="A32" s="4" t="s">
        <v>134</v>
      </c>
      <c r="B32" s="751"/>
      <c r="C32" s="751"/>
      <c r="D32" s="751"/>
      <c r="E32" s="347"/>
      <c r="F32" s="341"/>
      <c r="G32" s="691" t="s">
        <v>85</v>
      </c>
      <c r="H32" s="689"/>
      <c r="I32" s="689"/>
      <c r="J32" s="689"/>
      <c r="K32" s="690"/>
      <c r="L32" s="289"/>
      <c r="M32" s="289"/>
    </row>
    <row r="33" spans="1:13" ht="18" customHeight="1">
      <c r="A33" s="4" t="s">
        <v>135</v>
      </c>
      <c r="B33" s="751"/>
      <c r="C33" s="751"/>
      <c r="D33" s="751"/>
      <c r="E33" s="347"/>
      <c r="F33" s="341"/>
      <c r="G33" s="691" t="s">
        <v>85</v>
      </c>
      <c r="H33" s="689"/>
      <c r="I33" s="689"/>
      <c r="J33" s="689"/>
      <c r="K33" s="690"/>
      <c r="L33" s="289"/>
      <c r="M33" s="289"/>
    </row>
    <row r="34" spans="1:13" ht="18" customHeight="1">
      <c r="A34" s="4" t="s">
        <v>136</v>
      </c>
      <c r="B34" s="1039"/>
      <c r="C34" s="1039"/>
      <c r="D34" s="1039"/>
      <c r="E34" s="347"/>
      <c r="F34" s="341"/>
      <c r="G34" s="691" t="s">
        <v>85</v>
      </c>
      <c r="H34" s="689"/>
      <c r="I34" s="689"/>
      <c r="J34" s="689"/>
      <c r="K34" s="690"/>
      <c r="L34" s="289"/>
      <c r="M34" s="289"/>
    </row>
    <row r="35" spans="1:13" ht="18" customHeight="1">
      <c r="B35" s="347"/>
      <c r="C35" s="347"/>
      <c r="D35" s="347"/>
      <c r="E35" s="347"/>
      <c r="F35" s="347"/>
      <c r="G35" s="347"/>
      <c r="H35" s="692"/>
      <c r="I35" s="347"/>
      <c r="J35" s="347"/>
      <c r="K35" s="693"/>
      <c r="L35" s="9"/>
    </row>
    <row r="36" spans="1:13" ht="18" customHeight="1">
      <c r="A36" s="5" t="s">
        <v>137</v>
      </c>
      <c r="B36" s="686" t="s">
        <v>138</v>
      </c>
      <c r="C36" s="347"/>
      <c r="D36" s="347"/>
      <c r="E36" s="686" t="s">
        <v>7</v>
      </c>
      <c r="F36" s="694">
        <f t="shared" ref="F36:K36" si="2">SUM(F21:F34)</f>
        <v>26579.8</v>
      </c>
      <c r="G36" s="694">
        <f t="shared" si="2"/>
        <v>22218</v>
      </c>
      <c r="H36" s="694">
        <f t="shared" si="2"/>
        <v>1308164</v>
      </c>
      <c r="I36" s="288">
        <f t="shared" si="2"/>
        <v>703912.46180001134</v>
      </c>
      <c r="J36" s="288">
        <f t="shared" si="2"/>
        <v>101373</v>
      </c>
      <c r="K36" s="288">
        <f t="shared" si="2"/>
        <v>1910703.4618000111</v>
      </c>
    </row>
    <row r="37" spans="1:13" ht="18" customHeight="1">
      <c r="B37" s="686"/>
      <c r="C37" s="347"/>
      <c r="D37" s="347"/>
      <c r="E37" s="347"/>
      <c r="F37" s="695"/>
      <c r="G37" s="695"/>
      <c r="H37" s="696"/>
      <c r="I37" s="696"/>
      <c r="J37" s="696"/>
      <c r="K37" s="696"/>
      <c r="L37" s="9"/>
    </row>
    <row r="38" spans="1:13" ht="42.75" customHeight="1">
      <c r="B38" s="347"/>
      <c r="C38" s="347"/>
      <c r="D38" s="347"/>
      <c r="E38" s="347"/>
      <c r="F38" s="697" t="s">
        <v>9</v>
      </c>
      <c r="G38" s="697" t="s">
        <v>37</v>
      </c>
      <c r="H38" s="697" t="s">
        <v>29</v>
      </c>
      <c r="I38" s="697" t="s">
        <v>30</v>
      </c>
      <c r="J38" s="697" t="s">
        <v>33</v>
      </c>
      <c r="K38" s="697" t="s">
        <v>34</v>
      </c>
    </row>
    <row r="39" spans="1:13" ht="18.75" customHeight="1">
      <c r="A39" s="5" t="s">
        <v>86</v>
      </c>
      <c r="B39" s="686" t="s">
        <v>49</v>
      </c>
      <c r="C39" s="347"/>
      <c r="D39" s="347"/>
      <c r="E39" s="347"/>
      <c r="F39" s="347"/>
      <c r="G39" s="347"/>
      <c r="H39" s="692"/>
      <c r="I39" s="347"/>
      <c r="J39" s="347"/>
      <c r="K39" s="347"/>
    </row>
    <row r="40" spans="1:13" ht="18" customHeight="1">
      <c r="A40" s="4" t="s">
        <v>87</v>
      </c>
      <c r="B40" s="347" t="s">
        <v>31</v>
      </c>
      <c r="C40" s="347"/>
      <c r="D40" s="347"/>
      <c r="E40" s="347"/>
      <c r="F40" s="43">
        <v>748.5</v>
      </c>
      <c r="G40" s="43">
        <v>3867</v>
      </c>
      <c r="H40" s="287">
        <v>77303</v>
      </c>
      <c r="I40" s="287">
        <f>+H40*'[15]Indirect Cost Ratio'!$E$23</f>
        <v>18739.176363819704</v>
      </c>
      <c r="J40" s="287">
        <v>0</v>
      </c>
      <c r="K40" s="288">
        <f>(H40+I40)-J40</f>
        <v>96042.176363819701</v>
      </c>
      <c r="L40" s="289"/>
      <c r="M40" s="289"/>
    </row>
    <row r="41" spans="1:13" ht="18" customHeight="1">
      <c r="A41" s="4" t="s">
        <v>88</v>
      </c>
      <c r="B41" s="1040" t="s">
        <v>50</v>
      </c>
      <c r="C41" s="1041"/>
      <c r="D41" s="347"/>
      <c r="E41" s="347"/>
      <c r="F41" s="43">
        <v>17266</v>
      </c>
      <c r="G41" s="43">
        <v>244</v>
      </c>
      <c r="H41" s="287">
        <f>959781+('[16]Budget Sheet'!$B$61-'[17]Input Info'!$F$108)</f>
        <v>1792654.7847006563</v>
      </c>
      <c r="I41" s="287">
        <f>+H41*'[15]Indirect Cost Ratio'!$E$23</f>
        <v>434561.06709895917</v>
      </c>
      <c r="J41" s="287">
        <v>0</v>
      </c>
      <c r="K41" s="288">
        <f>(H41+I41)-J41</f>
        <v>2227215.8517996157</v>
      </c>
      <c r="L41" s="289"/>
      <c r="M41" s="289"/>
    </row>
    <row r="42" spans="1:13" ht="18" customHeight="1">
      <c r="A42" s="4" t="s">
        <v>89</v>
      </c>
      <c r="B42" s="687" t="s">
        <v>11</v>
      </c>
      <c r="C42" s="347"/>
      <c r="D42" s="347"/>
      <c r="E42" s="347"/>
      <c r="F42" s="43">
        <v>8263</v>
      </c>
      <c r="G42" s="43">
        <v>55</v>
      </c>
      <c r="H42" s="287">
        <v>458716</v>
      </c>
      <c r="I42" s="287">
        <f>+H42*'[15]Indirect Cost Ratio'!$E$23</f>
        <v>111198.27205808209</v>
      </c>
      <c r="J42" s="287">
        <v>12548</v>
      </c>
      <c r="K42" s="288">
        <f>(H42+I42)-J42</f>
        <v>557366.27205808205</v>
      </c>
      <c r="L42" s="289"/>
      <c r="M42" s="289"/>
    </row>
    <row r="43" spans="1:13" ht="18" customHeight="1">
      <c r="A43" s="4" t="s">
        <v>90</v>
      </c>
      <c r="B43" s="698" t="s">
        <v>10</v>
      </c>
      <c r="C43" s="21"/>
      <c r="D43" s="21"/>
      <c r="E43" s="347"/>
      <c r="F43" s="43">
        <v>48</v>
      </c>
      <c r="G43" s="43">
        <v>34</v>
      </c>
      <c r="H43" s="287">
        <v>3511</v>
      </c>
      <c r="I43" s="287">
        <v>0</v>
      </c>
      <c r="J43" s="287">
        <v>0</v>
      </c>
      <c r="K43" s="288">
        <f>(H43+I43)-J43</f>
        <v>3511</v>
      </c>
      <c r="L43" s="289"/>
      <c r="M43" s="289"/>
    </row>
    <row r="44" spans="1:13" ht="18" customHeight="1">
      <c r="A44" s="4" t="s">
        <v>91</v>
      </c>
      <c r="B44" s="1037" t="s">
        <v>339</v>
      </c>
      <c r="C44" s="1037"/>
      <c r="D44" s="1037"/>
      <c r="E44" s="347"/>
      <c r="F44" s="43">
        <v>12181</v>
      </c>
      <c r="G44" s="43">
        <v>1378</v>
      </c>
      <c r="H44" s="45">
        <v>575805</v>
      </c>
      <c r="I44" s="287">
        <f>+H44*'[15]Indirect Cost Ratio'!$E$23</f>
        <v>139582.05304023394</v>
      </c>
      <c r="J44" s="287">
        <v>0</v>
      </c>
      <c r="K44" s="45">
        <f>(H44+I44)-J44</f>
        <v>715387.05304023391</v>
      </c>
      <c r="L44" s="289"/>
      <c r="M44" s="289"/>
    </row>
    <row r="45" spans="1:13" ht="18" customHeight="1">
      <c r="A45" s="4" t="s">
        <v>139</v>
      </c>
      <c r="B45" s="1037"/>
      <c r="C45" s="1037"/>
      <c r="D45" s="1037"/>
      <c r="E45" s="347"/>
      <c r="F45" s="341"/>
      <c r="G45" s="341"/>
      <c r="H45" s="689"/>
      <c r="I45" s="689"/>
      <c r="J45" s="689"/>
      <c r="K45" s="690"/>
    </row>
    <row r="46" spans="1:13" ht="18" customHeight="1">
      <c r="A46" s="4" t="s">
        <v>140</v>
      </c>
      <c r="B46" s="1037"/>
      <c r="C46" s="1037"/>
      <c r="D46" s="1037"/>
      <c r="E46" s="347"/>
      <c r="F46" s="341"/>
      <c r="G46" s="341"/>
      <c r="H46" s="689"/>
      <c r="I46" s="689"/>
      <c r="J46" s="689"/>
      <c r="K46" s="690"/>
    </row>
    <row r="47" spans="1:13" ht="18" customHeight="1">
      <c r="A47" s="4" t="s">
        <v>141</v>
      </c>
      <c r="B47" s="1037"/>
      <c r="C47" s="1037"/>
      <c r="D47" s="1037"/>
      <c r="E47" s="347"/>
      <c r="F47" s="341"/>
      <c r="G47" s="341"/>
      <c r="H47" s="689"/>
      <c r="I47" s="689"/>
      <c r="J47" s="689"/>
      <c r="K47" s="690"/>
    </row>
    <row r="48" spans="1:13" ht="18" customHeight="1">
      <c r="B48" s="347"/>
      <c r="C48" s="347"/>
      <c r="D48" s="347"/>
      <c r="E48" s="347"/>
      <c r="F48" s="347"/>
      <c r="G48" s="347"/>
      <c r="H48" s="347"/>
      <c r="I48" s="347"/>
      <c r="J48" s="347"/>
      <c r="K48" s="347"/>
    </row>
    <row r="49" spans="1:18" ht="18" customHeight="1">
      <c r="A49" s="5" t="s">
        <v>142</v>
      </c>
      <c r="B49" s="686" t="s">
        <v>143</v>
      </c>
      <c r="C49" s="347"/>
      <c r="D49" s="347"/>
      <c r="E49" s="686" t="s">
        <v>7</v>
      </c>
      <c r="F49" s="699">
        <f t="shared" ref="F49:K49" si="3">SUM(F40:F47)</f>
        <v>38506.5</v>
      </c>
      <c r="G49" s="699">
        <f t="shared" si="3"/>
        <v>5578</v>
      </c>
      <c r="H49" s="288">
        <f t="shared" si="3"/>
        <v>2907989.7847006563</v>
      </c>
      <c r="I49" s="288">
        <f t="shared" si="3"/>
        <v>704080.56856109481</v>
      </c>
      <c r="J49" s="288">
        <f t="shared" si="3"/>
        <v>12548</v>
      </c>
      <c r="K49" s="288">
        <f t="shared" si="3"/>
        <v>3599522.3532617516</v>
      </c>
    </row>
    <row r="50" spans="1:18" ht="18" customHeight="1">
      <c r="B50" s="347"/>
      <c r="C50" s="347"/>
      <c r="D50" s="347"/>
      <c r="E50" s="347"/>
      <c r="F50" s="347"/>
      <c r="G50" s="700"/>
      <c r="H50" s="700"/>
      <c r="I50" s="700"/>
      <c r="J50" s="700"/>
      <c r="K50" s="700"/>
    </row>
    <row r="51" spans="1:18" ht="42.75" customHeight="1">
      <c r="B51" s="347"/>
      <c r="C51" s="347"/>
      <c r="D51" s="347"/>
      <c r="E51" s="347"/>
      <c r="F51" s="685" t="s">
        <v>9</v>
      </c>
      <c r="G51" s="685" t="s">
        <v>37</v>
      </c>
      <c r="H51" s="685" t="s">
        <v>29</v>
      </c>
      <c r="I51" s="685" t="s">
        <v>30</v>
      </c>
      <c r="J51" s="685" t="s">
        <v>33</v>
      </c>
      <c r="K51" s="685" t="s">
        <v>34</v>
      </c>
    </row>
    <row r="52" spans="1:18" ht="18" customHeight="1">
      <c r="A52" s="5" t="s">
        <v>92</v>
      </c>
      <c r="B52" s="1047" t="s">
        <v>38</v>
      </c>
      <c r="C52" s="1048"/>
      <c r="D52" s="347"/>
      <c r="E52" s="347"/>
      <c r="F52" s="347"/>
      <c r="G52" s="347"/>
      <c r="H52" s="347"/>
      <c r="I52" s="347"/>
      <c r="J52" s="347"/>
      <c r="K52" s="347"/>
    </row>
    <row r="53" spans="1:18" ht="18" customHeight="1">
      <c r="A53" s="4" t="s">
        <v>51</v>
      </c>
      <c r="B53" s="1037" t="s">
        <v>597</v>
      </c>
      <c r="C53" s="1037"/>
      <c r="D53" s="1037"/>
      <c r="E53" s="347"/>
      <c r="F53" s="43">
        <v>0</v>
      </c>
      <c r="G53" s="43">
        <v>0</v>
      </c>
      <c r="H53" s="287">
        <f>+'[18]RCE calc'!$E$52</f>
        <v>519730</v>
      </c>
      <c r="I53" s="44">
        <f>+H53*'[15]Indirect Cost Ratio'!$E$23</f>
        <v>125988.79903196532</v>
      </c>
      <c r="J53" s="287">
        <f>+'[18]RCE calc'!$F$52</f>
        <v>401290.56</v>
      </c>
      <c r="K53" s="288">
        <f t="shared" ref="K53:K60" si="4">(H53+I53)-J53</f>
        <v>244428.23903196532</v>
      </c>
      <c r="L53" s="289"/>
      <c r="M53" s="701"/>
      <c r="R53" s="257"/>
    </row>
    <row r="54" spans="1:18" ht="18" customHeight="1">
      <c r="A54" s="4" t="s">
        <v>93</v>
      </c>
      <c r="B54" s="749" t="s">
        <v>598</v>
      </c>
      <c r="C54" s="749"/>
      <c r="D54" s="749"/>
      <c r="E54" s="347"/>
      <c r="F54" s="43">
        <v>0</v>
      </c>
      <c r="G54" s="43">
        <v>0</v>
      </c>
      <c r="H54" s="287">
        <f>+[19]Statement!$I$26</f>
        <v>218924.9</v>
      </c>
      <c r="I54" s="44">
        <v>0</v>
      </c>
      <c r="J54" s="287">
        <v>0</v>
      </c>
      <c r="K54" s="288">
        <f t="shared" si="4"/>
        <v>218924.9</v>
      </c>
      <c r="L54" s="289"/>
      <c r="M54" s="701"/>
    </row>
    <row r="55" spans="1:18" ht="18" customHeight="1">
      <c r="A55" s="4" t="s">
        <v>94</v>
      </c>
      <c r="B55" s="1037" t="s">
        <v>599</v>
      </c>
      <c r="C55" s="1037"/>
      <c r="D55" s="1037"/>
      <c r="E55" s="347"/>
      <c r="F55" s="43">
        <v>1703</v>
      </c>
      <c r="G55" s="43">
        <v>10355</v>
      </c>
      <c r="H55" s="287">
        <f>+[20]Statement!$I$26</f>
        <v>142339.68000000002</v>
      </c>
      <c r="I55" s="44">
        <f>H55*F$114</f>
        <v>76591.829893366463</v>
      </c>
      <c r="J55" s="287">
        <f>+[20]Statement!$I$19</f>
        <v>26245.89</v>
      </c>
      <c r="K55" s="288">
        <f t="shared" si="4"/>
        <v>192685.61989336647</v>
      </c>
      <c r="L55" s="289"/>
      <c r="M55" s="701"/>
    </row>
    <row r="56" spans="1:18" ht="18" customHeight="1">
      <c r="A56" s="4" t="s">
        <v>95</v>
      </c>
      <c r="B56" s="1037" t="s">
        <v>600</v>
      </c>
      <c r="C56" s="1037"/>
      <c r="D56" s="1037"/>
      <c r="E56" s="347"/>
      <c r="F56" s="43">
        <v>0</v>
      </c>
      <c r="G56" s="43">
        <v>0</v>
      </c>
      <c r="H56" s="287">
        <f>+'[21]Monthly Comparison'!$H$7</f>
        <v>236600</v>
      </c>
      <c r="I56" s="44">
        <v>0</v>
      </c>
      <c r="J56" s="287">
        <v>0</v>
      </c>
      <c r="K56" s="288">
        <f t="shared" si="4"/>
        <v>236600</v>
      </c>
      <c r="L56" s="289"/>
      <c r="M56" s="701"/>
    </row>
    <row r="57" spans="1:18" ht="18" customHeight="1">
      <c r="A57" s="4" t="s">
        <v>96</v>
      </c>
      <c r="B57" s="1037" t="s">
        <v>601</v>
      </c>
      <c r="C57" s="1037"/>
      <c r="D57" s="1037"/>
      <c r="E57" s="347"/>
      <c r="F57" s="43">
        <v>0</v>
      </c>
      <c r="G57" s="43">
        <v>0</v>
      </c>
      <c r="H57" s="287">
        <f>+IFERROR(VLOOKUP(B57,[22]Rollups!$J$12:$K$25,2,FALSE),0)</f>
        <v>244450</v>
      </c>
      <c r="I57" s="44">
        <v>0</v>
      </c>
      <c r="J57" s="287">
        <v>0</v>
      </c>
      <c r="K57" s="288">
        <f t="shared" si="4"/>
        <v>244450</v>
      </c>
      <c r="L57" s="289"/>
      <c r="M57" s="701"/>
    </row>
    <row r="58" spans="1:18" ht="18" customHeight="1">
      <c r="A58" s="4" t="s">
        <v>97</v>
      </c>
      <c r="B58" s="749" t="s">
        <v>602</v>
      </c>
      <c r="C58" s="749"/>
      <c r="D58" s="749"/>
      <c r="E58" s="347"/>
      <c r="F58" s="43">
        <v>0</v>
      </c>
      <c r="G58" s="43">
        <v>0</v>
      </c>
      <c r="H58" s="287">
        <f>+'[23]BHU Breakdown'!$P$18</f>
        <v>229600</v>
      </c>
      <c r="I58" s="44">
        <v>0</v>
      </c>
      <c r="J58" s="287">
        <v>0</v>
      </c>
      <c r="K58" s="288">
        <f t="shared" si="4"/>
        <v>229600</v>
      </c>
      <c r="L58" s="289"/>
      <c r="M58" s="701"/>
    </row>
    <row r="59" spans="1:18" ht="18" customHeight="1">
      <c r="A59" s="4" t="s">
        <v>98</v>
      </c>
      <c r="B59" s="1037" t="s">
        <v>603</v>
      </c>
      <c r="C59" s="1037"/>
      <c r="D59" s="1037"/>
      <c r="E59" s="347"/>
      <c r="F59" s="43">
        <v>0</v>
      </c>
      <c r="G59" s="43">
        <v>0</v>
      </c>
      <c r="H59" s="287">
        <f>+'[21]Monthly Comparison'!$H$9+'[21]Monthly Comparison'!$H$10</f>
        <v>374818.39</v>
      </c>
      <c r="I59" s="44">
        <v>0</v>
      </c>
      <c r="J59" s="287">
        <v>0</v>
      </c>
      <c r="K59" s="288">
        <f t="shared" si="4"/>
        <v>374818.39</v>
      </c>
      <c r="L59" s="289"/>
      <c r="M59" s="701"/>
    </row>
    <row r="60" spans="1:18" ht="18" customHeight="1">
      <c r="A60" s="4" t="s">
        <v>99</v>
      </c>
      <c r="B60" s="749" t="s">
        <v>604</v>
      </c>
      <c r="C60" s="749"/>
      <c r="D60" s="749"/>
      <c r="E60" s="347"/>
      <c r="F60" s="43">
        <v>0</v>
      </c>
      <c r="G60" s="43">
        <v>0</v>
      </c>
      <c r="H60" s="287">
        <v>437710</v>
      </c>
      <c r="I60" s="44">
        <v>0</v>
      </c>
      <c r="J60" s="287">
        <v>0</v>
      </c>
      <c r="K60" s="288">
        <f t="shared" si="4"/>
        <v>437710</v>
      </c>
      <c r="L60" s="289"/>
      <c r="M60" s="701"/>
    </row>
    <row r="61" spans="1:18" ht="18" customHeight="1">
      <c r="A61" s="4" t="s">
        <v>884</v>
      </c>
      <c r="B61" s="750" t="s">
        <v>885</v>
      </c>
      <c r="C61" s="749"/>
      <c r="D61" s="749"/>
      <c r="E61" s="347"/>
      <c r="F61" s="43">
        <v>0</v>
      </c>
      <c r="G61" s="43">
        <v>0</v>
      </c>
      <c r="H61" s="287">
        <f>+'[21]Monthly Comparison'!$H$20</f>
        <v>54600</v>
      </c>
      <c r="I61" s="44">
        <v>0</v>
      </c>
      <c r="J61" s="287">
        <v>0</v>
      </c>
      <c r="K61" s="288">
        <f>(H61+I61)-J61</f>
        <v>54600</v>
      </c>
      <c r="L61" s="289"/>
      <c r="M61" s="701"/>
    </row>
    <row r="62" spans="1:18" ht="18" customHeight="1">
      <c r="A62" s="4" t="s">
        <v>100</v>
      </c>
      <c r="B62" s="750" t="s">
        <v>909</v>
      </c>
      <c r="C62" s="749"/>
      <c r="D62" s="749"/>
      <c r="E62" s="347"/>
      <c r="F62" s="43">
        <v>0</v>
      </c>
      <c r="G62" s="43">
        <v>0</v>
      </c>
      <c r="H62" s="287">
        <v>6083376.3499999996</v>
      </c>
      <c r="I62" s="44">
        <v>0</v>
      </c>
      <c r="J62" s="287">
        <v>287887.38</v>
      </c>
      <c r="K62" s="288">
        <v>5795488.9699999997</v>
      </c>
      <c r="L62" s="289"/>
      <c r="M62" s="701"/>
    </row>
    <row r="63" spans="1:18" s="682" customFormat="1" ht="18" customHeight="1">
      <c r="A63" s="4"/>
      <c r="B63" s="347"/>
      <c r="C63" s="347"/>
      <c r="D63" s="347"/>
      <c r="E63" s="347"/>
      <c r="F63" s="347"/>
      <c r="G63" s="347"/>
      <c r="H63" s="347"/>
      <c r="I63" s="704"/>
      <c r="J63" s="347"/>
      <c r="K63" s="347"/>
      <c r="L63"/>
      <c r="M63"/>
      <c r="O63"/>
      <c r="P63"/>
      <c r="Q63"/>
      <c r="R63"/>
    </row>
    <row r="64" spans="1:18" s="682" customFormat="1" ht="18" customHeight="1">
      <c r="A64" s="4" t="s">
        <v>144</v>
      </c>
      <c r="B64" s="686" t="s">
        <v>145</v>
      </c>
      <c r="C64" s="347"/>
      <c r="D64" s="347"/>
      <c r="E64" s="686" t="s">
        <v>7</v>
      </c>
      <c r="F64" s="694">
        <f t="shared" ref="F64:K64" si="5">SUM(F53:F62)</f>
        <v>1703</v>
      </c>
      <c r="G64" s="694">
        <f t="shared" si="5"/>
        <v>10355</v>
      </c>
      <c r="H64" s="288">
        <f t="shared" si="5"/>
        <v>8542149.3200000003</v>
      </c>
      <c r="I64" s="288">
        <f t="shared" si="5"/>
        <v>202580.62892533178</v>
      </c>
      <c r="J64" s="288">
        <f t="shared" si="5"/>
        <v>715423.83000000007</v>
      </c>
      <c r="K64" s="288">
        <f t="shared" si="5"/>
        <v>8029306.1189253312</v>
      </c>
      <c r="L64"/>
      <c r="M64"/>
      <c r="O64"/>
      <c r="P64"/>
      <c r="Q64"/>
      <c r="R64"/>
    </row>
    <row r="65" spans="1:18" s="682" customFormat="1" ht="18" customHeight="1">
      <c r="A65" s="7"/>
      <c r="B65" s="347"/>
      <c r="C65" s="347"/>
      <c r="D65" s="347"/>
      <c r="E65" s="347"/>
      <c r="F65" s="700"/>
      <c r="G65" s="700"/>
      <c r="H65" s="700"/>
      <c r="I65" s="700"/>
      <c r="J65" s="700"/>
      <c r="K65" s="700"/>
      <c r="L65"/>
      <c r="M65"/>
      <c r="O65"/>
      <c r="P65"/>
      <c r="Q65"/>
      <c r="R65"/>
    </row>
    <row r="66" spans="1:18" s="682" customFormat="1" ht="42.75" customHeight="1">
      <c r="A66" s="7"/>
      <c r="B66" s="347"/>
      <c r="C66" s="347"/>
      <c r="D66" s="347"/>
      <c r="E66" s="347"/>
      <c r="F66" s="697" t="s">
        <v>9</v>
      </c>
      <c r="G66" s="697" t="s">
        <v>37</v>
      </c>
      <c r="H66" s="697" t="s">
        <v>29</v>
      </c>
      <c r="I66" s="697" t="s">
        <v>30</v>
      </c>
      <c r="J66" s="697" t="s">
        <v>33</v>
      </c>
      <c r="K66" s="697" t="s">
        <v>34</v>
      </c>
      <c r="L66"/>
      <c r="M66"/>
      <c r="O66"/>
      <c r="P66"/>
      <c r="Q66"/>
      <c r="R66"/>
    </row>
    <row r="67" spans="1:18" s="682" customFormat="1" ht="18" customHeight="1">
      <c r="A67" s="5" t="s">
        <v>102</v>
      </c>
      <c r="B67" s="686" t="s">
        <v>12</v>
      </c>
      <c r="C67" s="347"/>
      <c r="D67" s="347"/>
      <c r="E67" s="347"/>
      <c r="F67" s="21"/>
      <c r="G67" s="21"/>
      <c r="H67" s="21"/>
      <c r="I67" s="705"/>
      <c r="J67" s="21"/>
      <c r="K67" s="690"/>
      <c r="L67"/>
      <c r="M67"/>
      <c r="O67"/>
      <c r="P67"/>
      <c r="Q67"/>
      <c r="R67"/>
    </row>
    <row r="68" spans="1:18" s="682" customFormat="1" ht="18" customHeight="1">
      <c r="A68" s="4" t="s">
        <v>103</v>
      </c>
      <c r="B68" s="347" t="s">
        <v>52</v>
      </c>
      <c r="C68" s="347"/>
      <c r="D68" s="347"/>
      <c r="E68" s="347"/>
      <c r="F68" s="706">
        <v>0</v>
      </c>
      <c r="G68" s="707">
        <v>0</v>
      </c>
      <c r="H68" s="45">
        <f>+[24]Pivot!$J$14</f>
        <v>4091382.53</v>
      </c>
      <c r="I68" s="287">
        <v>0</v>
      </c>
      <c r="J68" s="45">
        <f>+H68</f>
        <v>4091382.53</v>
      </c>
      <c r="K68" s="288">
        <f>(H68+I68)-J68</f>
        <v>0</v>
      </c>
      <c r="L68"/>
      <c r="M68" s="708"/>
      <c r="O68"/>
      <c r="P68"/>
      <c r="Q68"/>
      <c r="R68"/>
    </row>
    <row r="69" spans="1:18" s="682" customFormat="1" ht="18" customHeight="1">
      <c r="A69" s="4" t="s">
        <v>104</v>
      </c>
      <c r="B69" s="687" t="s">
        <v>53</v>
      </c>
      <c r="C69" s="347"/>
      <c r="D69" s="347"/>
      <c r="E69" s="347"/>
      <c r="F69" s="707">
        <v>0</v>
      </c>
      <c r="G69" s="707">
        <v>0</v>
      </c>
      <c r="H69" s="707">
        <v>0</v>
      </c>
      <c r="I69" s="287">
        <v>0</v>
      </c>
      <c r="J69" s="707">
        <v>0</v>
      </c>
      <c r="K69" s="288">
        <f>(H69+I69)-J69</f>
        <v>0</v>
      </c>
      <c r="L69"/>
      <c r="M69" s="1"/>
      <c r="O69"/>
      <c r="P69"/>
      <c r="Q69"/>
      <c r="R69"/>
    </row>
    <row r="70" spans="1:18" s="682" customFormat="1" ht="18" customHeight="1">
      <c r="A70" s="4" t="s">
        <v>178</v>
      </c>
      <c r="B70" s="749"/>
      <c r="C70" s="749"/>
      <c r="D70" s="749"/>
      <c r="E70" s="709"/>
      <c r="F70" s="341"/>
      <c r="G70" s="341"/>
      <c r="H70" s="689"/>
      <c r="I70" s="689"/>
      <c r="J70" s="689"/>
      <c r="K70" s="690"/>
      <c r="L70"/>
      <c r="M70"/>
      <c r="O70"/>
      <c r="P70"/>
      <c r="Q70"/>
      <c r="R70"/>
    </row>
    <row r="71" spans="1:18" s="682" customFormat="1" ht="18" customHeight="1">
      <c r="A71" s="4" t="s">
        <v>179</v>
      </c>
      <c r="B71" s="749"/>
      <c r="C71" s="749"/>
      <c r="D71" s="749"/>
      <c r="E71" s="709"/>
      <c r="F71" s="341"/>
      <c r="G71" s="341"/>
      <c r="H71" s="689"/>
      <c r="I71" s="689"/>
      <c r="J71" s="689"/>
      <c r="K71" s="690"/>
      <c r="L71"/>
      <c r="M71"/>
      <c r="O71"/>
      <c r="P71"/>
      <c r="Q71"/>
      <c r="R71"/>
    </row>
    <row r="72" spans="1:18" s="682" customFormat="1" ht="18" customHeight="1">
      <c r="A72" s="4" t="s">
        <v>180</v>
      </c>
      <c r="B72" s="749"/>
      <c r="C72" s="749"/>
      <c r="D72" s="749"/>
      <c r="E72" s="709"/>
      <c r="F72" s="341"/>
      <c r="G72" s="341"/>
      <c r="H72" s="689"/>
      <c r="I72" s="689"/>
      <c r="J72" s="689"/>
      <c r="K72" s="690"/>
      <c r="L72"/>
      <c r="M72"/>
      <c r="O72"/>
      <c r="P72"/>
      <c r="Q72"/>
      <c r="R72"/>
    </row>
    <row r="73" spans="1:18" s="682" customFormat="1" ht="18" customHeight="1">
      <c r="A73" s="4"/>
      <c r="B73" s="687"/>
      <c r="C73" s="347"/>
      <c r="D73" s="347"/>
      <c r="E73" s="686"/>
      <c r="F73" s="341"/>
      <c r="G73" s="341"/>
      <c r="H73" s="689"/>
      <c r="I73" s="705"/>
      <c r="J73" s="689"/>
      <c r="K73" s="690"/>
      <c r="L73"/>
      <c r="M73"/>
      <c r="O73"/>
      <c r="P73"/>
      <c r="Q73"/>
      <c r="R73"/>
    </row>
    <row r="74" spans="1:18" s="682" customFormat="1" ht="18" customHeight="1">
      <c r="A74" s="5" t="s">
        <v>146</v>
      </c>
      <c r="B74" s="686" t="s">
        <v>147</v>
      </c>
      <c r="C74" s="347"/>
      <c r="D74" s="347"/>
      <c r="E74" s="686" t="s">
        <v>7</v>
      </c>
      <c r="F74" s="710">
        <f t="shared" ref="F74:K74" si="6">SUM(F68:F72)</f>
        <v>0</v>
      </c>
      <c r="G74" s="710">
        <f t="shared" si="6"/>
        <v>0</v>
      </c>
      <c r="H74" s="288">
        <f t="shared" si="6"/>
        <v>4091382.53</v>
      </c>
      <c r="I74" s="711">
        <f t="shared" si="6"/>
        <v>0</v>
      </c>
      <c r="J74" s="45">
        <f t="shared" si="6"/>
        <v>4091382.53</v>
      </c>
      <c r="K74" s="45">
        <f t="shared" si="6"/>
        <v>0</v>
      </c>
      <c r="L74"/>
      <c r="M74"/>
      <c r="O74"/>
      <c r="P74"/>
      <c r="Q74"/>
      <c r="R74"/>
    </row>
    <row r="75" spans="1:18" s="682" customFormat="1" ht="42.75" customHeight="1">
      <c r="A75" s="7"/>
      <c r="B75" s="347"/>
      <c r="C75" s="347"/>
      <c r="D75" s="347"/>
      <c r="E75" s="347"/>
      <c r="F75" s="685" t="s">
        <v>9</v>
      </c>
      <c r="G75" s="685" t="s">
        <v>37</v>
      </c>
      <c r="H75" s="685" t="s">
        <v>29</v>
      </c>
      <c r="I75" s="685" t="s">
        <v>30</v>
      </c>
      <c r="J75" s="685" t="s">
        <v>33</v>
      </c>
      <c r="K75" s="685" t="s">
        <v>34</v>
      </c>
      <c r="L75"/>
      <c r="M75"/>
      <c r="O75"/>
      <c r="P75"/>
      <c r="Q75"/>
      <c r="R75"/>
    </row>
    <row r="76" spans="1:18" s="682" customFormat="1" ht="18" customHeight="1">
      <c r="A76" s="5" t="s">
        <v>105</v>
      </c>
      <c r="B76" s="686" t="s">
        <v>106</v>
      </c>
      <c r="C76" s="347"/>
      <c r="D76" s="347"/>
      <c r="E76" s="347"/>
      <c r="F76" s="347"/>
      <c r="G76" s="347"/>
      <c r="H76" s="347"/>
      <c r="I76" s="347"/>
      <c r="J76" s="347"/>
      <c r="K76" s="347"/>
      <c r="L76"/>
      <c r="M76"/>
      <c r="O76"/>
      <c r="P76"/>
      <c r="Q76"/>
      <c r="R76"/>
    </row>
    <row r="77" spans="1:18" s="682" customFormat="1" ht="18" customHeight="1">
      <c r="A77" s="4" t="s">
        <v>107</v>
      </c>
      <c r="B77" s="687" t="s">
        <v>54</v>
      </c>
      <c r="C77" s="347"/>
      <c r="D77" s="347"/>
      <c r="E77" s="347"/>
      <c r="F77" s="43">
        <v>0</v>
      </c>
      <c r="G77" s="43">
        <v>0</v>
      </c>
      <c r="H77" s="712">
        <f>323728+14325</f>
        <v>338053</v>
      </c>
      <c r="I77" s="44">
        <v>0</v>
      </c>
      <c r="J77" s="287">
        <v>0</v>
      </c>
      <c r="K77" s="288">
        <f>(H77+I77)-J77</f>
        <v>338053</v>
      </c>
      <c r="L77"/>
      <c r="M77" s="701"/>
      <c r="O77"/>
      <c r="P77"/>
      <c r="Q77"/>
      <c r="R77"/>
    </row>
    <row r="78" spans="1:18" s="682" customFormat="1" ht="18" customHeight="1">
      <c r="A78" s="4" t="s">
        <v>108</v>
      </c>
      <c r="B78" s="687" t="s">
        <v>55</v>
      </c>
      <c r="C78" s="347"/>
      <c r="D78" s="347"/>
      <c r="E78" s="347"/>
      <c r="F78" s="43">
        <v>0</v>
      </c>
      <c r="G78" s="43">
        <v>0</v>
      </c>
      <c r="H78" s="287">
        <v>0</v>
      </c>
      <c r="I78" s="44">
        <v>0</v>
      </c>
      <c r="J78" s="287">
        <v>0</v>
      </c>
      <c r="K78" s="288">
        <f>(H78+I78)-J78</f>
        <v>0</v>
      </c>
      <c r="L78"/>
      <c r="M78" s="701"/>
      <c r="O78"/>
      <c r="P78"/>
      <c r="Q78"/>
      <c r="R78"/>
    </row>
    <row r="79" spans="1:18" s="682" customFormat="1" ht="18" customHeight="1">
      <c r="A79" s="4" t="s">
        <v>109</v>
      </c>
      <c r="B79" s="687" t="s">
        <v>13</v>
      </c>
      <c r="C79" s="347"/>
      <c r="D79" s="347"/>
      <c r="E79" s="347"/>
      <c r="F79" s="43">
        <v>54</v>
      </c>
      <c r="G79" s="43">
        <v>410</v>
      </c>
      <c r="H79" s="287">
        <v>459176</v>
      </c>
      <c r="I79" s="44">
        <v>0</v>
      </c>
      <c r="J79" s="287">
        <v>0</v>
      </c>
      <c r="K79" s="288">
        <f>(H79+I79)-J79</f>
        <v>459176</v>
      </c>
      <c r="L79"/>
      <c r="M79" s="701"/>
      <c r="O79"/>
      <c r="P79"/>
      <c r="Q79"/>
      <c r="R79"/>
    </row>
    <row r="80" spans="1:18" s="682" customFormat="1" ht="18" customHeight="1">
      <c r="A80" s="4" t="s">
        <v>110</v>
      </c>
      <c r="B80" s="687" t="s">
        <v>56</v>
      </c>
      <c r="C80" s="347"/>
      <c r="D80" s="347"/>
      <c r="E80" s="347"/>
      <c r="F80" s="43">
        <v>365</v>
      </c>
      <c r="G80" s="43">
        <v>1418</v>
      </c>
      <c r="H80" s="287">
        <v>17375</v>
      </c>
      <c r="I80" s="44">
        <f>+H80*'[15]Indirect Cost Ratio'!$E$23</f>
        <v>4211.9088434002224</v>
      </c>
      <c r="J80" s="287">
        <v>0</v>
      </c>
      <c r="K80" s="288">
        <f>(H80+I80)-J80</f>
        <v>21586.908843400222</v>
      </c>
      <c r="L80" s="289"/>
      <c r="M80" s="701"/>
      <c r="O80"/>
      <c r="P80"/>
      <c r="Q80"/>
      <c r="R80"/>
    </row>
    <row r="81" spans="1:18" s="682" customFormat="1" ht="18" customHeight="1">
      <c r="A81" s="4"/>
      <c r="B81" s="347"/>
      <c r="C81" s="347"/>
      <c r="D81" s="347"/>
      <c r="E81" s="347"/>
      <c r="F81" s="347"/>
      <c r="G81" s="347"/>
      <c r="H81" s="347"/>
      <c r="I81" s="347"/>
      <c r="J81" s="347"/>
      <c r="K81" s="35"/>
      <c r="L81"/>
      <c r="M81"/>
      <c r="O81"/>
      <c r="P81"/>
      <c r="Q81"/>
      <c r="R81"/>
    </row>
    <row r="82" spans="1:18" s="682" customFormat="1" ht="18" customHeight="1">
      <c r="A82" s="4" t="s">
        <v>148</v>
      </c>
      <c r="B82" s="686" t="s">
        <v>149</v>
      </c>
      <c r="C82" s="347"/>
      <c r="D82" s="347"/>
      <c r="E82" s="686" t="s">
        <v>7</v>
      </c>
      <c r="F82" s="713">
        <f t="shared" ref="F82:K82" si="7">SUM(F77:F80)</f>
        <v>419</v>
      </c>
      <c r="G82" s="710">
        <f t="shared" si="7"/>
        <v>1828</v>
      </c>
      <c r="H82" s="45">
        <f t="shared" si="7"/>
        <v>814604</v>
      </c>
      <c r="I82" s="45">
        <f t="shared" si="7"/>
        <v>4211.9088434002224</v>
      </c>
      <c r="J82" s="45">
        <f t="shared" si="7"/>
        <v>0</v>
      </c>
      <c r="K82" s="45">
        <f t="shared" si="7"/>
        <v>818815.90884340019</v>
      </c>
      <c r="L82"/>
      <c r="M82"/>
      <c r="O82"/>
      <c r="P82"/>
      <c r="Q82"/>
      <c r="R82"/>
    </row>
    <row r="83" spans="1:18" s="682" customFormat="1" ht="18" customHeight="1">
      <c r="A83" s="4"/>
      <c r="B83" s="347"/>
      <c r="C83" s="347"/>
      <c r="D83" s="347"/>
      <c r="E83" s="347"/>
      <c r="F83" s="700"/>
      <c r="G83" s="700"/>
      <c r="H83" s="700"/>
      <c r="I83" s="700"/>
      <c r="J83" s="700"/>
      <c r="K83" s="700"/>
      <c r="L83"/>
      <c r="M83"/>
      <c r="O83"/>
      <c r="P83"/>
      <c r="Q83"/>
      <c r="R83"/>
    </row>
    <row r="84" spans="1:18" s="682" customFormat="1" ht="42.75" customHeight="1">
      <c r="A84" s="7"/>
      <c r="B84" s="347"/>
      <c r="C84" s="347"/>
      <c r="D84" s="347"/>
      <c r="E84" s="347"/>
      <c r="F84" s="685" t="s">
        <v>9</v>
      </c>
      <c r="G84" s="685" t="s">
        <v>37</v>
      </c>
      <c r="H84" s="685" t="s">
        <v>29</v>
      </c>
      <c r="I84" s="685" t="s">
        <v>30</v>
      </c>
      <c r="J84" s="685" t="s">
        <v>33</v>
      </c>
      <c r="K84" s="685" t="s">
        <v>34</v>
      </c>
      <c r="L84"/>
      <c r="M84"/>
      <c r="O84"/>
      <c r="P84"/>
      <c r="Q84"/>
      <c r="R84"/>
    </row>
    <row r="85" spans="1:18" s="682" customFormat="1" ht="18" customHeight="1">
      <c r="A85" s="5" t="s">
        <v>111</v>
      </c>
      <c r="B85" s="686" t="s">
        <v>57</v>
      </c>
      <c r="C85" s="347"/>
      <c r="D85" s="347"/>
      <c r="E85" s="347"/>
      <c r="F85" s="347"/>
      <c r="G85" s="347"/>
      <c r="H85" s="347"/>
      <c r="I85" s="347"/>
      <c r="J85" s="347"/>
      <c r="K85" s="347"/>
      <c r="L85"/>
      <c r="M85"/>
      <c r="O85"/>
      <c r="P85"/>
      <c r="Q85"/>
      <c r="R85"/>
    </row>
    <row r="86" spans="1:18" s="682" customFormat="1" ht="18" customHeight="1">
      <c r="A86" s="4" t="s">
        <v>112</v>
      </c>
      <c r="B86" s="687" t="s">
        <v>113</v>
      </c>
      <c r="C86" s="347"/>
      <c r="D86" s="347"/>
      <c r="E86" s="347"/>
      <c r="F86" s="43">
        <v>0</v>
      </c>
      <c r="G86" s="43">
        <v>0</v>
      </c>
      <c r="H86" s="287">
        <v>0</v>
      </c>
      <c r="I86" s="287">
        <f>H86*F$114</f>
        <v>0</v>
      </c>
      <c r="J86" s="287">
        <v>0</v>
      </c>
      <c r="K86" s="288">
        <f t="shared" ref="K86:K93" si="8">(H86+I86)-J86</f>
        <v>0</v>
      </c>
      <c r="L86"/>
      <c r="M86"/>
      <c r="O86"/>
      <c r="P86"/>
      <c r="Q86"/>
      <c r="R86"/>
    </row>
    <row r="87" spans="1:18" s="682" customFormat="1" ht="18" customHeight="1">
      <c r="A87" s="4" t="s">
        <v>114</v>
      </c>
      <c r="B87" s="687" t="s">
        <v>14</v>
      </c>
      <c r="C87" s="347"/>
      <c r="D87" s="347"/>
      <c r="E87" s="347"/>
      <c r="F87" s="43">
        <v>51</v>
      </c>
      <c r="G87" s="43">
        <v>232</v>
      </c>
      <c r="H87" s="287">
        <v>4261</v>
      </c>
      <c r="I87" s="287">
        <v>0</v>
      </c>
      <c r="J87" s="287">
        <v>0</v>
      </c>
      <c r="K87" s="288">
        <f t="shared" si="8"/>
        <v>4261</v>
      </c>
      <c r="L87"/>
      <c r="M87"/>
      <c r="O87"/>
      <c r="P87"/>
      <c r="Q87"/>
      <c r="R87"/>
    </row>
    <row r="88" spans="1:18" s="682" customFormat="1" ht="18" customHeight="1">
      <c r="A88" s="4" t="s">
        <v>115</v>
      </c>
      <c r="B88" s="687" t="s">
        <v>116</v>
      </c>
      <c r="C88" s="347"/>
      <c r="D88" s="347"/>
      <c r="E88" s="347"/>
      <c r="F88" s="43">
        <v>469.5</v>
      </c>
      <c r="G88" s="43">
        <v>10639</v>
      </c>
      <c r="H88" s="287">
        <v>267146</v>
      </c>
      <c r="I88" s="287">
        <f>H88*F$114</f>
        <v>143749.10066323934</v>
      </c>
      <c r="J88" s="287">
        <v>12548</v>
      </c>
      <c r="K88" s="288">
        <f t="shared" si="8"/>
        <v>398347.10066323937</v>
      </c>
      <c r="L88" s="289"/>
      <c r="M88" s="688"/>
      <c r="O88"/>
      <c r="P88"/>
      <c r="Q88"/>
      <c r="R88"/>
    </row>
    <row r="89" spans="1:18" s="682" customFormat="1" ht="18" customHeight="1">
      <c r="A89" s="4" t="s">
        <v>117</v>
      </c>
      <c r="B89" s="687" t="s">
        <v>58</v>
      </c>
      <c r="C89" s="347"/>
      <c r="D89" s="347"/>
      <c r="E89" s="347"/>
      <c r="F89" s="43">
        <v>0</v>
      </c>
      <c r="G89" s="43">
        <v>0</v>
      </c>
      <c r="H89" s="287">
        <v>65000</v>
      </c>
      <c r="I89" s="287">
        <v>0</v>
      </c>
      <c r="J89" s="287">
        <v>0</v>
      </c>
      <c r="K89" s="288">
        <f t="shared" si="8"/>
        <v>65000</v>
      </c>
      <c r="L89"/>
      <c r="M89"/>
      <c r="O89"/>
      <c r="P89"/>
      <c r="Q89"/>
      <c r="R89"/>
    </row>
    <row r="90" spans="1:18" s="682" customFormat="1" ht="18" customHeight="1">
      <c r="A90" s="4" t="s">
        <v>118</v>
      </c>
      <c r="B90" s="1040" t="s">
        <v>59</v>
      </c>
      <c r="C90" s="1041"/>
      <c r="D90" s="347"/>
      <c r="E90" s="347"/>
      <c r="F90" s="43">
        <v>9</v>
      </c>
      <c r="G90" s="43">
        <v>27</v>
      </c>
      <c r="H90" s="287">
        <v>285</v>
      </c>
      <c r="I90" s="287">
        <f>H90*F$114</f>
        <v>153.35619357588439</v>
      </c>
      <c r="J90" s="287">
        <v>0</v>
      </c>
      <c r="K90" s="288">
        <f t="shared" si="8"/>
        <v>438.35619357588439</v>
      </c>
      <c r="L90" s="289"/>
      <c r="M90" s="688"/>
      <c r="O90"/>
      <c r="P90"/>
      <c r="Q90"/>
      <c r="R90"/>
    </row>
    <row r="91" spans="1:18" s="682" customFormat="1" ht="18" customHeight="1">
      <c r="A91" s="4" t="s">
        <v>119</v>
      </c>
      <c r="B91" s="687" t="s">
        <v>60</v>
      </c>
      <c r="C91" s="347"/>
      <c r="D91" s="347"/>
      <c r="E91" s="347"/>
      <c r="F91" s="43">
        <v>1089.5</v>
      </c>
      <c r="G91" s="43">
        <v>1082</v>
      </c>
      <c r="H91" s="287">
        <v>107786</v>
      </c>
      <c r="I91" s="287">
        <f>H91*F$114</f>
        <v>57998.774318492193</v>
      </c>
      <c r="J91" s="287">
        <v>12548</v>
      </c>
      <c r="K91" s="288">
        <f t="shared" si="8"/>
        <v>153236.77431849219</v>
      </c>
      <c r="L91" s="289"/>
      <c r="M91" s="688"/>
      <c r="O91"/>
      <c r="P91"/>
      <c r="Q91"/>
      <c r="R91"/>
    </row>
    <row r="92" spans="1:18" s="682" customFormat="1" ht="18" customHeight="1">
      <c r="A92" s="4" t="s">
        <v>120</v>
      </c>
      <c r="B92" s="687" t="s">
        <v>121</v>
      </c>
      <c r="C92" s="347"/>
      <c r="D92" s="347"/>
      <c r="E92" s="347"/>
      <c r="F92" s="43">
        <v>48</v>
      </c>
      <c r="G92" s="43">
        <v>0</v>
      </c>
      <c r="H92" s="287">
        <v>5174</v>
      </c>
      <c r="I92" s="287">
        <f>H92*F$114</f>
        <v>2784.0875282864063</v>
      </c>
      <c r="J92" s="287">
        <v>0</v>
      </c>
      <c r="K92" s="288">
        <f t="shared" si="8"/>
        <v>7958.0875282864063</v>
      </c>
      <c r="L92" s="289"/>
      <c r="M92" s="289"/>
      <c r="O92"/>
      <c r="P92"/>
      <c r="Q92"/>
      <c r="R92"/>
    </row>
    <row r="93" spans="1:18" s="682" customFormat="1" ht="18" customHeight="1">
      <c r="A93" s="4" t="s">
        <v>122</v>
      </c>
      <c r="B93" s="687" t="s">
        <v>123</v>
      </c>
      <c r="C93" s="347"/>
      <c r="D93" s="347"/>
      <c r="E93" s="347"/>
      <c r="F93" s="43">
        <v>1631</v>
      </c>
      <c r="G93" s="43">
        <v>75281</v>
      </c>
      <c r="H93" s="287">
        <v>150322</v>
      </c>
      <c r="I93" s="287">
        <f>H93*F$114</f>
        <v>80887.051686716106</v>
      </c>
      <c r="J93" s="287">
        <v>0</v>
      </c>
      <c r="K93" s="288">
        <f t="shared" si="8"/>
        <v>231209.05168671609</v>
      </c>
      <c r="L93" s="289"/>
      <c r="M93" s="289"/>
      <c r="O93"/>
      <c r="P93"/>
      <c r="Q93"/>
      <c r="R93"/>
    </row>
    <row r="94" spans="1:18" s="682" customFormat="1" ht="18" customHeight="1">
      <c r="A94" s="4" t="s">
        <v>124</v>
      </c>
      <c r="B94" s="1037"/>
      <c r="C94" s="1037"/>
      <c r="D94" s="1037"/>
      <c r="E94" s="21"/>
      <c r="F94" s="341"/>
      <c r="G94" s="341"/>
      <c r="H94" s="689"/>
      <c r="I94" s="689"/>
      <c r="J94" s="689"/>
      <c r="K94" s="690"/>
      <c r="L94"/>
      <c r="M94"/>
      <c r="O94"/>
      <c r="P94"/>
      <c r="Q94"/>
      <c r="R94"/>
    </row>
    <row r="95" spans="1:18" s="682" customFormat="1" ht="18" customHeight="1">
      <c r="A95" s="4" t="s">
        <v>125</v>
      </c>
      <c r="B95" s="1037"/>
      <c r="C95" s="1037"/>
      <c r="D95" s="1037"/>
      <c r="E95" s="21"/>
      <c r="F95" s="341"/>
      <c r="G95" s="341"/>
      <c r="H95" s="689"/>
      <c r="I95" s="689"/>
      <c r="J95" s="689"/>
      <c r="K95" s="690"/>
      <c r="L95"/>
      <c r="M95"/>
      <c r="O95"/>
      <c r="P95"/>
      <c r="Q95"/>
      <c r="R95"/>
    </row>
    <row r="96" spans="1:18" s="682" customFormat="1" ht="18" customHeight="1">
      <c r="A96" s="4" t="s">
        <v>126</v>
      </c>
      <c r="B96" s="1037"/>
      <c r="C96" s="1037"/>
      <c r="D96" s="1037"/>
      <c r="E96" s="21"/>
      <c r="F96" s="341"/>
      <c r="G96" s="341"/>
      <c r="H96" s="689" t="s">
        <v>85</v>
      </c>
      <c r="I96" s="689"/>
      <c r="J96" s="689"/>
      <c r="K96" s="690"/>
      <c r="L96"/>
      <c r="M96"/>
      <c r="O96"/>
      <c r="P96"/>
      <c r="Q96"/>
      <c r="R96"/>
    </row>
    <row r="97" spans="1:18" s="682" customFormat="1" ht="18" customHeight="1">
      <c r="A97" s="4"/>
      <c r="B97" s="687"/>
      <c r="C97" s="347"/>
      <c r="D97" s="347"/>
      <c r="E97" s="347"/>
      <c r="F97" s="347"/>
      <c r="G97" s="347"/>
      <c r="H97" s="347"/>
      <c r="I97" s="347"/>
      <c r="J97" s="347"/>
      <c r="K97" s="347"/>
      <c r="L97"/>
      <c r="M97"/>
      <c r="O97"/>
      <c r="P97"/>
      <c r="Q97"/>
      <c r="R97"/>
    </row>
    <row r="98" spans="1:18" s="682" customFormat="1" ht="18" customHeight="1">
      <c r="A98" s="5" t="s">
        <v>150</v>
      </c>
      <c r="B98" s="686" t="s">
        <v>151</v>
      </c>
      <c r="C98" s="347"/>
      <c r="D98" s="347"/>
      <c r="E98" s="686" t="s">
        <v>7</v>
      </c>
      <c r="F98" s="694">
        <f>SUM(F86:F96)</f>
        <v>3298</v>
      </c>
      <c r="G98" s="694">
        <f>SUM(G86:G96)</f>
        <v>87261</v>
      </c>
      <c r="H98" s="45">
        <f t="shared" ref="H98:K98" si="9">SUM(H86:H96)</f>
        <v>599974</v>
      </c>
      <c r="I98" s="45">
        <f t="shared" si="9"/>
        <v>285572.37039030995</v>
      </c>
      <c r="J98" s="45">
        <f t="shared" si="9"/>
        <v>25096</v>
      </c>
      <c r="K98" s="45">
        <f t="shared" si="9"/>
        <v>860450.37039030995</v>
      </c>
      <c r="L98"/>
      <c r="M98"/>
      <c r="O98"/>
      <c r="P98"/>
      <c r="Q98"/>
      <c r="R98"/>
    </row>
    <row r="99" spans="1:18" s="682" customFormat="1" ht="18" customHeight="1">
      <c r="A99" s="7"/>
      <c r="B99" s="686"/>
      <c r="C99" s="347"/>
      <c r="D99" s="347"/>
      <c r="E99" s="347"/>
      <c r="F99" s="700"/>
      <c r="G99" s="700"/>
      <c r="H99" s="700"/>
      <c r="I99" s="700"/>
      <c r="J99" s="700"/>
      <c r="K99" s="700"/>
      <c r="L99"/>
      <c r="M99"/>
      <c r="O99"/>
      <c r="P99"/>
      <c r="Q99"/>
      <c r="R99"/>
    </row>
    <row r="100" spans="1:18" s="682" customFormat="1" ht="42.75" customHeight="1">
      <c r="A100" s="7"/>
      <c r="B100" s="347"/>
      <c r="C100" s="347"/>
      <c r="D100" s="347"/>
      <c r="E100" s="347"/>
      <c r="F100" s="685" t="s">
        <v>9</v>
      </c>
      <c r="G100" s="685" t="s">
        <v>37</v>
      </c>
      <c r="H100" s="685" t="s">
        <v>29</v>
      </c>
      <c r="I100" s="685" t="s">
        <v>30</v>
      </c>
      <c r="J100" s="685" t="s">
        <v>33</v>
      </c>
      <c r="K100" s="685" t="s">
        <v>34</v>
      </c>
      <c r="L100"/>
      <c r="M100"/>
      <c r="O100"/>
      <c r="P100"/>
      <c r="Q100"/>
      <c r="R100"/>
    </row>
    <row r="101" spans="1:18" s="682" customFormat="1" ht="18" customHeight="1">
      <c r="A101" s="5" t="s">
        <v>130</v>
      </c>
      <c r="B101" s="686" t="s">
        <v>63</v>
      </c>
      <c r="C101" s="347"/>
      <c r="D101" s="347"/>
      <c r="E101" s="347"/>
      <c r="F101" s="347"/>
      <c r="G101" s="347"/>
      <c r="H101" s="347"/>
      <c r="I101" s="347"/>
      <c r="J101" s="347"/>
      <c r="K101" s="347"/>
      <c r="L101"/>
      <c r="M101"/>
      <c r="O101"/>
      <c r="P101"/>
      <c r="Q101"/>
      <c r="R101"/>
    </row>
    <row r="102" spans="1:18" s="682" customFormat="1" ht="18" customHeight="1">
      <c r="A102" s="4" t="s">
        <v>131</v>
      </c>
      <c r="B102" s="687" t="s">
        <v>152</v>
      </c>
      <c r="C102" s="347"/>
      <c r="D102" s="347"/>
      <c r="E102" s="347"/>
      <c r="F102" s="43">
        <f>637+(2093.43*0.1)</f>
        <v>846.34299999999996</v>
      </c>
      <c r="G102" s="43">
        <v>1</v>
      </c>
      <c r="H102" s="712">
        <f>124261+(5.71428571428571)*365*0.1*48.77</f>
        <v>134433.02857142856</v>
      </c>
      <c r="I102" s="287">
        <f>H102*F$114</f>
        <v>72337.324745938226</v>
      </c>
      <c r="J102" s="287">
        <v>37644</v>
      </c>
      <c r="K102" s="288">
        <f>(H102+I102)-J102</f>
        <v>169126.3533173668</v>
      </c>
      <c r="L102" s="289"/>
      <c r="M102" s="714"/>
      <c r="O102"/>
      <c r="P102"/>
      <c r="Q102"/>
      <c r="R102"/>
    </row>
    <row r="103" spans="1:18" s="682" customFormat="1" ht="18" customHeight="1">
      <c r="A103" s="4" t="s">
        <v>132</v>
      </c>
      <c r="B103" s="1040" t="s">
        <v>606</v>
      </c>
      <c r="C103" s="1040"/>
      <c r="D103" s="347"/>
      <c r="E103" s="347"/>
      <c r="F103" s="43">
        <v>0</v>
      </c>
      <c r="G103" s="43">
        <v>28</v>
      </c>
      <c r="H103" s="287">
        <v>31375</v>
      </c>
      <c r="I103" s="287">
        <f>H103*F$114</f>
        <v>16882.633591029378</v>
      </c>
      <c r="J103" s="287">
        <v>12548</v>
      </c>
      <c r="K103" s="288">
        <f>(H103+I103)-J103</f>
        <v>35709.633591029378</v>
      </c>
      <c r="L103" s="289"/>
      <c r="M103" s="289"/>
      <c r="O103"/>
      <c r="P103"/>
      <c r="Q103"/>
      <c r="R103"/>
    </row>
    <row r="104" spans="1:18" s="682" customFormat="1" ht="18" customHeight="1">
      <c r="A104" s="4" t="s">
        <v>128</v>
      </c>
      <c r="B104" s="1038"/>
      <c r="C104" s="1038"/>
      <c r="D104" s="1038"/>
      <c r="E104" s="21"/>
      <c r="F104" s="341"/>
      <c r="G104" s="341"/>
      <c r="H104" s="689"/>
      <c r="I104" s="689"/>
      <c r="J104" s="689"/>
      <c r="K104" s="690"/>
      <c r="L104"/>
      <c r="M104"/>
      <c r="O104"/>
      <c r="P104"/>
      <c r="Q104"/>
      <c r="R104"/>
    </row>
    <row r="105" spans="1:18" s="682" customFormat="1" ht="18" customHeight="1">
      <c r="A105" s="4" t="s">
        <v>127</v>
      </c>
      <c r="B105" s="1037"/>
      <c r="C105" s="1037"/>
      <c r="D105" s="1037"/>
      <c r="E105" s="21"/>
      <c r="F105" s="341"/>
      <c r="G105" s="341"/>
      <c r="H105" s="689"/>
      <c r="I105" s="689"/>
      <c r="J105" s="689"/>
      <c r="K105" s="690"/>
      <c r="L105"/>
      <c r="M105"/>
      <c r="O105"/>
      <c r="P105"/>
      <c r="Q105"/>
      <c r="R105"/>
    </row>
    <row r="106" spans="1:18" ht="18" customHeight="1">
      <c r="A106" s="4" t="s">
        <v>129</v>
      </c>
      <c r="B106" s="1037"/>
      <c r="C106" s="1037"/>
      <c r="D106" s="1037"/>
      <c r="E106" s="21"/>
      <c r="F106" s="341"/>
      <c r="G106" s="341"/>
      <c r="H106" s="689"/>
      <c r="I106" s="689"/>
      <c r="J106" s="689"/>
      <c r="K106" s="690"/>
    </row>
    <row r="107" spans="1:18" ht="18" customHeight="1">
      <c r="B107" s="686"/>
      <c r="C107" s="347"/>
      <c r="D107" s="347"/>
      <c r="E107" s="347"/>
      <c r="F107" s="347"/>
      <c r="G107" s="347"/>
      <c r="H107" s="347"/>
      <c r="I107" s="347"/>
      <c r="J107" s="347"/>
      <c r="K107" s="347"/>
    </row>
    <row r="108" spans="1:18" s="9" customFormat="1" ht="18" customHeight="1">
      <c r="A108" s="5" t="s">
        <v>153</v>
      </c>
      <c r="B108" s="709" t="s">
        <v>154</v>
      </c>
      <c r="C108" s="347"/>
      <c r="D108" s="347"/>
      <c r="E108" s="686" t="s">
        <v>7</v>
      </c>
      <c r="F108" s="694">
        <f t="shared" ref="F108:K108" si="10">SUM(F102:F106)</f>
        <v>846.34299999999996</v>
      </c>
      <c r="G108" s="694">
        <f t="shared" si="10"/>
        <v>29</v>
      </c>
      <c r="H108" s="288">
        <f t="shared" si="10"/>
        <v>165808.02857142856</v>
      </c>
      <c r="I108" s="288">
        <f t="shared" si="10"/>
        <v>89219.958336967597</v>
      </c>
      <c r="J108" s="288">
        <f t="shared" si="10"/>
        <v>50192</v>
      </c>
      <c r="K108" s="288">
        <f t="shared" si="10"/>
        <v>204835.98690839618</v>
      </c>
      <c r="N108" s="682"/>
    </row>
    <row r="109" spans="1:18" s="9" customFormat="1" ht="18" customHeight="1">
      <c r="A109" s="715"/>
      <c r="B109" s="709"/>
      <c r="C109" s="21"/>
      <c r="D109" s="21"/>
      <c r="E109" s="21"/>
      <c r="F109" s="700"/>
      <c r="G109" s="700"/>
      <c r="H109" s="700"/>
      <c r="I109" s="700"/>
      <c r="J109" s="700"/>
      <c r="K109" s="700"/>
      <c r="N109" s="682"/>
    </row>
    <row r="110" spans="1:18" s="9" customFormat="1" ht="18" customHeight="1">
      <c r="A110" s="5" t="s">
        <v>156</v>
      </c>
      <c r="B110" s="686" t="s">
        <v>39</v>
      </c>
      <c r="C110" s="347"/>
      <c r="D110" s="347"/>
      <c r="E110" s="347"/>
      <c r="F110" s="347"/>
      <c r="G110" s="347"/>
      <c r="H110" s="347"/>
      <c r="I110" s="347"/>
      <c r="J110" s="347"/>
      <c r="K110" s="347"/>
      <c r="N110" s="682"/>
    </row>
    <row r="111" spans="1:18" ht="18" customHeight="1">
      <c r="A111" s="5" t="s">
        <v>155</v>
      </c>
      <c r="B111" s="686" t="s">
        <v>164</v>
      </c>
      <c r="C111" s="347"/>
      <c r="D111" s="347"/>
      <c r="E111" s="686" t="s">
        <v>7</v>
      </c>
      <c r="F111" s="287">
        <f>+[25]Suburban!$D$14</f>
        <v>4093000</v>
      </c>
      <c r="G111" s="347"/>
      <c r="H111" s="347"/>
      <c r="I111" s="347"/>
      <c r="J111" s="347"/>
      <c r="K111" s="347"/>
    </row>
    <row r="112" spans="1:18" ht="18" customHeight="1">
      <c r="B112" s="686"/>
      <c r="C112" s="347"/>
      <c r="D112" s="347"/>
      <c r="E112" s="686"/>
      <c r="F112" s="21"/>
      <c r="G112" s="347"/>
      <c r="H112" s="347"/>
      <c r="I112" s="347"/>
      <c r="J112" s="347"/>
      <c r="K112" s="347"/>
    </row>
    <row r="113" spans="1:18" ht="18" customHeight="1">
      <c r="A113" s="5"/>
      <c r="B113" s="686" t="s">
        <v>15</v>
      </c>
      <c r="C113" s="347"/>
      <c r="D113" s="347"/>
      <c r="E113" s="347"/>
      <c r="F113" s="347"/>
      <c r="G113" s="347"/>
      <c r="H113" s="347"/>
      <c r="I113" s="347"/>
      <c r="J113" s="347"/>
      <c r="K113" s="347"/>
    </row>
    <row r="114" spans="1:18" ht="18" customHeight="1">
      <c r="A114" s="4" t="s">
        <v>171</v>
      </c>
      <c r="B114" s="687" t="s">
        <v>35</v>
      </c>
      <c r="C114" s="347"/>
      <c r="D114" s="347"/>
      <c r="E114" s="347"/>
      <c r="F114" s="716">
        <f>+'[15]Indirect Cost Ratio'!C23</f>
        <v>0.53809190728380485</v>
      </c>
      <c r="G114" s="347"/>
      <c r="H114" s="347"/>
      <c r="I114" s="347"/>
      <c r="J114" s="347"/>
      <c r="K114" s="347"/>
    </row>
    <row r="115" spans="1:18" ht="18" customHeight="1">
      <c r="A115" s="4"/>
      <c r="B115" s="686"/>
      <c r="C115" s="347"/>
      <c r="D115" s="347"/>
      <c r="E115" s="347"/>
      <c r="F115" s="347"/>
      <c r="G115" s="347"/>
      <c r="H115" s="347"/>
      <c r="I115" s="347"/>
      <c r="J115" s="347"/>
      <c r="K115" s="347"/>
    </row>
    <row r="116" spans="1:18" ht="18" customHeight="1">
      <c r="A116" s="4" t="s">
        <v>170</v>
      </c>
      <c r="B116" s="686" t="s">
        <v>16</v>
      </c>
      <c r="C116" s="347"/>
      <c r="D116" s="347"/>
      <c r="E116" s="347"/>
      <c r="F116" s="347"/>
      <c r="G116" s="347"/>
      <c r="H116" s="347"/>
      <c r="I116" s="347"/>
      <c r="J116" s="347"/>
      <c r="K116" s="347"/>
    </row>
    <row r="117" spans="1:18" ht="18" customHeight="1">
      <c r="A117" s="4" t="s">
        <v>172</v>
      </c>
      <c r="B117" s="687" t="s">
        <v>17</v>
      </c>
      <c r="C117" s="347"/>
      <c r="D117" s="347"/>
      <c r="E117" s="347"/>
      <c r="F117" s="287">
        <f>+[25]Suburban!$D$19</f>
        <v>250848000</v>
      </c>
      <c r="G117" s="347"/>
      <c r="H117" s="347"/>
      <c r="I117" s="347"/>
      <c r="J117" s="347"/>
      <c r="K117" s="347"/>
    </row>
    <row r="118" spans="1:18" ht="18" customHeight="1">
      <c r="A118" s="4" t="s">
        <v>173</v>
      </c>
      <c r="B118" s="347" t="s">
        <v>18</v>
      </c>
      <c r="C118" s="347"/>
      <c r="D118" s="347"/>
      <c r="E118" s="347"/>
      <c r="F118" s="287">
        <f>+[25]Suburban!$D$24</f>
        <v>24257000</v>
      </c>
      <c r="G118" s="347"/>
      <c r="H118" s="347"/>
      <c r="I118" s="347"/>
      <c r="J118" s="347"/>
      <c r="K118" s="347"/>
    </row>
    <row r="119" spans="1:18" ht="18" customHeight="1">
      <c r="A119" s="4" t="s">
        <v>174</v>
      </c>
      <c r="B119" s="686" t="s">
        <v>19</v>
      </c>
      <c r="C119" s="347"/>
      <c r="D119" s="347"/>
      <c r="E119" s="347"/>
      <c r="F119" s="45">
        <f>SUM(F117:F118)</f>
        <v>275105000</v>
      </c>
      <c r="G119" s="687"/>
      <c r="H119" s="347"/>
      <c r="I119" s="347"/>
      <c r="J119" s="347"/>
      <c r="K119" s="347"/>
    </row>
    <row r="120" spans="1:18" ht="18" customHeight="1">
      <c r="A120" s="4"/>
      <c r="B120" s="686"/>
      <c r="C120" s="347"/>
      <c r="D120" s="347"/>
      <c r="E120" s="347"/>
      <c r="F120" s="347"/>
      <c r="G120" s="347"/>
      <c r="H120" s="347"/>
      <c r="I120" s="347"/>
      <c r="J120" s="347"/>
      <c r="K120" s="347"/>
    </row>
    <row r="121" spans="1:18" ht="18" customHeight="1">
      <c r="A121" s="4" t="s">
        <v>167</v>
      </c>
      <c r="B121" s="686" t="s">
        <v>36</v>
      </c>
      <c r="C121" s="347"/>
      <c r="D121" s="347"/>
      <c r="E121" s="347"/>
      <c r="F121" s="287">
        <f>+[25]Suburban!$D$30</f>
        <v>263831000</v>
      </c>
      <c r="G121" s="717"/>
      <c r="H121" s="347"/>
      <c r="I121" s="347"/>
      <c r="J121" s="347"/>
      <c r="K121" s="347"/>
    </row>
    <row r="122" spans="1:18" s="682" customFormat="1" ht="18" customHeight="1">
      <c r="A122" s="4"/>
      <c r="B122" s="347"/>
      <c r="C122" s="347"/>
      <c r="D122" s="347"/>
      <c r="E122" s="347"/>
      <c r="F122" s="347"/>
      <c r="G122" s="347"/>
      <c r="H122" s="347"/>
      <c r="I122" s="347"/>
      <c r="J122" s="347"/>
      <c r="K122" s="347"/>
      <c r="L122"/>
      <c r="M122"/>
      <c r="O122"/>
      <c r="P122"/>
      <c r="Q122"/>
      <c r="R122"/>
    </row>
    <row r="123" spans="1:18" s="682" customFormat="1" ht="18" customHeight="1">
      <c r="A123" s="4" t="s">
        <v>175</v>
      </c>
      <c r="B123" s="686" t="s">
        <v>20</v>
      </c>
      <c r="C123" s="347"/>
      <c r="D123" s="347"/>
      <c r="E123" s="347"/>
      <c r="F123" s="287">
        <f>+F119-F121</f>
        <v>11274000</v>
      </c>
      <c r="G123" s="347"/>
      <c r="H123" s="347"/>
      <c r="I123" s="347"/>
      <c r="J123" s="347"/>
      <c r="K123" s="347"/>
      <c r="L123"/>
      <c r="M123"/>
      <c r="O123"/>
      <c r="P123"/>
      <c r="Q123"/>
      <c r="R123"/>
    </row>
    <row r="124" spans="1:18" s="682" customFormat="1" ht="18" customHeight="1">
      <c r="A124" s="4"/>
      <c r="B124" s="347"/>
      <c r="C124" s="347"/>
      <c r="D124" s="347"/>
      <c r="E124" s="347"/>
      <c r="F124" s="347"/>
      <c r="G124" s="347"/>
      <c r="H124" s="347"/>
      <c r="I124" s="347"/>
      <c r="J124" s="347"/>
      <c r="K124" s="347"/>
      <c r="L124"/>
      <c r="M124"/>
      <c r="O124"/>
      <c r="P124"/>
      <c r="Q124"/>
      <c r="R124"/>
    </row>
    <row r="125" spans="1:18" s="682" customFormat="1" ht="18" customHeight="1">
      <c r="A125" s="4" t="s">
        <v>176</v>
      </c>
      <c r="B125" s="686" t="s">
        <v>21</v>
      </c>
      <c r="C125" s="347"/>
      <c r="D125" s="347"/>
      <c r="E125" s="347"/>
      <c r="F125" s="287">
        <f>+[25]Suburban!$D$36</f>
        <v>-1460000</v>
      </c>
      <c r="G125" s="347"/>
      <c r="H125" s="347"/>
      <c r="I125" s="347"/>
      <c r="J125" s="347"/>
      <c r="K125" s="347"/>
      <c r="L125"/>
      <c r="M125"/>
      <c r="O125"/>
      <c r="P125"/>
      <c r="Q125"/>
      <c r="R125"/>
    </row>
    <row r="126" spans="1:18" s="682" customFormat="1" ht="18" customHeight="1">
      <c r="A126" s="4"/>
      <c r="B126" s="347"/>
      <c r="C126" s="347"/>
      <c r="D126" s="347"/>
      <c r="E126" s="347"/>
      <c r="F126" s="347"/>
      <c r="G126" s="347"/>
      <c r="H126" s="347"/>
      <c r="I126" s="347"/>
      <c r="J126" s="347"/>
      <c r="K126" s="347"/>
      <c r="L126"/>
      <c r="M126"/>
      <c r="O126"/>
      <c r="P126"/>
      <c r="Q126"/>
      <c r="R126"/>
    </row>
    <row r="127" spans="1:18" s="682" customFormat="1" ht="18" customHeight="1">
      <c r="A127" s="4" t="s">
        <v>177</v>
      </c>
      <c r="B127" s="686" t="s">
        <v>22</v>
      </c>
      <c r="C127" s="347"/>
      <c r="D127" s="347"/>
      <c r="E127" s="347"/>
      <c r="F127" s="287">
        <f>+F123+F125</f>
        <v>9814000</v>
      </c>
      <c r="G127" s="347"/>
      <c r="H127" s="347"/>
      <c r="I127" s="347"/>
      <c r="J127" s="347"/>
      <c r="K127" s="347"/>
      <c r="L127"/>
      <c r="M127"/>
      <c r="O127"/>
      <c r="P127"/>
      <c r="Q127"/>
      <c r="R127"/>
    </row>
    <row r="128" spans="1:18" s="682" customFormat="1" ht="18" customHeight="1">
      <c r="A128" s="4"/>
      <c r="B128" s="347"/>
      <c r="C128" s="347"/>
      <c r="D128" s="347"/>
      <c r="E128" s="347"/>
      <c r="F128" s="347"/>
      <c r="G128" s="347"/>
      <c r="H128" s="347"/>
      <c r="I128" s="347"/>
      <c r="J128" s="347"/>
      <c r="K128" s="347"/>
      <c r="L128"/>
      <c r="M128"/>
      <c r="O128"/>
      <c r="P128"/>
      <c r="Q128"/>
      <c r="R128"/>
    </row>
    <row r="129" spans="1:18" s="682" customFormat="1" ht="42.75" customHeight="1">
      <c r="A129" s="7"/>
      <c r="B129" s="347"/>
      <c r="C129" s="347"/>
      <c r="D129" s="347"/>
      <c r="E129" s="347"/>
      <c r="F129" s="685" t="s">
        <v>9</v>
      </c>
      <c r="G129" s="685" t="s">
        <v>37</v>
      </c>
      <c r="H129" s="685" t="s">
        <v>29</v>
      </c>
      <c r="I129" s="685" t="s">
        <v>30</v>
      </c>
      <c r="J129" s="685" t="s">
        <v>33</v>
      </c>
      <c r="K129" s="685" t="s">
        <v>34</v>
      </c>
      <c r="L129"/>
      <c r="M129"/>
      <c r="O129"/>
      <c r="P129"/>
      <c r="Q129"/>
      <c r="R129"/>
    </row>
    <row r="130" spans="1:18" s="682" customFormat="1" ht="18" customHeight="1">
      <c r="A130" s="5" t="s">
        <v>157</v>
      </c>
      <c r="B130" s="686" t="s">
        <v>23</v>
      </c>
      <c r="C130" s="347"/>
      <c r="D130" s="347"/>
      <c r="E130" s="347"/>
      <c r="F130" s="347"/>
      <c r="G130" s="347"/>
      <c r="H130" s="347"/>
      <c r="I130" s="347"/>
      <c r="J130" s="347"/>
      <c r="K130" s="347"/>
      <c r="L130"/>
      <c r="M130"/>
      <c r="O130"/>
      <c r="P130"/>
      <c r="Q130"/>
      <c r="R130"/>
    </row>
    <row r="131" spans="1:18" s="682" customFormat="1" ht="18" customHeight="1">
      <c r="A131" s="4" t="s">
        <v>158</v>
      </c>
      <c r="B131" s="347" t="s">
        <v>24</v>
      </c>
      <c r="C131" s="347"/>
      <c r="D131" s="347"/>
      <c r="E131" s="347"/>
      <c r="F131" s="43">
        <v>0</v>
      </c>
      <c r="G131" s="43">
        <v>0</v>
      </c>
      <c r="H131" s="287">
        <v>261300</v>
      </c>
      <c r="I131" s="287">
        <f>H131*F$114</f>
        <v>140603.41537325821</v>
      </c>
      <c r="J131" s="287">
        <v>0</v>
      </c>
      <c r="K131" s="288">
        <f>(H131+I131)-J131</f>
        <v>401903.41537325818</v>
      </c>
      <c r="L131" s="289"/>
      <c r="M131" s="714"/>
      <c r="O131"/>
      <c r="P131"/>
      <c r="Q131"/>
      <c r="R131"/>
    </row>
    <row r="132" spans="1:18" s="682" customFormat="1" ht="18" customHeight="1">
      <c r="A132" s="4" t="s">
        <v>159</v>
      </c>
      <c r="B132" s="347" t="s">
        <v>25</v>
      </c>
      <c r="C132" s="347"/>
      <c r="D132" s="347"/>
      <c r="E132" s="347"/>
      <c r="F132" s="43">
        <v>0</v>
      </c>
      <c r="G132" s="43">
        <v>8</v>
      </c>
      <c r="H132" s="287">
        <v>56174</v>
      </c>
      <c r="I132" s="287">
        <f>H132*F$114</f>
        <v>30226.774799760453</v>
      </c>
      <c r="J132" s="287">
        <v>0</v>
      </c>
      <c r="K132" s="288">
        <f>(H132+I132)-J132</f>
        <v>86400.77479976046</v>
      </c>
      <c r="L132" s="289"/>
      <c r="M132" s="289"/>
      <c r="O132"/>
      <c r="P132"/>
      <c r="Q132"/>
      <c r="R132"/>
    </row>
    <row r="133" spans="1:18" s="682" customFormat="1" ht="18" customHeight="1">
      <c r="A133" s="4" t="s">
        <v>160</v>
      </c>
      <c r="B133" s="1038" t="s">
        <v>607</v>
      </c>
      <c r="C133" s="1038"/>
      <c r="D133" s="1038"/>
      <c r="E133" s="347"/>
      <c r="F133" s="43">
        <v>0</v>
      </c>
      <c r="G133" s="43">
        <v>0</v>
      </c>
      <c r="H133" s="287">
        <v>317474</v>
      </c>
      <c r="I133" s="287">
        <v>0</v>
      </c>
      <c r="J133" s="287">
        <v>0</v>
      </c>
      <c r="K133" s="288">
        <f>(H133+I133)-J133</f>
        <v>317474</v>
      </c>
      <c r="L133"/>
      <c r="M133" s="714"/>
      <c r="O133"/>
      <c r="P133"/>
      <c r="Q133"/>
      <c r="R133"/>
    </row>
    <row r="134" spans="1:18" s="682" customFormat="1" ht="18" customHeight="1">
      <c r="A134" s="4" t="s">
        <v>161</v>
      </c>
      <c r="B134" s="1039"/>
      <c r="C134" s="1039"/>
      <c r="D134" s="1039"/>
      <c r="E134" s="21"/>
      <c r="F134" s="341"/>
      <c r="G134" s="341"/>
      <c r="H134" s="689"/>
      <c r="I134" s="689"/>
      <c r="J134" s="689"/>
      <c r="K134" s="690"/>
      <c r="L134"/>
      <c r="M134"/>
      <c r="O134"/>
      <c r="P134"/>
      <c r="Q134"/>
      <c r="R134"/>
    </row>
    <row r="135" spans="1:18" s="682" customFormat="1" ht="18" customHeight="1">
      <c r="A135" s="4" t="s">
        <v>162</v>
      </c>
      <c r="B135" s="1039"/>
      <c r="C135" s="1039"/>
      <c r="D135" s="1039"/>
      <c r="E135" s="21"/>
      <c r="F135" s="341"/>
      <c r="G135" s="341"/>
      <c r="H135" s="689"/>
      <c r="I135" s="689"/>
      <c r="J135" s="689"/>
      <c r="K135" s="690"/>
      <c r="L135"/>
      <c r="M135"/>
      <c r="O135"/>
      <c r="P135"/>
      <c r="Q135"/>
      <c r="R135"/>
    </row>
    <row r="136" spans="1:18" s="682" customFormat="1" ht="18" customHeight="1">
      <c r="A136" s="5"/>
      <c r="B136" s="347"/>
      <c r="C136" s="347"/>
      <c r="D136" s="347"/>
      <c r="E136" s="347"/>
      <c r="F136" s="347"/>
      <c r="G136" s="347"/>
      <c r="H136" s="692"/>
      <c r="I136" s="347"/>
      <c r="J136" s="347"/>
      <c r="K136" s="347"/>
      <c r="L136"/>
      <c r="M136"/>
      <c r="O136"/>
      <c r="P136"/>
      <c r="Q136"/>
      <c r="R136"/>
    </row>
    <row r="137" spans="1:18" s="682" customFormat="1" ht="18" customHeight="1">
      <c r="A137" s="5" t="s">
        <v>163</v>
      </c>
      <c r="B137" s="686" t="s">
        <v>27</v>
      </c>
      <c r="C137" s="347"/>
      <c r="D137" s="347"/>
      <c r="E137" s="347"/>
      <c r="F137" s="694">
        <f t="shared" ref="F137:K137" si="11">SUM(F131:F135)</f>
        <v>0</v>
      </c>
      <c r="G137" s="694">
        <f t="shared" si="11"/>
        <v>8</v>
      </c>
      <c r="H137" s="288">
        <f t="shared" si="11"/>
        <v>634948</v>
      </c>
      <c r="I137" s="288">
        <f t="shared" si="11"/>
        <v>170830.19017301867</v>
      </c>
      <c r="J137" s="288">
        <f t="shared" si="11"/>
        <v>0</v>
      </c>
      <c r="K137" s="288">
        <f t="shared" si="11"/>
        <v>805778.19017301861</v>
      </c>
      <c r="L137"/>
      <c r="M137"/>
      <c r="O137"/>
      <c r="P137"/>
      <c r="Q137"/>
      <c r="R137"/>
    </row>
    <row r="138" spans="1:18" s="682" customFormat="1" ht="18" customHeight="1">
      <c r="A138"/>
      <c r="B138" s="347"/>
      <c r="C138" s="347"/>
      <c r="D138" s="347"/>
      <c r="E138" s="347"/>
      <c r="F138" s="347"/>
      <c r="G138" s="347"/>
      <c r="H138" s="347"/>
      <c r="I138" s="347"/>
      <c r="J138" s="347"/>
      <c r="K138" s="347"/>
      <c r="L138"/>
      <c r="M138"/>
      <c r="O138"/>
      <c r="P138"/>
      <c r="Q138"/>
      <c r="R138"/>
    </row>
    <row r="139" spans="1:18" s="682" customFormat="1" ht="42.75" customHeight="1">
      <c r="A139" s="7"/>
      <c r="B139" s="347"/>
      <c r="C139" s="347"/>
      <c r="D139" s="347"/>
      <c r="E139" s="347"/>
      <c r="F139" s="685" t="s">
        <v>9</v>
      </c>
      <c r="G139" s="685" t="s">
        <v>37</v>
      </c>
      <c r="H139" s="685" t="s">
        <v>29</v>
      </c>
      <c r="I139" s="685" t="s">
        <v>30</v>
      </c>
      <c r="J139" s="685" t="s">
        <v>33</v>
      </c>
      <c r="K139" s="685" t="s">
        <v>34</v>
      </c>
      <c r="L139"/>
      <c r="M139"/>
      <c r="O139"/>
      <c r="P139"/>
      <c r="Q139"/>
      <c r="R139"/>
    </row>
    <row r="140" spans="1:18" s="682" customFormat="1" ht="18" customHeight="1">
      <c r="A140" s="5" t="s">
        <v>166</v>
      </c>
      <c r="B140" s="686" t="s">
        <v>26</v>
      </c>
      <c r="C140" s="347"/>
      <c r="D140" s="347"/>
      <c r="E140" s="347"/>
      <c r="F140" s="347"/>
      <c r="G140" s="347"/>
      <c r="H140" s="347"/>
      <c r="I140" s="347"/>
      <c r="J140" s="347"/>
      <c r="K140" s="347"/>
      <c r="L140"/>
      <c r="M140"/>
      <c r="O140"/>
      <c r="P140"/>
      <c r="Q140"/>
      <c r="R140"/>
    </row>
    <row r="141" spans="1:18" s="682" customFormat="1" ht="18" customHeight="1">
      <c r="A141" s="4" t="s">
        <v>137</v>
      </c>
      <c r="B141" s="686" t="s">
        <v>64</v>
      </c>
      <c r="C141" s="347"/>
      <c r="D141" s="347"/>
      <c r="E141" s="347"/>
      <c r="F141" s="718">
        <f t="shared" ref="F141:K141" si="12">F36</f>
        <v>26579.8</v>
      </c>
      <c r="G141" s="718">
        <f t="shared" si="12"/>
        <v>22218</v>
      </c>
      <c r="H141" s="718">
        <f t="shared" si="12"/>
        <v>1308164</v>
      </c>
      <c r="I141" s="718">
        <f t="shared" si="12"/>
        <v>703912.46180001134</v>
      </c>
      <c r="J141" s="718">
        <f t="shared" si="12"/>
        <v>101373</v>
      </c>
      <c r="K141" s="718">
        <f t="shared" si="12"/>
        <v>1910703.4618000111</v>
      </c>
      <c r="L141" s="289"/>
      <c r="M141" s="289"/>
      <c r="O141"/>
      <c r="P141"/>
      <c r="Q141"/>
      <c r="R141"/>
    </row>
    <row r="142" spans="1:18" s="682" customFormat="1" ht="18" customHeight="1">
      <c r="A142" s="4" t="s">
        <v>142</v>
      </c>
      <c r="B142" s="686" t="s">
        <v>65</v>
      </c>
      <c r="C142" s="347"/>
      <c r="D142" s="347"/>
      <c r="E142" s="347"/>
      <c r="F142" s="718">
        <f t="shared" ref="F142:K142" si="13">F49</f>
        <v>38506.5</v>
      </c>
      <c r="G142" s="718">
        <f t="shared" si="13"/>
        <v>5578</v>
      </c>
      <c r="H142" s="718">
        <f t="shared" si="13"/>
        <v>2907989.7847006563</v>
      </c>
      <c r="I142" s="718">
        <f t="shared" si="13"/>
        <v>704080.56856109481</v>
      </c>
      <c r="J142" s="718">
        <f t="shared" si="13"/>
        <v>12548</v>
      </c>
      <c r="K142" s="718">
        <f t="shared" si="13"/>
        <v>3599522.3532617516</v>
      </c>
      <c r="L142"/>
      <c r="M142"/>
      <c r="O142"/>
      <c r="P142"/>
      <c r="Q142"/>
      <c r="R142"/>
    </row>
    <row r="143" spans="1:18" s="682" customFormat="1" ht="18" customHeight="1">
      <c r="A143" s="4" t="s">
        <v>144</v>
      </c>
      <c r="B143" s="686" t="s">
        <v>66</v>
      </c>
      <c r="C143" s="347"/>
      <c r="D143" s="347"/>
      <c r="E143" s="347"/>
      <c r="F143" s="718">
        <f t="shared" ref="F143:K143" si="14">F64</f>
        <v>1703</v>
      </c>
      <c r="G143" s="718">
        <f t="shared" si="14"/>
        <v>10355</v>
      </c>
      <c r="H143" s="718">
        <f t="shared" si="14"/>
        <v>8542149.3200000003</v>
      </c>
      <c r="I143" s="718">
        <f t="shared" si="14"/>
        <v>202580.62892533178</v>
      </c>
      <c r="J143" s="718">
        <f t="shared" si="14"/>
        <v>715423.83000000007</v>
      </c>
      <c r="K143" s="718">
        <f t="shared" si="14"/>
        <v>8029306.1189253312</v>
      </c>
      <c r="L143"/>
      <c r="M143"/>
      <c r="O143"/>
      <c r="P143"/>
      <c r="Q143"/>
      <c r="R143"/>
    </row>
    <row r="144" spans="1:18" s="682" customFormat="1" ht="18" customHeight="1">
      <c r="A144" s="4" t="s">
        <v>146</v>
      </c>
      <c r="B144" s="686" t="s">
        <v>67</v>
      </c>
      <c r="C144" s="347"/>
      <c r="D144" s="347"/>
      <c r="E144" s="347"/>
      <c r="F144" s="718">
        <f t="shared" ref="F144:K144" si="15">F74</f>
        <v>0</v>
      </c>
      <c r="G144" s="718">
        <f t="shared" si="15"/>
        <v>0</v>
      </c>
      <c r="H144" s="718">
        <f t="shared" si="15"/>
        <v>4091382.53</v>
      </c>
      <c r="I144" s="718">
        <f t="shared" si="15"/>
        <v>0</v>
      </c>
      <c r="J144" s="718">
        <f t="shared" si="15"/>
        <v>4091382.53</v>
      </c>
      <c r="K144" s="718">
        <f t="shared" si="15"/>
        <v>0</v>
      </c>
      <c r="L144"/>
      <c r="M144"/>
      <c r="O144"/>
      <c r="P144"/>
      <c r="Q144"/>
      <c r="R144"/>
    </row>
    <row r="145" spans="1:18" s="682" customFormat="1" ht="18" customHeight="1">
      <c r="A145" s="4" t="s">
        <v>148</v>
      </c>
      <c r="B145" s="686" t="s">
        <v>68</v>
      </c>
      <c r="C145" s="347"/>
      <c r="D145" s="347"/>
      <c r="E145" s="347"/>
      <c r="F145" s="718">
        <f t="shared" ref="F145:K145" si="16">F82</f>
        <v>419</v>
      </c>
      <c r="G145" s="718">
        <f t="shared" si="16"/>
        <v>1828</v>
      </c>
      <c r="H145" s="718">
        <f t="shared" si="16"/>
        <v>814604</v>
      </c>
      <c r="I145" s="718">
        <f t="shared" si="16"/>
        <v>4211.9088434002224</v>
      </c>
      <c r="J145" s="718">
        <f t="shared" si="16"/>
        <v>0</v>
      </c>
      <c r="K145" s="718">
        <f t="shared" si="16"/>
        <v>818815.90884340019</v>
      </c>
      <c r="L145"/>
      <c r="M145"/>
      <c r="O145"/>
      <c r="P145"/>
      <c r="Q145"/>
      <c r="R145"/>
    </row>
    <row r="146" spans="1:18" s="682" customFormat="1" ht="18" customHeight="1">
      <c r="A146" s="4" t="s">
        <v>150</v>
      </c>
      <c r="B146" s="686" t="s">
        <v>69</v>
      </c>
      <c r="C146" s="347"/>
      <c r="D146" s="347"/>
      <c r="E146" s="347"/>
      <c r="F146" s="718">
        <f t="shared" ref="F146:K146" si="17">F98</f>
        <v>3298</v>
      </c>
      <c r="G146" s="718">
        <f t="shared" si="17"/>
        <v>87261</v>
      </c>
      <c r="H146" s="718">
        <f t="shared" si="17"/>
        <v>599974</v>
      </c>
      <c r="I146" s="718">
        <f t="shared" si="17"/>
        <v>285572.37039030995</v>
      </c>
      <c r="J146" s="718">
        <f t="shared" si="17"/>
        <v>25096</v>
      </c>
      <c r="K146" s="718">
        <f t="shared" si="17"/>
        <v>860450.37039030995</v>
      </c>
      <c r="L146"/>
      <c r="M146"/>
      <c r="O146"/>
      <c r="P146"/>
      <c r="Q146"/>
      <c r="R146"/>
    </row>
    <row r="147" spans="1:18" s="682" customFormat="1" ht="18" customHeight="1">
      <c r="A147" s="4" t="s">
        <v>153</v>
      </c>
      <c r="B147" s="686" t="s">
        <v>61</v>
      </c>
      <c r="C147" s="347"/>
      <c r="D147" s="347"/>
      <c r="E147" s="347"/>
      <c r="F147" s="694">
        <f t="shared" ref="F147:K147" si="18">F108</f>
        <v>846.34299999999996</v>
      </c>
      <c r="G147" s="694">
        <f t="shared" si="18"/>
        <v>29</v>
      </c>
      <c r="H147" s="694">
        <f t="shared" si="18"/>
        <v>165808.02857142856</v>
      </c>
      <c r="I147" s="694">
        <f t="shared" si="18"/>
        <v>89219.958336967597</v>
      </c>
      <c r="J147" s="694">
        <f t="shared" si="18"/>
        <v>50192</v>
      </c>
      <c r="K147" s="694">
        <f t="shared" si="18"/>
        <v>204835.98690839618</v>
      </c>
      <c r="L147"/>
      <c r="M147"/>
      <c r="O147"/>
      <c r="P147"/>
      <c r="Q147"/>
      <c r="R147"/>
    </row>
    <row r="148" spans="1:18" s="682" customFormat="1" ht="18" customHeight="1">
      <c r="A148" s="4" t="s">
        <v>155</v>
      </c>
      <c r="B148" s="686" t="s">
        <v>70</v>
      </c>
      <c r="C148" s="347"/>
      <c r="D148" s="347"/>
      <c r="E148" s="347"/>
      <c r="F148" s="718" t="s">
        <v>73</v>
      </c>
      <c r="G148" s="718" t="s">
        <v>73</v>
      </c>
      <c r="H148" s="719" t="s">
        <v>73</v>
      </c>
      <c r="I148" s="719" t="s">
        <v>73</v>
      </c>
      <c r="J148" s="719" t="s">
        <v>73</v>
      </c>
      <c r="K148" s="719">
        <f>F111</f>
        <v>4093000</v>
      </c>
      <c r="L148"/>
      <c r="M148"/>
      <c r="O148"/>
      <c r="P148"/>
      <c r="Q148"/>
      <c r="R148"/>
    </row>
    <row r="149" spans="1:18" s="682" customFormat="1" ht="18" customHeight="1">
      <c r="A149" s="4" t="s">
        <v>163</v>
      </c>
      <c r="B149" s="686" t="s">
        <v>71</v>
      </c>
      <c r="C149" s="347"/>
      <c r="D149" s="347"/>
      <c r="E149" s="347"/>
      <c r="F149" s="694">
        <f t="shared" ref="F149:K149" si="19">F137</f>
        <v>0</v>
      </c>
      <c r="G149" s="694">
        <f t="shared" si="19"/>
        <v>8</v>
      </c>
      <c r="H149" s="694">
        <f t="shared" si="19"/>
        <v>634948</v>
      </c>
      <c r="I149" s="694">
        <f t="shared" si="19"/>
        <v>170830.19017301867</v>
      </c>
      <c r="J149" s="694">
        <f t="shared" si="19"/>
        <v>0</v>
      </c>
      <c r="K149" s="694">
        <f t="shared" si="19"/>
        <v>805778.19017301861</v>
      </c>
      <c r="L149"/>
      <c r="M149"/>
      <c r="O149"/>
      <c r="P149"/>
      <c r="Q149"/>
      <c r="R149"/>
    </row>
    <row r="150" spans="1:18" s="682" customFormat="1" ht="18" customHeight="1">
      <c r="A150" s="4" t="s">
        <v>185</v>
      </c>
      <c r="B150" s="686" t="s">
        <v>183</v>
      </c>
      <c r="C150" s="347"/>
      <c r="D150" s="347"/>
      <c r="E150" s="347"/>
      <c r="F150" s="718" t="s">
        <v>73</v>
      </c>
      <c r="G150" s="718" t="s">
        <v>73</v>
      </c>
      <c r="H150" s="694">
        <f>H18</f>
        <v>7253095.6238646954</v>
      </c>
      <c r="I150" s="694">
        <f>I18</f>
        <v>0</v>
      </c>
      <c r="J150" s="694">
        <f>J18</f>
        <v>6202303.6349099334</v>
      </c>
      <c r="K150" s="694">
        <f>K18</f>
        <v>1050791.988954762</v>
      </c>
      <c r="L150"/>
      <c r="M150"/>
      <c r="O150"/>
      <c r="P150"/>
      <c r="Q150"/>
      <c r="R150"/>
    </row>
    <row r="151" spans="1:18" s="682" customFormat="1" ht="18" customHeight="1">
      <c r="A151" s="7"/>
      <c r="B151" s="686"/>
      <c r="C151" s="347"/>
      <c r="D151" s="347"/>
      <c r="E151" s="347"/>
      <c r="F151" s="700"/>
      <c r="G151" s="700"/>
      <c r="H151" s="700"/>
      <c r="I151" s="700"/>
      <c r="J151" s="700"/>
      <c r="K151" s="700"/>
      <c r="L151"/>
      <c r="M151"/>
      <c r="O151"/>
      <c r="P151"/>
      <c r="Q151"/>
      <c r="R151"/>
    </row>
    <row r="152" spans="1:18" s="682" customFormat="1" ht="18" customHeight="1">
      <c r="A152" s="5" t="s">
        <v>165</v>
      </c>
      <c r="B152" s="686" t="s">
        <v>26</v>
      </c>
      <c r="C152" s="347"/>
      <c r="D152" s="347"/>
      <c r="E152" s="347"/>
      <c r="F152" s="694">
        <f t="shared" ref="F152:K152" si="20">SUM(F141:F150)</f>
        <v>71352.642999999996</v>
      </c>
      <c r="G152" s="694">
        <f t="shared" si="20"/>
        <v>127277</v>
      </c>
      <c r="H152" s="288">
        <f t="shared" si="20"/>
        <v>26318115.287136778</v>
      </c>
      <c r="I152" s="288">
        <f t="shared" si="20"/>
        <v>2160408.0870301342</v>
      </c>
      <c r="J152" s="288">
        <f t="shared" si="20"/>
        <v>11198318.994909933</v>
      </c>
      <c r="K152" s="288">
        <f t="shared" si="20"/>
        <v>21373204.379256986</v>
      </c>
      <c r="L152"/>
      <c r="M152"/>
      <c r="O152"/>
      <c r="P152"/>
      <c r="Q152"/>
      <c r="R152"/>
    </row>
    <row r="153" spans="1:18" s="682" customFormat="1" ht="18" customHeight="1">
      <c r="A153" s="7"/>
      <c r="B153" s="347"/>
      <c r="C153" s="347"/>
      <c r="D153" s="347"/>
      <c r="E153" s="347"/>
      <c r="F153" s="347"/>
      <c r="G153" s="347"/>
      <c r="H153" s="347"/>
      <c r="I153" s="347"/>
      <c r="J153" s="347"/>
      <c r="K153" s="347"/>
      <c r="L153"/>
      <c r="M153"/>
      <c r="O153"/>
      <c r="P153"/>
      <c r="Q153"/>
      <c r="R153"/>
    </row>
    <row r="154" spans="1:18" ht="18" customHeight="1">
      <c r="A154" s="5" t="s">
        <v>168</v>
      </c>
      <c r="B154" s="686" t="s">
        <v>28</v>
      </c>
      <c r="C154" s="347"/>
      <c r="D154" s="347"/>
      <c r="E154" s="347"/>
      <c r="F154" s="720">
        <f>K152/F121</f>
        <v>8.1010966790320271E-2</v>
      </c>
      <c r="G154" s="347"/>
      <c r="H154" s="692"/>
      <c r="I154" s="347"/>
      <c r="J154" s="347"/>
      <c r="K154" s="347"/>
    </row>
    <row r="155" spans="1:18" ht="18" customHeight="1">
      <c r="A155" s="5" t="s">
        <v>169</v>
      </c>
      <c r="B155" s="686" t="s">
        <v>72</v>
      </c>
      <c r="C155" s="347"/>
      <c r="D155" s="347"/>
      <c r="E155" s="347"/>
      <c r="F155" s="720">
        <f>K152/F127</f>
        <v>2.1778280394596479</v>
      </c>
      <c r="G155" s="686"/>
      <c r="H155" s="347"/>
      <c r="I155" s="347"/>
      <c r="J155" s="347"/>
      <c r="K155" s="347"/>
    </row>
    <row r="156" spans="1:18" ht="18" customHeight="1">
      <c r="G156" s="1"/>
    </row>
  </sheetData>
  <mergeCells count="33">
    <mergeCell ref="C10:G10"/>
    <mergeCell ref="D2:H2"/>
    <mergeCell ref="C5:G5"/>
    <mergeCell ref="C6:G6"/>
    <mergeCell ref="C7:G7"/>
    <mergeCell ref="C9:G9"/>
    <mergeCell ref="B53:D53"/>
    <mergeCell ref="C11:G11"/>
    <mergeCell ref="B13:H13"/>
    <mergeCell ref="B30:D30"/>
    <mergeCell ref="B31:D31"/>
    <mergeCell ref="B34:D34"/>
    <mergeCell ref="B41:C41"/>
    <mergeCell ref="B44:D44"/>
    <mergeCell ref="B45:D45"/>
    <mergeCell ref="B46:D46"/>
    <mergeCell ref="B47:D47"/>
    <mergeCell ref="B52:C52"/>
    <mergeCell ref="B55:D55"/>
    <mergeCell ref="B56:D56"/>
    <mergeCell ref="B57:D57"/>
    <mergeCell ref="B59:D59"/>
    <mergeCell ref="B90:C90"/>
    <mergeCell ref="B106:D106"/>
    <mergeCell ref="B133:D133"/>
    <mergeCell ref="B134:D134"/>
    <mergeCell ref="B135:D135"/>
    <mergeCell ref="B94:D94"/>
    <mergeCell ref="B95:D95"/>
    <mergeCell ref="B96:D96"/>
    <mergeCell ref="B103:C103"/>
    <mergeCell ref="B104:D104"/>
    <mergeCell ref="B105:D105"/>
  </mergeCells>
  <printOptions headings="1" gridLines="1"/>
  <pageMargins left="0.17" right="0.16" top="0.35" bottom="0.32" header="0.17" footer="0.17"/>
  <pageSetup scale="64" fitToHeight="4" orientation="landscape" r:id="rId1"/>
  <headerFooter alignWithMargins="0">
    <oddFooter>&amp;L&amp;Z&amp;F.xls&amp;C&amp;P of &amp;N&amp;R&amp;D</oddFooter>
  </headerFooter>
  <rowBreaks count="3" manualBreakCount="3">
    <brk id="37" max="10" man="1"/>
    <brk id="83" max="10" man="1"/>
    <brk id="128" max="10" man="1"/>
  </row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0"/>
  </sheetPr>
  <dimension ref="A1:K156"/>
  <sheetViews>
    <sheetView showGridLines="0" topLeftCell="A6" zoomScaleNormal="100" zoomScaleSheetLayoutView="80" workbookViewId="0">
      <selection activeCell="H18" sqref="H18"/>
    </sheetView>
  </sheetViews>
  <sheetFormatPr defaultColWidth="8.85546875" defaultRowHeight="18" customHeight="1"/>
  <cols>
    <col min="1" max="1" width="8.28515625" style="202" customWidth="1"/>
    <col min="2" max="2" width="55.42578125" style="203" bestFit="1" customWidth="1"/>
    <col min="3" max="3" width="7" style="203" customWidth="1"/>
    <col min="4" max="4" width="2.7109375" style="203" customWidth="1"/>
    <col min="5" max="5" width="10.28515625" style="203" customWidth="1"/>
    <col min="6" max="6" width="18.42578125" style="203" customWidth="1"/>
    <col min="7" max="7" width="23.42578125" style="203" customWidth="1"/>
    <col min="8" max="8" width="17.140625" style="203" customWidth="1"/>
    <col min="9" max="9" width="21.140625" style="203" customWidth="1"/>
    <col min="10" max="10" width="19.85546875" style="203" customWidth="1"/>
    <col min="11" max="11" width="17.42578125" style="203" customWidth="1"/>
    <col min="12" max="16384" width="8.85546875" style="203"/>
  </cols>
  <sheetData>
    <row r="1" spans="1:11" ht="18" customHeight="1">
      <c r="C1" s="204"/>
      <c r="D1" s="205"/>
      <c r="E1" s="204"/>
      <c r="F1" s="204"/>
      <c r="G1" s="204"/>
      <c r="H1" s="204"/>
      <c r="I1" s="204"/>
      <c r="J1" s="204"/>
      <c r="K1" s="204"/>
    </row>
    <row r="2" spans="1:11" ht="18" customHeight="1">
      <c r="D2" s="206" t="s">
        <v>776</v>
      </c>
      <c r="E2" s="207"/>
      <c r="F2" s="207"/>
      <c r="G2" s="207"/>
      <c r="H2" s="207"/>
    </row>
    <row r="3" spans="1:11" ht="18" customHeight="1">
      <c r="B3" s="208" t="s">
        <v>0</v>
      </c>
    </row>
    <row r="5" spans="1:11" ht="18" customHeight="1">
      <c r="B5" s="209" t="s">
        <v>40</v>
      </c>
      <c r="C5" s="1071" t="s">
        <v>299</v>
      </c>
      <c r="D5" s="1072"/>
      <c r="E5" s="1072"/>
      <c r="F5" s="1072"/>
      <c r="G5" s="1073"/>
    </row>
    <row r="6" spans="1:11" ht="18" customHeight="1">
      <c r="B6" s="209" t="s">
        <v>3</v>
      </c>
      <c r="C6" s="1074">
        <v>23</v>
      </c>
      <c r="D6" s="1075"/>
      <c r="E6" s="1075"/>
      <c r="F6" s="1075"/>
      <c r="G6" s="1076"/>
    </row>
    <row r="7" spans="1:11" ht="18" customHeight="1">
      <c r="B7" s="209" t="s">
        <v>4</v>
      </c>
      <c r="C7" s="1077"/>
      <c r="D7" s="1078"/>
      <c r="E7" s="1078"/>
      <c r="F7" s="1078"/>
      <c r="G7" s="1079"/>
    </row>
    <row r="9" spans="1:11" ht="18" customHeight="1">
      <c r="B9" s="209" t="s">
        <v>1</v>
      </c>
      <c r="C9" s="1071" t="s">
        <v>342</v>
      </c>
      <c r="D9" s="1072"/>
      <c r="E9" s="1072"/>
      <c r="F9" s="1072"/>
      <c r="G9" s="1073"/>
    </row>
    <row r="10" spans="1:11" ht="18" customHeight="1">
      <c r="B10" s="209" t="s">
        <v>2</v>
      </c>
      <c r="C10" s="1080" t="s">
        <v>343</v>
      </c>
      <c r="D10" s="1081"/>
      <c r="E10" s="1081"/>
      <c r="F10" s="1081"/>
      <c r="G10" s="1082"/>
    </row>
    <row r="11" spans="1:11" ht="18" customHeight="1">
      <c r="B11" s="209" t="s">
        <v>32</v>
      </c>
      <c r="C11" s="1069" t="s">
        <v>344</v>
      </c>
      <c r="D11" s="1070"/>
      <c r="E11" s="1070"/>
      <c r="F11" s="1070"/>
      <c r="G11" s="1070"/>
    </row>
    <row r="12" spans="1:11" ht="18" customHeight="1">
      <c r="B12" s="209"/>
      <c r="C12" s="209"/>
      <c r="D12" s="209"/>
      <c r="E12" s="209"/>
      <c r="F12" s="209"/>
      <c r="G12" s="209"/>
    </row>
    <row r="13" spans="1:11" ht="24.6" customHeight="1">
      <c r="B13" s="1062"/>
      <c r="C13" s="1063"/>
      <c r="D13" s="1063"/>
      <c r="E13" s="1063"/>
      <c r="F13" s="1063"/>
      <c r="G13" s="1063"/>
      <c r="H13" s="1061"/>
      <c r="I13" s="204"/>
    </row>
    <row r="14" spans="1:11" ht="18" customHeight="1">
      <c r="B14" s="210"/>
    </row>
    <row r="15" spans="1:11" ht="18" customHeight="1">
      <c r="B15" s="210"/>
    </row>
    <row r="16" spans="1:11" ht="45" customHeight="1">
      <c r="A16" s="205" t="s">
        <v>181</v>
      </c>
      <c r="B16" s="204"/>
      <c r="C16" s="204"/>
      <c r="D16" s="204"/>
      <c r="E16" s="204"/>
      <c r="F16" s="211" t="s">
        <v>9</v>
      </c>
      <c r="G16" s="211" t="s">
        <v>37</v>
      </c>
      <c r="H16" s="211" t="s">
        <v>29</v>
      </c>
      <c r="I16" s="211" t="s">
        <v>30</v>
      </c>
      <c r="J16" s="211" t="s">
        <v>33</v>
      </c>
      <c r="K16" s="211" t="s">
        <v>34</v>
      </c>
    </row>
    <row r="17" spans="1:11" ht="18" customHeight="1">
      <c r="A17" s="212" t="s">
        <v>184</v>
      </c>
      <c r="B17" s="208" t="s">
        <v>182</v>
      </c>
    </row>
    <row r="18" spans="1:11" ht="18" customHeight="1">
      <c r="A18" s="209" t="s">
        <v>185</v>
      </c>
      <c r="B18" s="203" t="s">
        <v>183</v>
      </c>
      <c r="F18" s="213" t="s">
        <v>73</v>
      </c>
      <c r="G18" s="213" t="s">
        <v>73</v>
      </c>
      <c r="H18" s="219">
        <v>13891673</v>
      </c>
      <c r="I18" s="214">
        <v>0</v>
      </c>
      <c r="J18" s="219">
        <v>11879117</v>
      </c>
      <c r="K18" s="222">
        <f>(H18+I18)-J18</f>
        <v>2012556</v>
      </c>
    </row>
    <row r="19" spans="1:11" ht="45" customHeight="1">
      <c r="A19" s="205" t="s">
        <v>8</v>
      </c>
      <c r="B19" s="204"/>
      <c r="C19" s="204"/>
      <c r="D19" s="204"/>
      <c r="E19" s="204"/>
      <c r="F19" s="211" t="s">
        <v>9</v>
      </c>
      <c r="G19" s="211" t="s">
        <v>37</v>
      </c>
      <c r="H19" s="211" t="s">
        <v>29</v>
      </c>
      <c r="I19" s="211" t="s">
        <v>30</v>
      </c>
      <c r="J19" s="211" t="s">
        <v>33</v>
      </c>
      <c r="K19" s="211" t="s">
        <v>34</v>
      </c>
    </row>
    <row r="20" spans="1:11" ht="18" customHeight="1">
      <c r="A20" s="212" t="s">
        <v>74</v>
      </c>
      <c r="B20" s="208" t="s">
        <v>41</v>
      </c>
    </row>
    <row r="21" spans="1:11" ht="18" customHeight="1">
      <c r="A21" s="209" t="s">
        <v>75</v>
      </c>
      <c r="B21" s="203" t="s">
        <v>42</v>
      </c>
      <c r="F21" s="213">
        <v>4232</v>
      </c>
      <c r="G21" s="213">
        <v>19862</v>
      </c>
      <c r="H21" s="219">
        <v>633588</v>
      </c>
      <c r="I21" s="214">
        <f t="shared" ref="I21:I29" si="0">H21*F$114</f>
        <v>335294.7696</v>
      </c>
      <c r="J21" s="219"/>
      <c r="K21" s="222">
        <f t="shared" ref="K21:K29" si="1">(H21+I21)-J21</f>
        <v>968882.7696</v>
      </c>
    </row>
    <row r="22" spans="1:11" ht="18" customHeight="1">
      <c r="A22" s="209" t="s">
        <v>76</v>
      </c>
      <c r="B22" s="203" t="s">
        <v>6</v>
      </c>
      <c r="F22" s="213">
        <v>2029</v>
      </c>
      <c r="G22" s="213">
        <v>3100</v>
      </c>
      <c r="H22" s="219">
        <v>89317</v>
      </c>
      <c r="I22" s="214">
        <f t="shared" si="0"/>
        <v>47266.556400000001</v>
      </c>
      <c r="J22" s="219"/>
      <c r="K22" s="222">
        <f t="shared" si="1"/>
        <v>136583.5564</v>
      </c>
    </row>
    <row r="23" spans="1:11" ht="18" customHeight="1">
      <c r="A23" s="209" t="s">
        <v>77</v>
      </c>
      <c r="B23" s="203" t="s">
        <v>43</v>
      </c>
      <c r="F23" s="213">
        <v>3054</v>
      </c>
      <c r="G23" s="213">
        <v>6204</v>
      </c>
      <c r="H23" s="219">
        <v>179204</v>
      </c>
      <c r="I23" s="214">
        <f t="shared" si="0"/>
        <v>94834.756800000003</v>
      </c>
      <c r="J23" s="219">
        <v>39000</v>
      </c>
      <c r="K23" s="222">
        <f t="shared" si="1"/>
        <v>235038.75679999997</v>
      </c>
    </row>
    <row r="24" spans="1:11" ht="18" customHeight="1">
      <c r="A24" s="209" t="s">
        <v>78</v>
      </c>
      <c r="B24" s="203" t="s">
        <v>44</v>
      </c>
      <c r="F24" s="213">
        <v>620</v>
      </c>
      <c r="G24" s="213">
        <v>4479</v>
      </c>
      <c r="H24" s="219">
        <v>46654</v>
      </c>
      <c r="I24" s="214">
        <f t="shared" si="0"/>
        <v>24689.2968</v>
      </c>
      <c r="J24" s="219"/>
      <c r="K24" s="222">
        <f t="shared" si="1"/>
        <v>71343.296799999996</v>
      </c>
    </row>
    <row r="25" spans="1:11" ht="18" customHeight="1">
      <c r="A25" s="209" t="s">
        <v>79</v>
      </c>
      <c r="B25" s="203" t="s">
        <v>5</v>
      </c>
      <c r="F25" s="213">
        <v>8493</v>
      </c>
      <c r="G25" s="213">
        <v>9248</v>
      </c>
      <c r="H25" s="219">
        <v>220841</v>
      </c>
      <c r="I25" s="214">
        <f t="shared" si="0"/>
        <v>116869.0572</v>
      </c>
      <c r="J25" s="219"/>
      <c r="K25" s="222">
        <f t="shared" si="1"/>
        <v>337710.05719999998</v>
      </c>
    </row>
    <row r="26" spans="1:11" ht="18" customHeight="1">
      <c r="A26" s="209" t="s">
        <v>80</v>
      </c>
      <c r="B26" s="203" t="s">
        <v>45</v>
      </c>
      <c r="F26" s="213">
        <v>638</v>
      </c>
      <c r="G26" s="213">
        <v>610</v>
      </c>
      <c r="H26" s="219">
        <v>44084</v>
      </c>
      <c r="I26" s="214">
        <f t="shared" si="0"/>
        <v>23329.252799999998</v>
      </c>
      <c r="J26" s="219"/>
      <c r="K26" s="222">
        <f t="shared" si="1"/>
        <v>67413.252800000002</v>
      </c>
    </row>
    <row r="27" spans="1:11" ht="18" customHeight="1">
      <c r="A27" s="209" t="s">
        <v>83</v>
      </c>
      <c r="B27" s="203" t="s">
        <v>48</v>
      </c>
      <c r="F27" s="213">
        <v>32122</v>
      </c>
      <c r="G27" s="213">
        <v>21835</v>
      </c>
      <c r="H27" s="219">
        <v>1270759</v>
      </c>
      <c r="I27" s="214">
        <f t="shared" si="0"/>
        <v>672485.66280000005</v>
      </c>
      <c r="J27" s="219">
        <v>153516</v>
      </c>
      <c r="K27" s="222">
        <f t="shared" si="1"/>
        <v>1789728.6628</v>
      </c>
    </row>
    <row r="28" spans="1:11" ht="18" customHeight="1">
      <c r="A28" s="209" t="s">
        <v>84</v>
      </c>
      <c r="B28" s="1058" t="s">
        <v>345</v>
      </c>
      <c r="C28" s="1059"/>
      <c r="D28" s="1060"/>
      <c r="F28" s="213"/>
      <c r="G28" s="213">
        <v>560</v>
      </c>
      <c r="H28" s="219">
        <v>23507</v>
      </c>
      <c r="I28" s="214">
        <f t="shared" si="0"/>
        <v>12439.904399999999</v>
      </c>
      <c r="J28" s="219"/>
      <c r="K28" s="222">
        <f t="shared" si="1"/>
        <v>35946.904399999999</v>
      </c>
    </row>
    <row r="29" spans="1:11" ht="18" customHeight="1">
      <c r="A29" s="209" t="s">
        <v>133</v>
      </c>
      <c r="B29" s="1064" t="s">
        <v>346</v>
      </c>
      <c r="C29" s="1065"/>
      <c r="D29" s="1066"/>
      <c r="F29" s="234"/>
      <c r="G29" s="234"/>
      <c r="H29" s="575">
        <v>44131</v>
      </c>
      <c r="I29" s="768">
        <f t="shared" si="0"/>
        <v>23354.125199999999</v>
      </c>
      <c r="J29" s="575"/>
      <c r="K29" s="254">
        <f t="shared" si="1"/>
        <v>67485.125199999995</v>
      </c>
    </row>
    <row r="30" spans="1:11" ht="18" customHeight="1">
      <c r="A30" s="770"/>
      <c r="B30" s="765"/>
      <c r="C30" s="765"/>
      <c r="D30" s="765"/>
      <c r="E30" s="771"/>
      <c r="F30" s="766"/>
      <c r="G30" s="766"/>
      <c r="H30" s="767"/>
      <c r="I30" s="767"/>
      <c r="J30" s="767"/>
      <c r="K30" s="772"/>
    </row>
    <row r="31" spans="1:11" ht="18" customHeight="1">
      <c r="A31" s="770"/>
      <c r="B31" s="765"/>
      <c r="C31" s="765"/>
      <c r="D31" s="765"/>
      <c r="E31" s="771"/>
      <c r="F31" s="766"/>
      <c r="G31" s="766"/>
      <c r="H31" s="767"/>
      <c r="I31" s="767"/>
      <c r="J31" s="767"/>
      <c r="K31" s="772"/>
    </row>
    <row r="32" spans="1:11" ht="18" customHeight="1">
      <c r="A32" s="770"/>
      <c r="B32" s="765"/>
      <c r="C32" s="765"/>
      <c r="D32" s="765"/>
      <c r="E32" s="771"/>
      <c r="F32" s="766"/>
      <c r="G32" s="766"/>
      <c r="H32" s="767"/>
      <c r="I32" s="767"/>
      <c r="J32" s="767"/>
      <c r="K32" s="772"/>
    </row>
    <row r="33" spans="1:11" ht="18" customHeight="1">
      <c r="A33" s="770"/>
      <c r="B33" s="765"/>
      <c r="C33" s="765"/>
      <c r="D33" s="765"/>
      <c r="E33" s="771"/>
      <c r="F33" s="766"/>
      <c r="G33" s="766"/>
      <c r="H33" s="767"/>
      <c r="I33" s="767"/>
      <c r="J33" s="767"/>
      <c r="K33" s="772"/>
    </row>
    <row r="34" spans="1:11" ht="18" customHeight="1">
      <c r="A34" s="770"/>
      <c r="B34" s="765"/>
      <c r="C34" s="765"/>
      <c r="D34" s="765"/>
      <c r="E34" s="771"/>
      <c r="F34" s="766"/>
      <c r="G34" s="766"/>
      <c r="H34" s="767"/>
      <c r="I34" s="767"/>
      <c r="J34" s="767"/>
      <c r="K34" s="772"/>
    </row>
    <row r="35" spans="1:11" ht="18" customHeight="1">
      <c r="K35" s="769"/>
    </row>
    <row r="36" spans="1:11" ht="18" customHeight="1">
      <c r="A36" s="212" t="s">
        <v>137</v>
      </c>
      <c r="B36" s="208" t="s">
        <v>138</v>
      </c>
      <c r="E36" s="208" t="s">
        <v>7</v>
      </c>
      <c r="F36" s="215">
        <f t="shared" ref="F36:K36" si="2">SUM(F21:F29)</f>
        <v>51188</v>
      </c>
      <c r="G36" s="215">
        <f t="shared" si="2"/>
        <v>65898</v>
      </c>
      <c r="H36" s="215">
        <f t="shared" si="2"/>
        <v>2552085</v>
      </c>
      <c r="I36" s="222">
        <f t="shared" si="2"/>
        <v>1350563.382</v>
      </c>
      <c r="J36" s="222">
        <f t="shared" si="2"/>
        <v>192516</v>
      </c>
      <c r="K36" s="222">
        <f t="shared" si="2"/>
        <v>3710132.3819999998</v>
      </c>
    </row>
    <row r="37" spans="1:11" ht="18" customHeight="1" thickBot="1">
      <c r="B37" s="208"/>
      <c r="F37" s="216"/>
      <c r="G37" s="216"/>
      <c r="H37" s="217"/>
      <c r="I37" s="217"/>
      <c r="J37" s="217"/>
      <c r="K37" s="218"/>
    </row>
    <row r="38" spans="1:11" ht="42.75" customHeight="1">
      <c r="F38" s="211" t="s">
        <v>9</v>
      </c>
      <c r="G38" s="211" t="s">
        <v>37</v>
      </c>
      <c r="H38" s="211" t="s">
        <v>29</v>
      </c>
      <c r="I38" s="211" t="s">
        <v>30</v>
      </c>
      <c r="J38" s="211" t="s">
        <v>33</v>
      </c>
      <c r="K38" s="211" t="s">
        <v>34</v>
      </c>
    </row>
    <row r="39" spans="1:11" ht="18.75" customHeight="1">
      <c r="A39" s="212" t="s">
        <v>86</v>
      </c>
      <c r="B39" s="208" t="s">
        <v>49</v>
      </c>
    </row>
    <row r="40" spans="1:11" ht="18" customHeight="1">
      <c r="A40" s="209" t="s">
        <v>87</v>
      </c>
      <c r="B40" s="203" t="s">
        <v>31</v>
      </c>
      <c r="F40" s="213">
        <v>14715</v>
      </c>
      <c r="G40" s="213">
        <v>5219</v>
      </c>
      <c r="H40" s="219">
        <v>1315454</v>
      </c>
      <c r="I40" s="214">
        <v>0</v>
      </c>
      <c r="J40" s="219"/>
      <c r="K40" s="222">
        <f>(H40+I40)-J40</f>
        <v>1315454</v>
      </c>
    </row>
    <row r="41" spans="1:11" ht="18" customHeight="1">
      <c r="A41" s="209" t="s">
        <v>88</v>
      </c>
      <c r="B41" s="1061" t="s">
        <v>50</v>
      </c>
      <c r="C41" s="1061"/>
      <c r="F41" s="213">
        <v>117506</v>
      </c>
      <c r="G41" s="213">
        <v>896</v>
      </c>
      <c r="H41" s="219">
        <v>4112710</v>
      </c>
      <c r="I41" s="214">
        <v>0</v>
      </c>
      <c r="J41" s="219"/>
      <c r="K41" s="222">
        <f>(H41+I41)-J41</f>
        <v>4112710</v>
      </c>
    </row>
    <row r="42" spans="1:11" ht="18" customHeight="1">
      <c r="A42" s="209" t="s">
        <v>89</v>
      </c>
      <c r="B42" s="203" t="s">
        <v>11</v>
      </c>
      <c r="F42" s="213">
        <v>6334</v>
      </c>
      <c r="G42" s="213">
        <v>67</v>
      </c>
      <c r="H42" s="219">
        <v>188075</v>
      </c>
      <c r="I42" s="214">
        <v>0</v>
      </c>
      <c r="J42" s="219"/>
      <c r="K42" s="222">
        <f>(H42+I42)-J42</f>
        <v>188075</v>
      </c>
    </row>
    <row r="43" spans="1:11" ht="18" customHeight="1">
      <c r="A43" s="209" t="s">
        <v>90</v>
      </c>
      <c r="B43" s="220" t="s">
        <v>10</v>
      </c>
      <c r="C43" s="220"/>
      <c r="D43" s="220"/>
      <c r="F43" s="213">
        <v>225</v>
      </c>
      <c r="G43" s="213">
        <v>873</v>
      </c>
      <c r="H43" s="219">
        <v>9000</v>
      </c>
      <c r="I43" s="214">
        <v>0</v>
      </c>
      <c r="J43" s="219"/>
      <c r="K43" s="222">
        <f>(H43+I43)-J43</f>
        <v>9000</v>
      </c>
    </row>
    <row r="44" spans="1:11" ht="18" customHeight="1">
      <c r="A44" s="209"/>
      <c r="B44" s="220"/>
      <c r="C44" s="220"/>
      <c r="D44" s="220"/>
      <c r="F44" s="763"/>
      <c r="G44" s="763"/>
      <c r="H44" s="764"/>
      <c r="I44" s="764"/>
      <c r="J44" s="764"/>
      <c r="K44" s="773"/>
    </row>
    <row r="45" spans="1:11" ht="18" customHeight="1">
      <c r="A45" s="209"/>
      <c r="B45" s="220"/>
      <c r="C45" s="220"/>
      <c r="D45" s="220"/>
      <c r="F45" s="763"/>
      <c r="G45" s="763"/>
      <c r="H45" s="764"/>
      <c r="I45" s="764"/>
      <c r="J45" s="764"/>
      <c r="K45" s="773"/>
    </row>
    <row r="46" spans="1:11" ht="18" customHeight="1">
      <c r="A46" s="209"/>
      <c r="B46" s="220"/>
      <c r="C46" s="220"/>
      <c r="D46" s="220"/>
      <c r="F46" s="763"/>
      <c r="G46" s="763"/>
      <c r="H46" s="764"/>
      <c r="I46" s="764"/>
      <c r="J46" s="764"/>
      <c r="K46" s="773"/>
    </row>
    <row r="47" spans="1:11" ht="18" customHeight="1">
      <c r="A47" s="209"/>
      <c r="B47" s="220"/>
      <c r="C47" s="220"/>
      <c r="D47" s="220"/>
      <c r="F47" s="763"/>
      <c r="G47" s="763"/>
      <c r="H47" s="764"/>
      <c r="I47" s="764"/>
      <c r="J47" s="764"/>
      <c r="K47" s="773"/>
    </row>
    <row r="49" spans="1:11" ht="18" customHeight="1">
      <c r="A49" s="212" t="s">
        <v>142</v>
      </c>
      <c r="B49" s="208" t="s">
        <v>143</v>
      </c>
      <c r="E49" s="208" t="s">
        <v>7</v>
      </c>
      <c r="F49" s="221">
        <f t="shared" ref="F49:K49" si="3">SUM(F40:F43)</f>
        <v>138780</v>
      </c>
      <c r="G49" s="221">
        <f t="shared" si="3"/>
        <v>7055</v>
      </c>
      <c r="H49" s="222">
        <f t="shared" si="3"/>
        <v>5625239</v>
      </c>
      <c r="I49" s="222">
        <f t="shared" si="3"/>
        <v>0</v>
      </c>
      <c r="J49" s="222">
        <f t="shared" si="3"/>
        <v>0</v>
      </c>
      <c r="K49" s="222">
        <f t="shared" si="3"/>
        <v>5625239</v>
      </c>
    </row>
    <row r="50" spans="1:11" ht="18" customHeight="1" thickBot="1">
      <c r="G50" s="223"/>
      <c r="H50" s="223"/>
      <c r="I50" s="223"/>
      <c r="J50" s="223"/>
      <c r="K50" s="223"/>
    </row>
    <row r="51" spans="1:11" ht="42.75" customHeight="1">
      <c r="F51" s="211" t="s">
        <v>9</v>
      </c>
      <c r="G51" s="211" t="s">
        <v>37</v>
      </c>
      <c r="H51" s="211" t="s">
        <v>29</v>
      </c>
      <c r="I51" s="211" t="s">
        <v>30</v>
      </c>
      <c r="J51" s="211" t="s">
        <v>33</v>
      </c>
      <c r="K51" s="211" t="s">
        <v>34</v>
      </c>
    </row>
    <row r="52" spans="1:11" ht="18" customHeight="1">
      <c r="A52" s="212" t="s">
        <v>92</v>
      </c>
      <c r="B52" s="1067" t="s">
        <v>38</v>
      </c>
      <c r="C52" s="1068"/>
    </row>
    <row r="53" spans="1:11" ht="18" customHeight="1">
      <c r="A53" s="209" t="s">
        <v>51</v>
      </c>
      <c r="B53" s="1058" t="s">
        <v>347</v>
      </c>
      <c r="C53" s="1059"/>
      <c r="D53" s="1060"/>
      <c r="F53" s="213"/>
      <c r="G53" s="213"/>
      <c r="H53" s="219"/>
      <c r="I53" s="214">
        <v>0</v>
      </c>
      <c r="J53" s="219"/>
      <c r="K53" s="222">
        <f t="shared" ref="K53:K62" si="4">(H53+I53)-J53</f>
        <v>0</v>
      </c>
    </row>
    <row r="54" spans="1:11" ht="18" customHeight="1">
      <c r="A54" s="209" t="s">
        <v>93</v>
      </c>
      <c r="B54" s="752" t="s">
        <v>348</v>
      </c>
      <c r="C54" s="753"/>
      <c r="D54" s="754"/>
      <c r="F54" s="213"/>
      <c r="G54" s="213">
        <v>2995</v>
      </c>
      <c r="H54" s="219">
        <v>350789</v>
      </c>
      <c r="I54" s="214">
        <v>0</v>
      </c>
      <c r="J54" s="219"/>
      <c r="K54" s="222">
        <f t="shared" si="4"/>
        <v>350789</v>
      </c>
    </row>
    <row r="55" spans="1:11" ht="18" customHeight="1">
      <c r="A55" s="209" t="s">
        <v>94</v>
      </c>
      <c r="B55" s="1058" t="s">
        <v>349</v>
      </c>
      <c r="C55" s="1059"/>
      <c r="D55" s="1060"/>
      <c r="F55" s="213"/>
      <c r="G55" s="213">
        <v>7898</v>
      </c>
      <c r="H55" s="219">
        <v>564609</v>
      </c>
      <c r="I55" s="214">
        <v>0</v>
      </c>
      <c r="J55" s="219"/>
      <c r="K55" s="222">
        <f t="shared" si="4"/>
        <v>564609</v>
      </c>
    </row>
    <row r="56" spans="1:11" ht="18" customHeight="1">
      <c r="A56" s="209" t="s">
        <v>95</v>
      </c>
      <c r="B56" s="1058" t="s">
        <v>350</v>
      </c>
      <c r="C56" s="1059"/>
      <c r="D56" s="1060"/>
      <c r="F56" s="213"/>
      <c r="G56" s="213"/>
      <c r="H56" s="219">
        <v>560543</v>
      </c>
      <c r="I56" s="214">
        <v>0</v>
      </c>
      <c r="J56" s="219"/>
      <c r="K56" s="222">
        <f t="shared" si="4"/>
        <v>560543</v>
      </c>
    </row>
    <row r="57" spans="1:11" ht="18" customHeight="1">
      <c r="A57" s="209" t="s">
        <v>96</v>
      </c>
      <c r="B57" s="1058" t="s">
        <v>351</v>
      </c>
      <c r="C57" s="1059"/>
      <c r="D57" s="1060"/>
      <c r="F57" s="213">
        <v>2619</v>
      </c>
      <c r="G57" s="213"/>
      <c r="H57" s="219">
        <v>133646</v>
      </c>
      <c r="I57" s="214">
        <v>0</v>
      </c>
      <c r="J57" s="219"/>
      <c r="K57" s="222">
        <f t="shared" si="4"/>
        <v>133646</v>
      </c>
    </row>
    <row r="58" spans="1:11" ht="18" customHeight="1">
      <c r="A58" s="209" t="s">
        <v>97</v>
      </c>
      <c r="B58" s="752" t="s">
        <v>352</v>
      </c>
      <c r="C58" s="753"/>
      <c r="D58" s="754"/>
      <c r="F58" s="213">
        <v>4160</v>
      </c>
      <c r="G58" s="213">
        <v>4650</v>
      </c>
      <c r="H58" s="219">
        <v>175568</v>
      </c>
      <c r="I58" s="214">
        <f>H58*F$114</f>
        <v>92910.585600000006</v>
      </c>
      <c r="J58" s="219"/>
      <c r="K58" s="222">
        <f t="shared" si="4"/>
        <v>268478.58559999999</v>
      </c>
    </row>
    <row r="59" spans="1:11" ht="18" customHeight="1">
      <c r="A59" s="209" t="s">
        <v>98</v>
      </c>
      <c r="B59" s="1058" t="s">
        <v>353</v>
      </c>
      <c r="C59" s="1059"/>
      <c r="D59" s="1060"/>
      <c r="F59" s="213"/>
      <c r="G59" s="213">
        <v>1469</v>
      </c>
      <c r="H59" s="219">
        <v>475900</v>
      </c>
      <c r="I59" s="214">
        <v>0</v>
      </c>
      <c r="J59" s="219"/>
      <c r="K59" s="222">
        <f t="shared" si="4"/>
        <v>475900</v>
      </c>
    </row>
    <row r="60" spans="1:11" ht="18" customHeight="1">
      <c r="A60" s="209" t="s">
        <v>99</v>
      </c>
      <c r="B60" s="752" t="s">
        <v>354</v>
      </c>
      <c r="C60" s="753"/>
      <c r="D60" s="754"/>
      <c r="F60" s="213">
        <v>2420</v>
      </c>
      <c r="G60" s="213">
        <v>1020</v>
      </c>
      <c r="H60" s="219">
        <v>496313</v>
      </c>
      <c r="I60" s="214">
        <v>0</v>
      </c>
      <c r="J60" s="219"/>
      <c r="K60" s="222">
        <f t="shared" si="4"/>
        <v>496313</v>
      </c>
    </row>
    <row r="61" spans="1:11" ht="18" customHeight="1">
      <c r="A61" s="209" t="s">
        <v>100</v>
      </c>
      <c r="B61" s="752" t="s">
        <v>355</v>
      </c>
      <c r="C61" s="753"/>
      <c r="D61" s="754"/>
      <c r="F61" s="213"/>
      <c r="G61" s="213"/>
      <c r="H61" s="219">
        <v>46620</v>
      </c>
      <c r="I61" s="214">
        <v>0</v>
      </c>
      <c r="J61" s="219"/>
      <c r="K61" s="222">
        <f t="shared" si="4"/>
        <v>46620</v>
      </c>
    </row>
    <row r="62" spans="1:11" ht="18" customHeight="1">
      <c r="A62" s="209" t="s">
        <v>101</v>
      </c>
      <c r="B62" s="1058" t="s">
        <v>356</v>
      </c>
      <c r="C62" s="1059"/>
      <c r="D62" s="1060"/>
      <c r="F62" s="213"/>
      <c r="G62" s="213"/>
      <c r="H62" s="219">
        <v>351082</v>
      </c>
      <c r="I62" s="214">
        <v>0</v>
      </c>
      <c r="J62" s="219"/>
      <c r="K62" s="222">
        <f t="shared" si="4"/>
        <v>351082</v>
      </c>
    </row>
    <row r="63" spans="1:11" ht="18" customHeight="1">
      <c r="A63" s="209" t="s">
        <v>357</v>
      </c>
      <c r="B63" s="224" t="s">
        <v>910</v>
      </c>
      <c r="C63" s="225"/>
      <c r="D63" s="226"/>
      <c r="F63" s="227">
        <v>11648</v>
      </c>
      <c r="G63" s="227"/>
      <c r="H63" s="569">
        <v>19356903</v>
      </c>
      <c r="I63" s="570">
        <v>0</v>
      </c>
      <c r="J63" s="227"/>
      <c r="K63" s="571">
        <f>(H63+I63)-J63</f>
        <v>19356903</v>
      </c>
    </row>
    <row r="64" spans="1:11" ht="18" customHeight="1">
      <c r="A64" s="209" t="s">
        <v>144</v>
      </c>
      <c r="B64" s="208" t="s">
        <v>145</v>
      </c>
      <c r="E64" s="208" t="s">
        <v>7</v>
      </c>
      <c r="F64" s="215">
        <f t="shared" ref="F64:K64" si="5">SUM(F53:F63)</f>
        <v>20847</v>
      </c>
      <c r="G64" s="215">
        <f t="shared" si="5"/>
        <v>18032</v>
      </c>
      <c r="H64" s="222">
        <f t="shared" si="5"/>
        <v>22511973</v>
      </c>
      <c r="I64" s="222">
        <f t="shared" si="5"/>
        <v>92910.585600000006</v>
      </c>
      <c r="J64" s="222">
        <f t="shared" si="5"/>
        <v>0</v>
      </c>
      <c r="K64" s="222">
        <f t="shared" si="5"/>
        <v>22604883.5856</v>
      </c>
    </row>
    <row r="65" spans="1:11" ht="18" customHeight="1">
      <c r="F65" s="229"/>
      <c r="G65" s="229"/>
      <c r="H65" s="229"/>
      <c r="I65" s="229"/>
      <c r="J65" s="229"/>
      <c r="K65" s="229"/>
    </row>
    <row r="66" spans="1:11" ht="42.75" customHeight="1">
      <c r="F66" s="230" t="s">
        <v>9</v>
      </c>
      <c r="G66" s="230" t="s">
        <v>37</v>
      </c>
      <c r="H66" s="230" t="s">
        <v>29</v>
      </c>
      <c r="I66" s="230" t="s">
        <v>30</v>
      </c>
      <c r="J66" s="230" t="s">
        <v>33</v>
      </c>
      <c r="K66" s="230" t="s">
        <v>34</v>
      </c>
    </row>
    <row r="67" spans="1:11" ht="18" customHeight="1">
      <c r="A67" s="212" t="s">
        <v>102</v>
      </c>
      <c r="B67" s="208" t="s">
        <v>12</v>
      </c>
      <c r="F67" s="231"/>
      <c r="G67" s="231"/>
      <c r="H67" s="231"/>
      <c r="I67" s="228"/>
      <c r="J67" s="231"/>
      <c r="K67" s="232"/>
    </row>
    <row r="68" spans="1:11" ht="18" customHeight="1">
      <c r="A68" s="209" t="s">
        <v>103</v>
      </c>
      <c r="B68" s="203" t="s">
        <v>52</v>
      </c>
      <c r="F68" s="213"/>
      <c r="G68" s="233"/>
      <c r="H68" s="573">
        <v>558157</v>
      </c>
      <c r="I68" s="214"/>
      <c r="J68" s="574"/>
      <c r="K68" s="222">
        <f>(H68+I68)-J68</f>
        <v>558157</v>
      </c>
    </row>
    <row r="69" spans="1:11" ht="18" customHeight="1">
      <c r="A69" s="209" t="s">
        <v>104</v>
      </c>
      <c r="B69" s="203" t="s">
        <v>53</v>
      </c>
      <c r="F69" s="233">
        <v>288</v>
      </c>
      <c r="G69" s="233">
        <v>46</v>
      </c>
      <c r="H69" s="574">
        <v>12260</v>
      </c>
      <c r="I69" s="214">
        <v>0</v>
      </c>
      <c r="J69" s="233"/>
      <c r="K69" s="222">
        <f>(H69+I69)-J69</f>
        <v>12260</v>
      </c>
    </row>
    <row r="70" spans="1:11" ht="18" customHeight="1">
      <c r="A70" s="209" t="s">
        <v>178</v>
      </c>
      <c r="B70" s="752"/>
      <c r="C70" s="753"/>
      <c r="D70" s="754"/>
      <c r="E70" s="208"/>
      <c r="F70" s="234"/>
      <c r="G70" s="234"/>
      <c r="H70" s="575"/>
      <c r="I70" s="214">
        <v>0</v>
      </c>
      <c r="J70" s="575"/>
      <c r="K70" s="222">
        <f>(H70+I70)-J70</f>
        <v>0</v>
      </c>
    </row>
    <row r="71" spans="1:11" ht="18" customHeight="1">
      <c r="A71" s="209" t="s">
        <v>179</v>
      </c>
      <c r="B71" s="752"/>
      <c r="C71" s="753"/>
      <c r="D71" s="754"/>
      <c r="E71" s="208"/>
      <c r="F71" s="234"/>
      <c r="G71" s="234"/>
      <c r="H71" s="575"/>
      <c r="I71" s="214">
        <v>0</v>
      </c>
      <c r="J71" s="575"/>
      <c r="K71" s="222">
        <f>(H71+I71)-J71</f>
        <v>0</v>
      </c>
    </row>
    <row r="72" spans="1:11" ht="18" customHeight="1">
      <c r="A72" s="209" t="s">
        <v>180</v>
      </c>
      <c r="B72" s="235"/>
      <c r="C72" s="236"/>
      <c r="D72" s="237"/>
      <c r="E72" s="208"/>
      <c r="F72" s="213"/>
      <c r="G72" s="213"/>
      <c r="H72" s="219"/>
      <c r="I72" s="214">
        <v>0</v>
      </c>
      <c r="J72" s="219"/>
      <c r="K72" s="222">
        <f>(H72+I72)-J72</f>
        <v>0</v>
      </c>
    </row>
    <row r="73" spans="1:11" ht="18" customHeight="1">
      <c r="A73" s="209"/>
      <c r="E73" s="208"/>
      <c r="F73" s="238"/>
      <c r="G73" s="238"/>
      <c r="H73" s="239"/>
      <c r="I73" s="228"/>
      <c r="J73" s="239"/>
      <c r="K73" s="232"/>
    </row>
    <row r="74" spans="1:11" ht="18" customHeight="1">
      <c r="A74" s="212" t="s">
        <v>146</v>
      </c>
      <c r="B74" s="208" t="s">
        <v>147</v>
      </c>
      <c r="E74" s="208" t="s">
        <v>7</v>
      </c>
      <c r="F74" s="240">
        <f t="shared" ref="F74:K74" si="6">SUM(F68:F72)</f>
        <v>288</v>
      </c>
      <c r="G74" s="240">
        <f t="shared" si="6"/>
        <v>46</v>
      </c>
      <c r="H74" s="240">
        <f t="shared" si="6"/>
        <v>570417</v>
      </c>
      <c r="I74" s="241">
        <f t="shared" si="6"/>
        <v>0</v>
      </c>
      <c r="J74" s="240">
        <f t="shared" si="6"/>
        <v>0</v>
      </c>
      <c r="K74" s="242">
        <f t="shared" si="6"/>
        <v>570417</v>
      </c>
    </row>
    <row r="75" spans="1:11" ht="42.75" customHeight="1">
      <c r="F75" s="211" t="s">
        <v>9</v>
      </c>
      <c r="G75" s="211" t="s">
        <v>37</v>
      </c>
      <c r="H75" s="211" t="s">
        <v>29</v>
      </c>
      <c r="I75" s="211" t="s">
        <v>30</v>
      </c>
      <c r="J75" s="211" t="s">
        <v>33</v>
      </c>
      <c r="K75" s="211" t="s">
        <v>34</v>
      </c>
    </row>
    <row r="76" spans="1:11" ht="18" customHeight="1">
      <c r="A76" s="212" t="s">
        <v>105</v>
      </c>
      <c r="B76" s="208" t="s">
        <v>106</v>
      </c>
    </row>
    <row r="77" spans="1:11" ht="18" customHeight="1">
      <c r="A77" s="209" t="s">
        <v>107</v>
      </c>
      <c r="B77" s="203" t="s">
        <v>54</v>
      </c>
      <c r="F77" s="213"/>
      <c r="G77" s="213"/>
      <c r="H77" s="219">
        <v>144036</v>
      </c>
      <c r="I77" s="214">
        <v>0</v>
      </c>
      <c r="J77" s="219"/>
      <c r="K77" s="222">
        <f>(H77+I77)-J77</f>
        <v>144036</v>
      </c>
    </row>
    <row r="78" spans="1:11" ht="18" customHeight="1">
      <c r="A78" s="209" t="s">
        <v>108</v>
      </c>
      <c r="B78" s="203" t="s">
        <v>55</v>
      </c>
      <c r="F78" s="213"/>
      <c r="G78" s="213"/>
      <c r="H78" s="219"/>
      <c r="I78" s="214">
        <v>0</v>
      </c>
      <c r="J78" s="219"/>
      <c r="K78" s="222">
        <f>(H78+I78)-J78</f>
        <v>0</v>
      </c>
    </row>
    <row r="79" spans="1:11" ht="18" customHeight="1">
      <c r="A79" s="209" t="s">
        <v>109</v>
      </c>
      <c r="B79" s="203" t="s">
        <v>13</v>
      </c>
      <c r="F79" s="213">
        <v>1800</v>
      </c>
      <c r="G79" s="213">
        <v>1694</v>
      </c>
      <c r="H79" s="219">
        <v>725767</v>
      </c>
      <c r="I79" s="214">
        <v>0</v>
      </c>
      <c r="J79" s="219"/>
      <c r="K79" s="222">
        <f>(H79+I79)-J79</f>
        <v>725767</v>
      </c>
    </row>
    <row r="80" spans="1:11" ht="18" customHeight="1">
      <c r="A80" s="209" t="s">
        <v>110</v>
      </c>
      <c r="B80" s="203" t="s">
        <v>56</v>
      </c>
      <c r="F80" s="213">
        <v>2099</v>
      </c>
      <c r="G80" s="213">
        <v>2000</v>
      </c>
      <c r="H80" s="219">
        <v>83525</v>
      </c>
      <c r="I80" s="214">
        <v>0</v>
      </c>
      <c r="J80" s="219"/>
      <c r="K80" s="222">
        <f>(H80+I80)-J80</f>
        <v>83525</v>
      </c>
    </row>
    <row r="81" spans="1:11" ht="18" customHeight="1">
      <c r="A81" s="209"/>
      <c r="K81" s="576"/>
    </row>
    <row r="82" spans="1:11" ht="18" customHeight="1">
      <c r="A82" s="209" t="s">
        <v>148</v>
      </c>
      <c r="B82" s="208" t="s">
        <v>149</v>
      </c>
      <c r="E82" s="208" t="s">
        <v>7</v>
      </c>
      <c r="F82" s="240">
        <f t="shared" ref="F82:K82" si="7">SUM(F77:F80)</f>
        <v>3899</v>
      </c>
      <c r="G82" s="240">
        <f t="shared" si="7"/>
        <v>3694</v>
      </c>
      <c r="H82" s="242">
        <f t="shared" si="7"/>
        <v>953328</v>
      </c>
      <c r="I82" s="242">
        <f t="shared" si="7"/>
        <v>0</v>
      </c>
      <c r="J82" s="242">
        <f t="shared" si="7"/>
        <v>0</v>
      </c>
      <c r="K82" s="242">
        <f t="shared" si="7"/>
        <v>953328</v>
      </c>
    </row>
    <row r="83" spans="1:11" ht="18" customHeight="1" thickBot="1">
      <c r="A83" s="209"/>
      <c r="F83" s="223"/>
      <c r="G83" s="223"/>
      <c r="H83" s="223"/>
      <c r="I83" s="223"/>
      <c r="J83" s="223"/>
      <c r="K83" s="223"/>
    </row>
    <row r="84" spans="1:11" ht="42.75" customHeight="1">
      <c r="F84" s="211" t="s">
        <v>9</v>
      </c>
      <c r="G84" s="211" t="s">
        <v>37</v>
      </c>
      <c r="H84" s="211" t="s">
        <v>29</v>
      </c>
      <c r="I84" s="211" t="s">
        <v>30</v>
      </c>
      <c r="J84" s="211" t="s">
        <v>33</v>
      </c>
      <c r="K84" s="211" t="s">
        <v>34</v>
      </c>
    </row>
    <row r="85" spans="1:11" ht="18" customHeight="1">
      <c r="A85" s="212" t="s">
        <v>111</v>
      </c>
      <c r="B85" s="208" t="s">
        <v>57</v>
      </c>
    </row>
    <row r="86" spans="1:11" ht="18" customHeight="1">
      <c r="A86" s="209" t="s">
        <v>112</v>
      </c>
      <c r="B86" s="203" t="s">
        <v>113</v>
      </c>
      <c r="F86" s="213"/>
      <c r="G86" s="213"/>
      <c r="H86" s="219"/>
      <c r="I86" s="241">
        <f t="shared" ref="I86:I96" si="8">H86*F$114</f>
        <v>0</v>
      </c>
      <c r="J86" s="219"/>
      <c r="K86" s="222">
        <f t="shared" ref="K86:K96" si="9">(H86+I86)-J86</f>
        <v>0</v>
      </c>
    </row>
    <row r="87" spans="1:11" ht="18" customHeight="1">
      <c r="A87" s="209" t="s">
        <v>114</v>
      </c>
      <c r="B87" s="203" t="s">
        <v>14</v>
      </c>
      <c r="F87" s="213">
        <v>306</v>
      </c>
      <c r="G87" s="213">
        <v>690</v>
      </c>
      <c r="H87" s="219">
        <v>12096</v>
      </c>
      <c r="I87" s="241">
        <f t="shared" si="8"/>
        <v>6401.2031999999999</v>
      </c>
      <c r="J87" s="219"/>
      <c r="K87" s="222">
        <f t="shared" si="9"/>
        <v>18497.2032</v>
      </c>
    </row>
    <row r="88" spans="1:11" ht="18" customHeight="1">
      <c r="A88" s="209" t="s">
        <v>115</v>
      </c>
      <c r="B88" s="203" t="s">
        <v>116</v>
      </c>
      <c r="F88" s="213">
        <v>1084</v>
      </c>
      <c r="G88" s="213">
        <v>1688</v>
      </c>
      <c r="H88" s="219">
        <v>45440</v>
      </c>
      <c r="I88" s="241">
        <f t="shared" si="8"/>
        <v>24046.848000000002</v>
      </c>
      <c r="J88" s="219"/>
      <c r="K88" s="222">
        <f t="shared" si="9"/>
        <v>69486.847999999998</v>
      </c>
    </row>
    <row r="89" spans="1:11" ht="18" customHeight="1">
      <c r="A89" s="209" t="s">
        <v>117</v>
      </c>
      <c r="B89" s="203" t="s">
        <v>58</v>
      </c>
      <c r="F89" s="213">
        <v>354</v>
      </c>
      <c r="G89" s="213">
        <v>53</v>
      </c>
      <c r="H89" s="219">
        <v>29798</v>
      </c>
      <c r="I89" s="241">
        <f t="shared" si="8"/>
        <v>15769.1016</v>
      </c>
      <c r="J89" s="219"/>
      <c r="K89" s="222">
        <f t="shared" si="9"/>
        <v>45567.101600000002</v>
      </c>
    </row>
    <row r="90" spans="1:11" ht="18" customHeight="1">
      <c r="A90" s="209" t="s">
        <v>118</v>
      </c>
      <c r="B90" s="1061" t="s">
        <v>59</v>
      </c>
      <c r="C90" s="1061"/>
      <c r="F90" s="213">
        <v>3343</v>
      </c>
      <c r="G90" s="213">
        <v>1324</v>
      </c>
      <c r="H90" s="219">
        <v>124648</v>
      </c>
      <c r="I90" s="241">
        <f t="shared" si="8"/>
        <v>65963.721600000004</v>
      </c>
      <c r="J90" s="219"/>
      <c r="K90" s="222">
        <f t="shared" si="9"/>
        <v>190611.72159999999</v>
      </c>
    </row>
    <row r="91" spans="1:11" ht="18" customHeight="1">
      <c r="A91" s="209" t="s">
        <v>119</v>
      </c>
      <c r="B91" s="203" t="s">
        <v>60</v>
      </c>
      <c r="F91" s="213">
        <v>2284</v>
      </c>
      <c r="G91" s="213">
        <v>1343</v>
      </c>
      <c r="H91" s="219">
        <v>515570</v>
      </c>
      <c r="I91" s="241">
        <f t="shared" si="8"/>
        <v>272839.64400000003</v>
      </c>
      <c r="J91" s="219"/>
      <c r="K91" s="222">
        <f t="shared" si="9"/>
        <v>788409.64400000009</v>
      </c>
    </row>
    <row r="92" spans="1:11" ht="18" customHeight="1">
      <c r="A92" s="209" t="s">
        <v>120</v>
      </c>
      <c r="B92" s="203" t="s">
        <v>121</v>
      </c>
      <c r="F92" s="243">
        <v>615</v>
      </c>
      <c r="G92" s="243">
        <v>996</v>
      </c>
      <c r="H92" s="244">
        <v>36082</v>
      </c>
      <c r="I92" s="241">
        <f t="shared" si="8"/>
        <v>19094.594400000002</v>
      </c>
      <c r="J92" s="244"/>
      <c r="K92" s="222">
        <f t="shared" si="9"/>
        <v>55176.594400000002</v>
      </c>
    </row>
    <row r="93" spans="1:11" ht="18" customHeight="1">
      <c r="A93" s="209" t="s">
        <v>122</v>
      </c>
      <c r="B93" s="203" t="s">
        <v>123</v>
      </c>
      <c r="F93" s="213">
        <v>1416</v>
      </c>
      <c r="G93" s="213">
        <v>494</v>
      </c>
      <c r="H93" s="219">
        <v>109256</v>
      </c>
      <c r="I93" s="241">
        <f t="shared" si="8"/>
        <v>57818.275200000004</v>
      </c>
      <c r="J93" s="219"/>
      <c r="K93" s="222">
        <f t="shared" si="9"/>
        <v>167074.2752</v>
      </c>
    </row>
    <row r="94" spans="1:11" ht="18" customHeight="1">
      <c r="A94" s="209" t="s">
        <v>124</v>
      </c>
      <c r="B94" s="1058" t="s">
        <v>359</v>
      </c>
      <c r="C94" s="1059"/>
      <c r="D94" s="1060"/>
      <c r="F94" s="213">
        <v>770</v>
      </c>
      <c r="G94" s="213">
        <v>17528</v>
      </c>
      <c r="H94" s="219">
        <v>102840</v>
      </c>
      <c r="I94" s="241">
        <f t="shared" si="8"/>
        <v>54422.928</v>
      </c>
      <c r="J94" s="219"/>
      <c r="K94" s="222">
        <f t="shared" si="9"/>
        <v>157262.92800000001</v>
      </c>
    </row>
    <row r="95" spans="1:11" ht="18" customHeight="1">
      <c r="A95" s="209" t="s">
        <v>125</v>
      </c>
      <c r="B95" s="1058" t="s">
        <v>360</v>
      </c>
      <c r="C95" s="1059"/>
      <c r="D95" s="1060"/>
      <c r="F95" s="213">
        <v>199</v>
      </c>
      <c r="G95" s="213">
        <v>78</v>
      </c>
      <c r="H95" s="219">
        <v>11412</v>
      </c>
      <c r="I95" s="241">
        <f t="shared" si="8"/>
        <v>6039.2304000000004</v>
      </c>
      <c r="J95" s="219"/>
      <c r="K95" s="222">
        <f t="shared" si="9"/>
        <v>17451.2304</v>
      </c>
    </row>
    <row r="96" spans="1:11" ht="18" customHeight="1">
      <c r="A96" s="209" t="s">
        <v>126</v>
      </c>
      <c r="B96" s="1058"/>
      <c r="C96" s="1059"/>
      <c r="D96" s="1060"/>
      <c r="F96" s="213"/>
      <c r="G96" s="213"/>
      <c r="H96" s="219"/>
      <c r="I96" s="241">
        <f t="shared" si="8"/>
        <v>0</v>
      </c>
      <c r="J96" s="219"/>
      <c r="K96" s="222">
        <f t="shared" si="9"/>
        <v>0</v>
      </c>
    </row>
    <row r="97" spans="1:11" ht="18" customHeight="1">
      <c r="A97" s="209"/>
    </row>
    <row r="98" spans="1:11" ht="18" customHeight="1">
      <c r="A98" s="212" t="s">
        <v>150</v>
      </c>
      <c r="B98" s="208" t="s">
        <v>151</v>
      </c>
      <c r="E98" s="208" t="s">
        <v>7</v>
      </c>
      <c r="F98" s="215">
        <f t="shared" ref="F98:K98" si="10">SUM(F86:F96)</f>
        <v>10371</v>
      </c>
      <c r="G98" s="215">
        <f t="shared" si="10"/>
        <v>24194</v>
      </c>
      <c r="H98" s="215">
        <f t="shared" si="10"/>
        <v>987142</v>
      </c>
      <c r="I98" s="215">
        <f t="shared" si="10"/>
        <v>522395.54640000005</v>
      </c>
      <c r="J98" s="215">
        <f t="shared" si="10"/>
        <v>0</v>
      </c>
      <c r="K98" s="215">
        <f t="shared" si="10"/>
        <v>1509537.5464000001</v>
      </c>
    </row>
    <row r="99" spans="1:11" ht="18" customHeight="1" thickBot="1">
      <c r="B99" s="208"/>
      <c r="F99" s="223"/>
      <c r="G99" s="223"/>
      <c r="H99" s="223"/>
      <c r="I99" s="223"/>
      <c r="J99" s="223"/>
      <c r="K99" s="223"/>
    </row>
    <row r="100" spans="1:11" ht="42.75" customHeight="1">
      <c r="F100" s="211" t="s">
        <v>9</v>
      </c>
      <c r="G100" s="211" t="s">
        <v>37</v>
      </c>
      <c r="H100" s="211" t="s">
        <v>29</v>
      </c>
      <c r="I100" s="211" t="s">
        <v>30</v>
      </c>
      <c r="J100" s="211" t="s">
        <v>33</v>
      </c>
      <c r="K100" s="211" t="s">
        <v>34</v>
      </c>
    </row>
    <row r="101" spans="1:11" ht="18" customHeight="1">
      <c r="A101" s="212" t="s">
        <v>130</v>
      </c>
      <c r="B101" s="208" t="s">
        <v>63</v>
      </c>
    </row>
    <row r="102" spans="1:11" ht="18" customHeight="1">
      <c r="A102" s="209" t="s">
        <v>131</v>
      </c>
      <c r="B102" s="203" t="s">
        <v>798</v>
      </c>
      <c r="F102" s="213">
        <v>1251</v>
      </c>
      <c r="G102" s="213">
        <v>300</v>
      </c>
      <c r="H102" s="219">
        <v>27466</v>
      </c>
      <c r="I102" s="214">
        <f>H102*F$114</f>
        <v>14535.0072</v>
      </c>
      <c r="J102" s="219"/>
      <c r="K102" s="222">
        <f>(H102+I102)-J102</f>
        <v>42001.0072</v>
      </c>
    </row>
    <row r="103" spans="1:11" ht="18" customHeight="1">
      <c r="A103" s="209" t="s">
        <v>132</v>
      </c>
      <c r="B103" s="1061" t="s">
        <v>62</v>
      </c>
      <c r="C103" s="1061"/>
      <c r="F103" s="213">
        <v>208</v>
      </c>
      <c r="G103" s="213">
        <v>30</v>
      </c>
      <c r="H103" s="219">
        <v>8900</v>
      </c>
      <c r="I103" s="214">
        <f>H103*F$114</f>
        <v>4709.88</v>
      </c>
      <c r="J103" s="219"/>
      <c r="K103" s="222">
        <f>(H103+I103)-J103</f>
        <v>13609.880000000001</v>
      </c>
    </row>
    <row r="104" spans="1:11" ht="18" customHeight="1">
      <c r="A104" s="209" t="s">
        <v>128</v>
      </c>
      <c r="B104" s="1058" t="s">
        <v>799</v>
      </c>
      <c r="C104" s="1059"/>
      <c r="D104" s="1060"/>
      <c r="F104" s="213">
        <v>2000</v>
      </c>
      <c r="G104" s="213">
        <v>500</v>
      </c>
      <c r="H104" s="219">
        <v>633000</v>
      </c>
      <c r="I104" s="214">
        <f>H104*F$114</f>
        <v>334983.59999999998</v>
      </c>
      <c r="J104" s="219"/>
      <c r="K104" s="222">
        <f>(H104+I104)-J104</f>
        <v>967983.6</v>
      </c>
    </row>
    <row r="105" spans="1:11" ht="18" customHeight="1">
      <c r="A105" s="209" t="s">
        <v>127</v>
      </c>
      <c r="B105" s="1058"/>
      <c r="C105" s="1059"/>
      <c r="D105" s="1060"/>
      <c r="F105" s="213"/>
      <c r="G105" s="213"/>
      <c r="H105" s="219"/>
      <c r="I105" s="214">
        <f>H105*F$114</f>
        <v>0</v>
      </c>
      <c r="J105" s="219"/>
      <c r="K105" s="222">
        <f>(H105+I105)-J105</f>
        <v>0</v>
      </c>
    </row>
    <row r="106" spans="1:11" ht="18" customHeight="1">
      <c r="A106" s="209" t="s">
        <v>129</v>
      </c>
      <c r="B106" s="1058"/>
      <c r="C106" s="1059"/>
      <c r="D106" s="1060"/>
      <c r="F106" s="213"/>
      <c r="G106" s="213"/>
      <c r="H106" s="219"/>
      <c r="I106" s="214">
        <f>H106*F$114</f>
        <v>0</v>
      </c>
      <c r="J106" s="219"/>
      <c r="K106" s="222">
        <f>(H106+I106)-J106</f>
        <v>0</v>
      </c>
    </row>
    <row r="107" spans="1:11" ht="18" customHeight="1">
      <c r="B107" s="208"/>
    </row>
    <row r="108" spans="1:11" s="220" customFormat="1" ht="18" customHeight="1">
      <c r="A108" s="212" t="s">
        <v>153</v>
      </c>
      <c r="B108" s="245" t="s">
        <v>154</v>
      </c>
      <c r="C108" s="203"/>
      <c r="D108" s="203"/>
      <c r="E108" s="208" t="s">
        <v>7</v>
      </c>
      <c r="F108" s="215">
        <f t="shared" ref="F108:K108" si="11">SUM(F102:F106)</f>
        <v>3459</v>
      </c>
      <c r="G108" s="215">
        <f t="shared" si="11"/>
        <v>830</v>
      </c>
      <c r="H108" s="222">
        <f t="shared" si="11"/>
        <v>669366</v>
      </c>
      <c r="I108" s="222">
        <f t="shared" si="11"/>
        <v>354228.48719999997</v>
      </c>
      <c r="J108" s="222">
        <f t="shared" si="11"/>
        <v>0</v>
      </c>
      <c r="K108" s="222">
        <f t="shared" si="11"/>
        <v>1023594.4872</v>
      </c>
    </row>
    <row r="109" spans="1:11" s="220" customFormat="1" ht="18" customHeight="1" thickBot="1">
      <c r="A109" s="246"/>
      <c r="B109" s="247"/>
      <c r="C109" s="248"/>
      <c r="D109" s="248"/>
      <c r="E109" s="248"/>
      <c r="F109" s="223"/>
      <c r="G109" s="223"/>
      <c r="H109" s="223"/>
      <c r="I109" s="223"/>
      <c r="J109" s="223"/>
      <c r="K109" s="223"/>
    </row>
    <row r="110" spans="1:11" s="220" customFormat="1" ht="18" customHeight="1">
      <c r="A110" s="212" t="s">
        <v>156</v>
      </c>
      <c r="B110" s="208" t="s">
        <v>39</v>
      </c>
      <c r="C110" s="203"/>
      <c r="D110" s="203"/>
      <c r="E110" s="203"/>
      <c r="F110" s="203"/>
      <c r="G110" s="203"/>
      <c r="H110" s="203"/>
      <c r="I110" s="203"/>
      <c r="J110" s="203"/>
      <c r="K110" s="203"/>
    </row>
    <row r="111" spans="1:11" ht="18" customHeight="1">
      <c r="A111" s="212" t="s">
        <v>155</v>
      </c>
      <c r="B111" s="208" t="s">
        <v>164</v>
      </c>
      <c r="E111" s="208" t="s">
        <v>7</v>
      </c>
      <c r="F111" s="219">
        <v>2703700</v>
      </c>
    </row>
    <row r="112" spans="1:11" ht="18" customHeight="1">
      <c r="B112" s="208"/>
      <c r="E112" s="208"/>
      <c r="F112" s="249"/>
    </row>
    <row r="113" spans="1:6" ht="18" customHeight="1">
      <c r="A113" s="212"/>
      <c r="B113" s="208" t="s">
        <v>15</v>
      </c>
    </row>
    <row r="114" spans="1:6" ht="18" customHeight="1">
      <c r="A114" s="209" t="s">
        <v>171</v>
      </c>
      <c r="B114" s="203" t="s">
        <v>35</v>
      </c>
      <c r="F114" s="250">
        <v>0.5292</v>
      </c>
    </row>
    <row r="115" spans="1:6" ht="18" customHeight="1">
      <c r="A115" s="209"/>
      <c r="B115" s="208"/>
    </row>
    <row r="116" spans="1:6" ht="18" customHeight="1">
      <c r="A116" s="209" t="s">
        <v>170</v>
      </c>
      <c r="B116" s="208" t="s">
        <v>16</v>
      </c>
    </row>
    <row r="117" spans="1:6" ht="18" customHeight="1">
      <c r="A117" s="209" t="s">
        <v>172</v>
      </c>
      <c r="B117" s="203" t="s">
        <v>17</v>
      </c>
      <c r="F117" s="219">
        <v>536220100</v>
      </c>
    </row>
    <row r="118" spans="1:6" ht="18" customHeight="1">
      <c r="A118" s="209" t="s">
        <v>173</v>
      </c>
      <c r="B118" s="203" t="s">
        <v>18</v>
      </c>
      <c r="F118" s="219">
        <v>15795900</v>
      </c>
    </row>
    <row r="119" spans="1:6" ht="18" customHeight="1">
      <c r="A119" s="209" t="s">
        <v>174</v>
      </c>
      <c r="B119" s="208" t="s">
        <v>19</v>
      </c>
      <c r="F119" s="242">
        <f>SUM(F117:F118)</f>
        <v>552016000</v>
      </c>
    </row>
    <row r="120" spans="1:6" ht="18" customHeight="1">
      <c r="A120" s="209"/>
      <c r="B120" s="208"/>
    </row>
    <row r="121" spans="1:6" ht="18" customHeight="1">
      <c r="A121" s="209" t="s">
        <v>167</v>
      </c>
      <c r="B121" s="208" t="s">
        <v>36</v>
      </c>
      <c r="F121" s="219">
        <v>520531000</v>
      </c>
    </row>
    <row r="122" spans="1:6" ht="18" customHeight="1">
      <c r="A122" s="209"/>
    </row>
    <row r="123" spans="1:6" ht="18" customHeight="1">
      <c r="A123" s="209" t="s">
        <v>175</v>
      </c>
      <c r="B123" s="208" t="s">
        <v>20</v>
      </c>
      <c r="F123" s="219">
        <v>31485000</v>
      </c>
    </row>
    <row r="124" spans="1:6" ht="18" customHeight="1">
      <c r="A124" s="209"/>
    </row>
    <row r="125" spans="1:6" ht="18" customHeight="1">
      <c r="A125" s="209" t="s">
        <v>176</v>
      </c>
      <c r="B125" s="208" t="s">
        <v>21</v>
      </c>
      <c r="F125" s="219">
        <v>-47670000</v>
      </c>
    </row>
    <row r="126" spans="1:6" ht="18" customHeight="1">
      <c r="A126" s="209"/>
    </row>
    <row r="127" spans="1:6" ht="18" customHeight="1">
      <c r="A127" s="209" t="s">
        <v>177</v>
      </c>
      <c r="B127" s="208" t="s">
        <v>22</v>
      </c>
      <c r="F127" s="219">
        <v>-16185000</v>
      </c>
    </row>
    <row r="128" spans="1:6" ht="18" customHeight="1">
      <c r="A128" s="209"/>
    </row>
    <row r="129" spans="1:11" ht="42.75" customHeight="1">
      <c r="F129" s="211" t="s">
        <v>9</v>
      </c>
      <c r="G129" s="211" t="s">
        <v>37</v>
      </c>
      <c r="H129" s="211" t="s">
        <v>29</v>
      </c>
      <c r="I129" s="211" t="s">
        <v>30</v>
      </c>
      <c r="J129" s="211" t="s">
        <v>33</v>
      </c>
      <c r="K129" s="211" t="s">
        <v>34</v>
      </c>
    </row>
    <row r="130" spans="1:11" ht="18" customHeight="1">
      <c r="A130" s="212" t="s">
        <v>157</v>
      </c>
      <c r="B130" s="208" t="s">
        <v>23</v>
      </c>
    </row>
    <row r="131" spans="1:11" ht="18" customHeight="1">
      <c r="A131" s="209" t="s">
        <v>158</v>
      </c>
      <c r="B131" s="203" t="s">
        <v>24</v>
      </c>
      <c r="F131" s="213"/>
      <c r="G131" s="213"/>
      <c r="H131" s="219"/>
      <c r="I131" s="214">
        <v>0</v>
      </c>
      <c r="J131" s="219"/>
      <c r="K131" s="222">
        <f>(H131+I131)-J131</f>
        <v>0</v>
      </c>
    </row>
    <row r="132" spans="1:11" ht="18" customHeight="1">
      <c r="A132" s="209" t="s">
        <v>159</v>
      </c>
      <c r="B132" s="203" t="s">
        <v>25</v>
      </c>
      <c r="F132" s="213"/>
      <c r="G132" s="213"/>
      <c r="H132" s="219"/>
      <c r="I132" s="214">
        <v>0</v>
      </c>
      <c r="J132" s="219"/>
      <c r="K132" s="222">
        <f>(H132+I132)-J132</f>
        <v>0</v>
      </c>
    </row>
    <row r="133" spans="1:11" ht="18" customHeight="1">
      <c r="A133" s="209" t="s">
        <v>160</v>
      </c>
      <c r="B133" s="1058"/>
      <c r="C133" s="1059"/>
      <c r="D133" s="1060"/>
      <c r="F133" s="213"/>
      <c r="G133" s="213"/>
      <c r="H133" s="219"/>
      <c r="I133" s="214">
        <v>0</v>
      </c>
      <c r="J133" s="219"/>
      <c r="K133" s="222">
        <f>(H133+I133)-J133</f>
        <v>0</v>
      </c>
    </row>
    <row r="134" spans="1:11" ht="18" customHeight="1">
      <c r="A134" s="209" t="s">
        <v>161</v>
      </c>
      <c r="B134" s="1058"/>
      <c r="C134" s="1059"/>
      <c r="D134" s="1060"/>
      <c r="F134" s="213"/>
      <c r="G134" s="213"/>
      <c r="H134" s="219"/>
      <c r="I134" s="214">
        <v>0</v>
      </c>
      <c r="J134" s="219"/>
      <c r="K134" s="222">
        <f>(H134+I134)-J134</f>
        <v>0</v>
      </c>
    </row>
    <row r="135" spans="1:11" ht="18" customHeight="1">
      <c r="A135" s="209" t="s">
        <v>162</v>
      </c>
      <c r="B135" s="1058"/>
      <c r="C135" s="1059"/>
      <c r="D135" s="1060"/>
      <c r="F135" s="213"/>
      <c r="G135" s="213"/>
      <c r="H135" s="219"/>
      <c r="I135" s="214">
        <v>0</v>
      </c>
      <c r="J135" s="219"/>
      <c r="K135" s="222">
        <f>(H135+I135)-J135</f>
        <v>0</v>
      </c>
    </row>
    <row r="136" spans="1:11" ht="18" customHeight="1">
      <c r="A136" s="212"/>
    </row>
    <row r="137" spans="1:11" ht="18" customHeight="1">
      <c r="A137" s="212" t="s">
        <v>163</v>
      </c>
      <c r="B137" s="208" t="s">
        <v>27</v>
      </c>
      <c r="F137" s="215">
        <f t="shared" ref="F137:K137" si="12">SUM(F131:F135)</f>
        <v>0</v>
      </c>
      <c r="G137" s="215">
        <f t="shared" si="12"/>
        <v>0</v>
      </c>
      <c r="H137" s="222">
        <f t="shared" si="12"/>
        <v>0</v>
      </c>
      <c r="I137" s="222">
        <f t="shared" si="12"/>
        <v>0</v>
      </c>
      <c r="J137" s="222">
        <f t="shared" si="12"/>
        <v>0</v>
      </c>
      <c r="K137" s="222">
        <f t="shared" si="12"/>
        <v>0</v>
      </c>
    </row>
    <row r="138" spans="1:11" ht="18" customHeight="1">
      <c r="A138" s="203"/>
    </row>
    <row r="139" spans="1:11" ht="42.75" customHeight="1">
      <c r="F139" s="211" t="s">
        <v>9</v>
      </c>
      <c r="G139" s="211" t="s">
        <v>37</v>
      </c>
      <c r="H139" s="211" t="s">
        <v>29</v>
      </c>
      <c r="I139" s="211" t="s">
        <v>30</v>
      </c>
      <c r="J139" s="211" t="s">
        <v>33</v>
      </c>
      <c r="K139" s="211" t="s">
        <v>34</v>
      </c>
    </row>
    <row r="140" spans="1:11" ht="18" customHeight="1">
      <c r="A140" s="212" t="s">
        <v>166</v>
      </c>
      <c r="B140" s="208" t="s">
        <v>26</v>
      </c>
    </row>
    <row r="141" spans="1:11" ht="18" customHeight="1">
      <c r="A141" s="209" t="s">
        <v>137</v>
      </c>
      <c r="B141" s="208" t="s">
        <v>64</v>
      </c>
      <c r="F141" s="251">
        <f t="shared" ref="F141:K141" si="13">F36</f>
        <v>51188</v>
      </c>
      <c r="G141" s="251">
        <f t="shared" si="13"/>
        <v>65898</v>
      </c>
      <c r="H141" s="251">
        <f t="shared" si="13"/>
        <v>2552085</v>
      </c>
      <c r="I141" s="251">
        <f t="shared" si="13"/>
        <v>1350563.382</v>
      </c>
      <c r="J141" s="251">
        <f t="shared" si="13"/>
        <v>192516</v>
      </c>
      <c r="K141" s="251">
        <f t="shared" si="13"/>
        <v>3710132.3819999998</v>
      </c>
    </row>
    <row r="142" spans="1:11" ht="18" customHeight="1">
      <c r="A142" s="209" t="s">
        <v>142</v>
      </c>
      <c r="B142" s="208" t="s">
        <v>65</v>
      </c>
      <c r="F142" s="251">
        <f t="shared" ref="F142:K142" si="14">F49</f>
        <v>138780</v>
      </c>
      <c r="G142" s="251">
        <f t="shared" si="14"/>
        <v>7055</v>
      </c>
      <c r="H142" s="251">
        <f t="shared" si="14"/>
        <v>5625239</v>
      </c>
      <c r="I142" s="251">
        <f t="shared" si="14"/>
        <v>0</v>
      </c>
      <c r="J142" s="251">
        <f t="shared" si="14"/>
        <v>0</v>
      </c>
      <c r="K142" s="251">
        <f t="shared" si="14"/>
        <v>5625239</v>
      </c>
    </row>
    <row r="143" spans="1:11" ht="18" customHeight="1">
      <c r="A143" s="209" t="s">
        <v>144</v>
      </c>
      <c r="B143" s="208" t="s">
        <v>66</v>
      </c>
      <c r="F143" s="251">
        <f t="shared" ref="F143:K143" si="15">F64</f>
        <v>20847</v>
      </c>
      <c r="G143" s="251">
        <f t="shared" si="15"/>
        <v>18032</v>
      </c>
      <c r="H143" s="251">
        <f t="shared" si="15"/>
        <v>22511973</v>
      </c>
      <c r="I143" s="251">
        <f t="shared" si="15"/>
        <v>92910.585600000006</v>
      </c>
      <c r="J143" s="251">
        <f t="shared" si="15"/>
        <v>0</v>
      </c>
      <c r="K143" s="251">
        <f t="shared" si="15"/>
        <v>22604883.5856</v>
      </c>
    </row>
    <row r="144" spans="1:11" ht="18" customHeight="1">
      <c r="A144" s="209" t="s">
        <v>146</v>
      </c>
      <c r="B144" s="208" t="s">
        <v>67</v>
      </c>
      <c r="F144" s="251">
        <f t="shared" ref="F144:K144" si="16">F74</f>
        <v>288</v>
      </c>
      <c r="G144" s="251">
        <f t="shared" si="16"/>
        <v>46</v>
      </c>
      <c r="H144" s="251">
        <f t="shared" si="16"/>
        <v>570417</v>
      </c>
      <c r="I144" s="251">
        <f t="shared" si="16"/>
        <v>0</v>
      </c>
      <c r="J144" s="251">
        <f t="shared" si="16"/>
        <v>0</v>
      </c>
      <c r="K144" s="251">
        <f t="shared" si="16"/>
        <v>570417</v>
      </c>
    </row>
    <row r="145" spans="1:11" ht="18" customHeight="1">
      <c r="A145" s="209" t="s">
        <v>148</v>
      </c>
      <c r="B145" s="208" t="s">
        <v>68</v>
      </c>
      <c r="F145" s="251">
        <f t="shared" ref="F145:K145" si="17">F82</f>
        <v>3899</v>
      </c>
      <c r="G145" s="251">
        <f t="shared" si="17"/>
        <v>3694</v>
      </c>
      <c r="H145" s="251">
        <f t="shared" si="17"/>
        <v>953328</v>
      </c>
      <c r="I145" s="251">
        <f t="shared" si="17"/>
        <v>0</v>
      </c>
      <c r="J145" s="251">
        <f t="shared" si="17"/>
        <v>0</v>
      </c>
      <c r="K145" s="251">
        <f t="shared" si="17"/>
        <v>953328</v>
      </c>
    </row>
    <row r="146" spans="1:11" ht="18" customHeight="1">
      <c r="A146" s="209" t="s">
        <v>150</v>
      </c>
      <c r="B146" s="208" t="s">
        <v>69</v>
      </c>
      <c r="F146" s="251">
        <f t="shared" ref="F146:K146" si="18">F98</f>
        <v>10371</v>
      </c>
      <c r="G146" s="251">
        <f t="shared" si="18"/>
        <v>24194</v>
      </c>
      <c r="H146" s="251">
        <f t="shared" si="18"/>
        <v>987142</v>
      </c>
      <c r="I146" s="251">
        <f t="shared" si="18"/>
        <v>522395.54640000005</v>
      </c>
      <c r="J146" s="251">
        <f t="shared" si="18"/>
        <v>0</v>
      </c>
      <c r="K146" s="251">
        <f t="shared" si="18"/>
        <v>1509537.5464000001</v>
      </c>
    </row>
    <row r="147" spans="1:11" ht="18" customHeight="1">
      <c r="A147" s="209" t="s">
        <v>153</v>
      </c>
      <c r="B147" s="208" t="s">
        <v>61</v>
      </c>
      <c r="F147" s="215">
        <f t="shared" ref="F147:K147" si="19">F108</f>
        <v>3459</v>
      </c>
      <c r="G147" s="215">
        <f t="shared" si="19"/>
        <v>830</v>
      </c>
      <c r="H147" s="215">
        <f t="shared" si="19"/>
        <v>669366</v>
      </c>
      <c r="I147" s="215">
        <f t="shared" si="19"/>
        <v>354228.48719999997</v>
      </c>
      <c r="J147" s="215">
        <f t="shared" si="19"/>
        <v>0</v>
      </c>
      <c r="K147" s="215">
        <f t="shared" si="19"/>
        <v>1023594.4872</v>
      </c>
    </row>
    <row r="148" spans="1:11" ht="18" customHeight="1">
      <c r="A148" s="209" t="s">
        <v>155</v>
      </c>
      <c r="B148" s="208" t="s">
        <v>70</v>
      </c>
      <c r="F148" s="252" t="s">
        <v>73</v>
      </c>
      <c r="G148" s="252" t="s">
        <v>73</v>
      </c>
      <c r="H148" s="253" t="s">
        <v>73</v>
      </c>
      <c r="I148" s="253" t="s">
        <v>73</v>
      </c>
      <c r="J148" s="253" t="s">
        <v>73</v>
      </c>
      <c r="K148" s="254">
        <f>F111</f>
        <v>2703700</v>
      </c>
    </row>
    <row r="149" spans="1:11" ht="18" customHeight="1">
      <c r="A149" s="209" t="s">
        <v>163</v>
      </c>
      <c r="B149" s="208" t="s">
        <v>71</v>
      </c>
      <c r="F149" s="215">
        <f t="shared" ref="F149:K149" si="20">F137</f>
        <v>0</v>
      </c>
      <c r="G149" s="215">
        <f t="shared" si="20"/>
        <v>0</v>
      </c>
      <c r="H149" s="215">
        <f t="shared" si="20"/>
        <v>0</v>
      </c>
      <c r="I149" s="215">
        <f t="shared" si="20"/>
        <v>0</v>
      </c>
      <c r="J149" s="215">
        <f t="shared" si="20"/>
        <v>0</v>
      </c>
      <c r="K149" s="215">
        <f t="shared" si="20"/>
        <v>0</v>
      </c>
    </row>
    <row r="150" spans="1:11" ht="18" customHeight="1">
      <c r="A150" s="209" t="s">
        <v>185</v>
      </c>
      <c r="B150" s="208" t="s">
        <v>186</v>
      </c>
      <c r="F150" s="252" t="s">
        <v>73</v>
      </c>
      <c r="G150" s="252" t="s">
        <v>73</v>
      </c>
      <c r="H150" s="215">
        <f>H18</f>
        <v>13891673</v>
      </c>
      <c r="I150" s="215">
        <f>I18</f>
        <v>0</v>
      </c>
      <c r="J150" s="215">
        <f>J18</f>
        <v>11879117</v>
      </c>
      <c r="K150" s="215">
        <f>K18</f>
        <v>2012556</v>
      </c>
    </row>
    <row r="151" spans="1:11" ht="18" customHeight="1">
      <c r="B151" s="208"/>
      <c r="F151" s="229"/>
      <c r="G151" s="229"/>
      <c r="H151" s="229"/>
      <c r="I151" s="229"/>
      <c r="J151" s="229"/>
      <c r="K151" s="229"/>
    </row>
    <row r="152" spans="1:11" ht="18" customHeight="1">
      <c r="A152" s="212" t="s">
        <v>165</v>
      </c>
      <c r="B152" s="208" t="s">
        <v>26</v>
      </c>
      <c r="F152" s="255">
        <f t="shared" ref="F152:K152" si="21">SUM(F141:F150)</f>
        <v>228832</v>
      </c>
      <c r="G152" s="255">
        <f t="shared" si="21"/>
        <v>119749</v>
      </c>
      <c r="H152" s="255">
        <f t="shared" si="21"/>
        <v>47761223</v>
      </c>
      <c r="I152" s="255">
        <f t="shared" si="21"/>
        <v>2320098.0012000003</v>
      </c>
      <c r="J152" s="255">
        <f t="shared" si="21"/>
        <v>12071633</v>
      </c>
      <c r="K152" s="255">
        <f t="shared" si="21"/>
        <v>40713388.001199998</v>
      </c>
    </row>
    <row r="154" spans="1:11" ht="18" customHeight="1">
      <c r="A154" s="212" t="s">
        <v>168</v>
      </c>
      <c r="B154" s="208" t="s">
        <v>28</v>
      </c>
      <c r="F154" s="256">
        <f>K152/F121</f>
        <v>7.8215107267770798E-2</v>
      </c>
    </row>
    <row r="155" spans="1:11" ht="18" customHeight="1">
      <c r="A155" s="212" t="s">
        <v>169</v>
      </c>
      <c r="B155" s="208" t="s">
        <v>72</v>
      </c>
      <c r="F155" s="256">
        <f>K152/F127</f>
        <v>-2.5155012666790237</v>
      </c>
      <c r="G155" s="208"/>
    </row>
    <row r="156" spans="1:11" ht="18" customHeight="1">
      <c r="G156" s="208"/>
    </row>
  </sheetData>
  <mergeCells count="28">
    <mergeCell ref="C11:G11"/>
    <mergeCell ref="C5:G5"/>
    <mergeCell ref="C6:G6"/>
    <mergeCell ref="C7:G7"/>
    <mergeCell ref="C9:G9"/>
    <mergeCell ref="C10:G10"/>
    <mergeCell ref="B90:C90"/>
    <mergeCell ref="B13:H13"/>
    <mergeCell ref="B28:D28"/>
    <mergeCell ref="B29:D29"/>
    <mergeCell ref="B41:C41"/>
    <mergeCell ref="B52:C52"/>
    <mergeCell ref="B53:D53"/>
    <mergeCell ref="B55:D55"/>
    <mergeCell ref="B56:D56"/>
    <mergeCell ref="B57:D57"/>
    <mergeCell ref="B59:D59"/>
    <mergeCell ref="B62:D62"/>
    <mergeCell ref="B106:D106"/>
    <mergeCell ref="B133:D133"/>
    <mergeCell ref="B134:D134"/>
    <mergeCell ref="B135:D135"/>
    <mergeCell ref="B94:D94"/>
    <mergeCell ref="B95:D95"/>
    <mergeCell ref="B96:D96"/>
    <mergeCell ref="B103:C103"/>
    <mergeCell ref="B104:D104"/>
    <mergeCell ref="B105:D105"/>
  </mergeCells>
  <hyperlinks>
    <hyperlink ref="C11" r:id="rId1"/>
  </hyperlinks>
  <printOptions headings="1" gridLines="1"/>
  <pageMargins left="0.25" right="0.25" top="0.75" bottom="0.75" header="0.3" footer="0.3"/>
  <pageSetup scale="59" fitToHeight="3" orientation="landscape" r:id="rId2"/>
  <headerFooter alignWithMargins="0">
    <oddHeader>&amp;RPage &amp;P</oddHeader>
    <oddFooter>&amp;L&amp;Z&amp;F&amp;C&amp;P of &amp;N&amp;R&amp;D</oddFooter>
  </headerFooter>
  <rowBreaks count="4" manualBreakCount="4">
    <brk id="37" max="16383" man="1"/>
    <brk id="74" max="16383" man="1"/>
    <brk id="109" max="16383" man="1"/>
    <brk id="138"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O156"/>
  <sheetViews>
    <sheetView zoomScaleNormal="100" workbookViewId="0">
      <selection activeCell="H18" sqref="H18"/>
    </sheetView>
  </sheetViews>
  <sheetFormatPr defaultRowHeight="18" customHeight="1"/>
  <cols>
    <col min="1" max="1" width="8.28515625" style="420" customWidth="1"/>
    <col min="2" max="2" width="55.42578125" style="418" bestFit="1" customWidth="1"/>
    <col min="3" max="3" width="9.5703125" style="418" customWidth="1"/>
    <col min="4" max="4" width="9.140625" style="418"/>
    <col min="5" max="5" width="12.42578125" style="418" customWidth="1"/>
    <col min="6" max="6" width="18.5703125" style="418" customWidth="1"/>
    <col min="7" max="7" width="23.5703125" style="418" customWidth="1"/>
    <col min="8" max="8" width="17.140625" style="418" customWidth="1"/>
    <col min="9" max="9" width="21.140625" style="418" customWidth="1"/>
    <col min="10" max="10" width="19.85546875" style="418" customWidth="1"/>
    <col min="11" max="11" width="17.5703125" style="418" customWidth="1"/>
    <col min="12" max="12" width="4.7109375" style="418" customWidth="1"/>
    <col min="13" max="13" width="23.5703125" style="418" customWidth="1"/>
    <col min="14" max="14" width="15.140625" style="578" bestFit="1" customWidth="1"/>
    <col min="15" max="15" width="13.85546875" style="578" bestFit="1" customWidth="1"/>
    <col min="16" max="16384" width="9.140625" style="418"/>
  </cols>
  <sheetData>
    <row r="1" spans="1:11" ht="18" customHeight="1">
      <c r="C1" s="484"/>
      <c r="D1" s="485"/>
      <c r="E1" s="484"/>
      <c r="F1" s="484"/>
      <c r="G1" s="484"/>
      <c r="H1" s="484"/>
      <c r="I1" s="484"/>
      <c r="J1" s="484"/>
      <c r="K1" s="484"/>
    </row>
    <row r="2" spans="1:11" ht="18" customHeight="1">
      <c r="D2" s="1023" t="s">
        <v>713</v>
      </c>
      <c r="E2" s="997"/>
      <c r="F2" s="997"/>
      <c r="G2" s="997"/>
      <c r="H2" s="997"/>
    </row>
    <row r="3" spans="1:11" ht="18" customHeight="1">
      <c r="B3" s="419" t="s">
        <v>0</v>
      </c>
    </row>
    <row r="5" spans="1:11" ht="18" customHeight="1">
      <c r="B5" s="427" t="s">
        <v>40</v>
      </c>
      <c r="C5" s="1024" t="s">
        <v>800</v>
      </c>
      <c r="D5" s="1025"/>
      <c r="E5" s="1025"/>
      <c r="F5" s="1025"/>
      <c r="G5" s="1026"/>
    </row>
    <row r="6" spans="1:11" ht="18" customHeight="1">
      <c r="B6" s="427" t="s">
        <v>3</v>
      </c>
      <c r="C6" s="1027">
        <v>24</v>
      </c>
      <c r="D6" s="1028"/>
      <c r="E6" s="1028"/>
      <c r="F6" s="1028"/>
      <c r="G6" s="1029"/>
    </row>
    <row r="7" spans="1:11" ht="18" customHeight="1">
      <c r="B7" s="427" t="s">
        <v>4</v>
      </c>
      <c r="C7" s="1030">
        <v>2369</v>
      </c>
      <c r="D7" s="1031"/>
      <c r="E7" s="1031"/>
      <c r="F7" s="1031"/>
      <c r="G7" s="1032"/>
    </row>
    <row r="9" spans="1:11" ht="18" customHeight="1">
      <c r="B9" s="427" t="s">
        <v>1</v>
      </c>
      <c r="C9" s="1024" t="s">
        <v>503</v>
      </c>
      <c r="D9" s="1025"/>
      <c r="E9" s="1025"/>
      <c r="F9" s="1025"/>
      <c r="G9" s="1026"/>
    </row>
    <row r="10" spans="1:11" ht="18" customHeight="1">
      <c r="B10" s="427" t="s">
        <v>2</v>
      </c>
      <c r="C10" s="1083" t="s">
        <v>516</v>
      </c>
      <c r="D10" s="1084"/>
      <c r="E10" s="1084"/>
      <c r="F10" s="1084"/>
      <c r="G10" s="1085"/>
    </row>
    <row r="11" spans="1:11" ht="18" customHeight="1">
      <c r="B11" s="427" t="s">
        <v>32</v>
      </c>
      <c r="C11" s="1086" t="s">
        <v>492</v>
      </c>
      <c r="D11" s="1087"/>
      <c r="E11" s="1087"/>
      <c r="F11" s="1087"/>
      <c r="G11" s="1087"/>
    </row>
    <row r="12" spans="1:11" ht="18" customHeight="1">
      <c r="B12" s="427"/>
      <c r="C12" s="427"/>
      <c r="D12" s="427"/>
      <c r="E12" s="427"/>
      <c r="F12" s="427"/>
      <c r="G12" s="427"/>
    </row>
    <row r="13" spans="1:11" ht="24.6" customHeight="1">
      <c r="B13" s="1034"/>
      <c r="C13" s="1035"/>
      <c r="D13" s="1035"/>
      <c r="E13" s="1035"/>
      <c r="F13" s="1035"/>
      <c r="G13" s="1035"/>
      <c r="H13" s="1036"/>
      <c r="I13" s="484"/>
    </row>
    <row r="14" spans="1:11" ht="18" customHeight="1">
      <c r="B14" s="497"/>
    </row>
    <row r="15" spans="1:11" ht="18" customHeight="1">
      <c r="B15" s="497"/>
    </row>
    <row r="16" spans="1:11" ht="45" customHeight="1">
      <c r="A16" s="485" t="s">
        <v>181</v>
      </c>
      <c r="B16" s="484"/>
      <c r="C16" s="484"/>
      <c r="D16" s="484"/>
      <c r="E16" s="484"/>
      <c r="F16" s="431" t="s">
        <v>9</v>
      </c>
      <c r="G16" s="431" t="s">
        <v>37</v>
      </c>
      <c r="H16" s="431" t="s">
        <v>29</v>
      </c>
      <c r="I16" s="431" t="s">
        <v>30</v>
      </c>
      <c r="J16" s="431" t="s">
        <v>33</v>
      </c>
      <c r="K16" s="431" t="s">
        <v>34</v>
      </c>
    </row>
    <row r="17" spans="1:11" ht="18" customHeight="1">
      <c r="A17" s="422" t="s">
        <v>184</v>
      </c>
      <c r="B17" s="419" t="s">
        <v>182</v>
      </c>
    </row>
    <row r="18" spans="1:11" ht="18" customHeight="1">
      <c r="A18" s="427" t="s">
        <v>185</v>
      </c>
      <c r="B18" s="439" t="s">
        <v>183</v>
      </c>
      <c r="F18" s="435" t="s">
        <v>73</v>
      </c>
      <c r="G18" s="435" t="s">
        <v>73</v>
      </c>
      <c r="H18" s="433">
        <v>10067270</v>
      </c>
      <c r="I18" s="434">
        <v>0</v>
      </c>
      <c r="J18" s="433">
        <v>8608774</v>
      </c>
      <c r="K18" s="432">
        <f>(H18+I18)-J18</f>
        <v>1458496</v>
      </c>
    </row>
    <row r="19" spans="1:11" ht="45" customHeight="1">
      <c r="A19" s="485" t="s">
        <v>8</v>
      </c>
      <c r="B19" s="484"/>
      <c r="C19" s="484"/>
      <c r="D19" s="484"/>
      <c r="E19" s="484"/>
      <c r="F19" s="431" t="s">
        <v>9</v>
      </c>
      <c r="G19" s="431" t="s">
        <v>37</v>
      </c>
      <c r="H19" s="431" t="s">
        <v>29</v>
      </c>
      <c r="I19" s="431" t="s">
        <v>30</v>
      </c>
      <c r="J19" s="431" t="s">
        <v>33</v>
      </c>
      <c r="K19" s="431" t="s">
        <v>34</v>
      </c>
    </row>
    <row r="20" spans="1:11" ht="18" customHeight="1">
      <c r="A20" s="422" t="s">
        <v>74</v>
      </c>
      <c r="B20" s="419" t="s">
        <v>41</v>
      </c>
    </row>
    <row r="21" spans="1:11" ht="18" customHeight="1">
      <c r="A21" s="427" t="s">
        <v>75</v>
      </c>
      <c r="B21" s="439" t="s">
        <v>42</v>
      </c>
      <c r="F21" s="435">
        <v>362.5</v>
      </c>
      <c r="G21" s="435">
        <v>3574</v>
      </c>
      <c r="H21" s="433">
        <v>152203</v>
      </c>
      <c r="I21" s="434">
        <v>10428</v>
      </c>
      <c r="J21" s="433"/>
      <c r="K21" s="432">
        <f t="shared" ref="K21:K34" si="0">(H21+I21)-J21</f>
        <v>162631</v>
      </c>
    </row>
    <row r="22" spans="1:11" ht="18" customHeight="1">
      <c r="A22" s="427" t="s">
        <v>76</v>
      </c>
      <c r="B22" s="418" t="s">
        <v>6</v>
      </c>
      <c r="F22" s="435"/>
      <c r="G22" s="435"/>
      <c r="H22" s="433"/>
      <c r="I22" s="434">
        <f t="shared" ref="I22:I34" si="1">H22*F$114</f>
        <v>0</v>
      </c>
      <c r="J22" s="433"/>
      <c r="K22" s="432">
        <f t="shared" si="0"/>
        <v>0</v>
      </c>
    </row>
    <row r="23" spans="1:11" ht="18" customHeight="1">
      <c r="A23" s="427" t="s">
        <v>77</v>
      </c>
      <c r="B23" s="418" t="s">
        <v>43</v>
      </c>
      <c r="F23" s="435"/>
      <c r="G23" s="435">
        <v>546</v>
      </c>
      <c r="H23" s="433">
        <v>4056</v>
      </c>
      <c r="I23" s="434">
        <v>2438</v>
      </c>
      <c r="J23" s="433"/>
      <c r="K23" s="432">
        <f t="shared" si="0"/>
        <v>6494</v>
      </c>
    </row>
    <row r="24" spans="1:11" ht="18" customHeight="1">
      <c r="A24" s="427" t="s">
        <v>78</v>
      </c>
      <c r="B24" s="418" t="s">
        <v>44</v>
      </c>
      <c r="F24" s="435"/>
      <c r="G24" s="435"/>
      <c r="H24" s="433">
        <v>452378</v>
      </c>
      <c r="I24" s="434">
        <v>242671</v>
      </c>
      <c r="J24" s="433">
        <v>401959</v>
      </c>
      <c r="K24" s="432">
        <f t="shared" si="0"/>
        <v>293090</v>
      </c>
    </row>
    <row r="25" spans="1:11" ht="18" customHeight="1">
      <c r="A25" s="427" t="s">
        <v>79</v>
      </c>
      <c r="B25" s="418" t="s">
        <v>5</v>
      </c>
      <c r="F25" s="435"/>
      <c r="G25" s="435"/>
      <c r="H25" s="433">
        <v>217</v>
      </c>
      <c r="I25" s="434">
        <v>130</v>
      </c>
      <c r="J25" s="433"/>
      <c r="K25" s="432">
        <f t="shared" si="0"/>
        <v>347</v>
      </c>
    </row>
    <row r="26" spans="1:11" ht="18" customHeight="1">
      <c r="A26" s="427" t="s">
        <v>80</v>
      </c>
      <c r="B26" s="418" t="s">
        <v>45</v>
      </c>
      <c r="F26" s="435"/>
      <c r="G26" s="435"/>
      <c r="H26" s="433"/>
      <c r="I26" s="434">
        <f t="shared" si="1"/>
        <v>0</v>
      </c>
      <c r="J26" s="433"/>
      <c r="K26" s="432">
        <f t="shared" si="0"/>
        <v>0</v>
      </c>
    </row>
    <row r="27" spans="1:11" ht="18" customHeight="1">
      <c r="A27" s="427" t="s">
        <v>81</v>
      </c>
      <c r="B27" s="418" t="s">
        <v>46</v>
      </c>
      <c r="F27" s="435">
        <v>2696</v>
      </c>
      <c r="G27" s="435"/>
      <c r="H27" s="433">
        <v>134669</v>
      </c>
      <c r="I27" s="434">
        <v>0</v>
      </c>
      <c r="J27" s="433"/>
      <c r="K27" s="432">
        <f t="shared" si="0"/>
        <v>134669</v>
      </c>
    </row>
    <row r="28" spans="1:11" ht="18" customHeight="1">
      <c r="A28" s="427" t="s">
        <v>82</v>
      </c>
      <c r="B28" s="418" t="s">
        <v>47</v>
      </c>
      <c r="F28" s="435"/>
      <c r="G28" s="435"/>
      <c r="H28" s="433"/>
      <c r="I28" s="434">
        <v>0</v>
      </c>
      <c r="J28" s="433"/>
      <c r="K28" s="432">
        <f t="shared" si="0"/>
        <v>0</v>
      </c>
    </row>
    <row r="29" spans="1:11" ht="18" customHeight="1">
      <c r="A29" s="427" t="s">
        <v>83</v>
      </c>
      <c r="B29" s="418" t="s">
        <v>48</v>
      </c>
      <c r="F29" s="435"/>
      <c r="G29" s="435"/>
      <c r="H29" s="433">
        <v>247112</v>
      </c>
      <c r="I29" s="434">
        <v>0</v>
      </c>
      <c r="J29" s="433"/>
      <c r="K29" s="432">
        <f t="shared" si="0"/>
        <v>247112</v>
      </c>
    </row>
    <row r="30" spans="1:11" ht="18" customHeight="1">
      <c r="A30" s="427" t="s">
        <v>84</v>
      </c>
      <c r="B30" s="1088" t="s">
        <v>339</v>
      </c>
      <c r="C30" s="1089"/>
      <c r="D30" s="1090"/>
      <c r="F30" s="435"/>
      <c r="G30" s="435"/>
      <c r="H30" s="433">
        <v>57808</v>
      </c>
      <c r="I30" s="434">
        <v>33901</v>
      </c>
      <c r="J30" s="433"/>
      <c r="K30" s="432">
        <f t="shared" si="0"/>
        <v>91709</v>
      </c>
    </row>
    <row r="31" spans="1:11" ht="18" customHeight="1">
      <c r="A31" s="427" t="s">
        <v>133</v>
      </c>
      <c r="B31" s="1016"/>
      <c r="C31" s="1017"/>
      <c r="D31" s="1018"/>
      <c r="F31" s="435"/>
      <c r="G31" s="435"/>
      <c r="H31" s="433"/>
      <c r="I31" s="434">
        <f t="shared" si="1"/>
        <v>0</v>
      </c>
      <c r="J31" s="433"/>
      <c r="K31" s="432">
        <f t="shared" si="0"/>
        <v>0</v>
      </c>
    </row>
    <row r="32" spans="1:11" ht="18" customHeight="1">
      <c r="A32" s="427" t="s">
        <v>134</v>
      </c>
      <c r="B32" s="483"/>
      <c r="C32" s="482"/>
      <c r="D32" s="481"/>
      <c r="F32" s="435"/>
      <c r="G32" s="480" t="s">
        <v>85</v>
      </c>
      <c r="H32" s="433"/>
      <c r="I32" s="434">
        <f t="shared" si="1"/>
        <v>0</v>
      </c>
      <c r="J32" s="433"/>
      <c r="K32" s="432">
        <f t="shared" si="0"/>
        <v>0</v>
      </c>
    </row>
    <row r="33" spans="1:11" ht="18" customHeight="1">
      <c r="A33" s="427" t="s">
        <v>135</v>
      </c>
      <c r="B33" s="483"/>
      <c r="C33" s="482"/>
      <c r="D33" s="481"/>
      <c r="F33" s="435"/>
      <c r="G33" s="480" t="s">
        <v>85</v>
      </c>
      <c r="H33" s="433"/>
      <c r="I33" s="434">
        <f t="shared" si="1"/>
        <v>0</v>
      </c>
      <c r="J33" s="433"/>
      <c r="K33" s="432">
        <f t="shared" si="0"/>
        <v>0</v>
      </c>
    </row>
    <row r="34" spans="1:11" ht="18" customHeight="1">
      <c r="A34" s="427" t="s">
        <v>136</v>
      </c>
      <c r="B34" s="1016"/>
      <c r="C34" s="1017"/>
      <c r="D34" s="1018"/>
      <c r="F34" s="435"/>
      <c r="G34" s="480" t="s">
        <v>85</v>
      </c>
      <c r="H34" s="433"/>
      <c r="I34" s="434">
        <f t="shared" si="1"/>
        <v>0</v>
      </c>
      <c r="J34" s="433"/>
      <c r="K34" s="432">
        <f t="shared" si="0"/>
        <v>0</v>
      </c>
    </row>
    <row r="35" spans="1:11" ht="18" customHeight="1">
      <c r="K35" s="479"/>
    </row>
    <row r="36" spans="1:11" ht="18" customHeight="1">
      <c r="A36" s="422" t="s">
        <v>137</v>
      </c>
      <c r="B36" s="419" t="s">
        <v>138</v>
      </c>
      <c r="E36" s="419" t="s">
        <v>7</v>
      </c>
      <c r="F36" s="425">
        <f t="shared" ref="F36:K36" si="2">SUM(F21:F34)</f>
        <v>3058.5</v>
      </c>
      <c r="G36" s="425">
        <f t="shared" si="2"/>
        <v>4120</v>
      </c>
      <c r="H36" s="425">
        <f t="shared" si="2"/>
        <v>1048443</v>
      </c>
      <c r="I36" s="432">
        <f t="shared" si="2"/>
        <v>289568</v>
      </c>
      <c r="J36" s="432">
        <f t="shared" si="2"/>
        <v>401959</v>
      </c>
      <c r="K36" s="432">
        <f t="shared" si="2"/>
        <v>936052</v>
      </c>
    </row>
    <row r="37" spans="1:11" ht="18" customHeight="1" thickBot="1">
      <c r="B37" s="419"/>
      <c r="F37" s="478"/>
      <c r="G37" s="478"/>
      <c r="H37" s="477"/>
      <c r="I37" s="477"/>
      <c r="J37" s="477"/>
      <c r="K37" s="476"/>
    </row>
    <row r="38" spans="1:11" ht="42.75" customHeight="1">
      <c r="F38" s="431" t="s">
        <v>9</v>
      </c>
      <c r="G38" s="431" t="s">
        <v>37</v>
      </c>
      <c r="H38" s="431" t="s">
        <v>29</v>
      </c>
      <c r="I38" s="431" t="s">
        <v>30</v>
      </c>
      <c r="J38" s="431" t="s">
        <v>33</v>
      </c>
      <c r="K38" s="431" t="s">
        <v>34</v>
      </c>
    </row>
    <row r="39" spans="1:11" ht="18.75" customHeight="1">
      <c r="A39" s="422" t="s">
        <v>86</v>
      </c>
      <c r="B39" s="419" t="s">
        <v>49</v>
      </c>
    </row>
    <row r="40" spans="1:11" ht="18" customHeight="1">
      <c r="A40" s="427" t="s">
        <v>87</v>
      </c>
      <c r="B40" s="418" t="s">
        <v>31</v>
      </c>
      <c r="F40" s="435">
        <v>201327</v>
      </c>
      <c r="G40" s="435"/>
      <c r="H40" s="433">
        <v>11356129</v>
      </c>
      <c r="I40" s="434">
        <v>6825033</v>
      </c>
      <c r="J40" s="433">
        <v>0</v>
      </c>
      <c r="K40" s="432">
        <f t="shared" ref="K40:K47" si="3">(H40+I40)-J40</f>
        <v>18181162</v>
      </c>
    </row>
    <row r="41" spans="1:11" ht="18" customHeight="1">
      <c r="A41" s="427" t="s">
        <v>88</v>
      </c>
      <c r="B41" s="987" t="s">
        <v>50</v>
      </c>
      <c r="C41" s="1019"/>
      <c r="F41" s="435">
        <v>995</v>
      </c>
      <c r="G41" s="435">
        <v>726</v>
      </c>
      <c r="H41" s="433">
        <v>1180297</v>
      </c>
      <c r="I41" s="434">
        <v>188957</v>
      </c>
      <c r="J41" s="433">
        <v>0</v>
      </c>
      <c r="K41" s="432">
        <f t="shared" si="3"/>
        <v>1369254</v>
      </c>
    </row>
    <row r="42" spans="1:11" ht="18" customHeight="1">
      <c r="A42" s="427" t="s">
        <v>89</v>
      </c>
      <c r="B42" s="439" t="s">
        <v>11</v>
      </c>
      <c r="F42" s="435"/>
      <c r="G42" s="435">
        <v>40</v>
      </c>
      <c r="H42" s="433">
        <v>4356</v>
      </c>
      <c r="I42" s="434">
        <v>2618</v>
      </c>
      <c r="J42" s="433">
        <v>0</v>
      </c>
      <c r="K42" s="432">
        <f t="shared" si="3"/>
        <v>6974</v>
      </c>
    </row>
    <row r="43" spans="1:11" ht="18" customHeight="1">
      <c r="A43" s="427" t="s">
        <v>90</v>
      </c>
      <c r="B43" s="475" t="s">
        <v>10</v>
      </c>
      <c r="C43" s="442"/>
      <c r="D43" s="442"/>
      <c r="F43" s="435"/>
      <c r="G43" s="435"/>
      <c r="H43" s="433"/>
      <c r="I43" s="434">
        <v>0</v>
      </c>
      <c r="J43" s="433"/>
      <c r="K43" s="432">
        <f t="shared" si="3"/>
        <v>0</v>
      </c>
    </row>
    <row r="44" spans="1:11" ht="18" customHeight="1">
      <c r="A44" s="427" t="s">
        <v>91</v>
      </c>
      <c r="B44" s="1016"/>
      <c r="C44" s="1017"/>
      <c r="D44" s="1018"/>
      <c r="F44" s="473"/>
      <c r="G44" s="473"/>
      <c r="H44" s="473"/>
      <c r="I44" s="474">
        <v>0</v>
      </c>
      <c r="J44" s="473"/>
      <c r="K44" s="472">
        <f t="shared" si="3"/>
        <v>0</v>
      </c>
    </row>
    <row r="45" spans="1:11" ht="18" customHeight="1">
      <c r="A45" s="427" t="s">
        <v>139</v>
      </c>
      <c r="B45" s="1016"/>
      <c r="C45" s="1017"/>
      <c r="D45" s="1018"/>
      <c r="F45" s="435"/>
      <c r="G45" s="435"/>
      <c r="H45" s="433"/>
      <c r="I45" s="434">
        <v>0</v>
      </c>
      <c r="J45" s="433"/>
      <c r="K45" s="432">
        <f t="shared" si="3"/>
        <v>0</v>
      </c>
    </row>
    <row r="46" spans="1:11" ht="18" customHeight="1">
      <c r="A46" s="427" t="s">
        <v>140</v>
      </c>
      <c r="B46" s="1016"/>
      <c r="C46" s="1017"/>
      <c r="D46" s="1018"/>
      <c r="F46" s="435"/>
      <c r="G46" s="435"/>
      <c r="H46" s="433"/>
      <c r="I46" s="434">
        <v>0</v>
      </c>
      <c r="J46" s="433"/>
      <c r="K46" s="432">
        <f t="shared" si="3"/>
        <v>0</v>
      </c>
    </row>
    <row r="47" spans="1:11" ht="18" customHeight="1">
      <c r="A47" s="427" t="s">
        <v>141</v>
      </c>
      <c r="B47" s="1016"/>
      <c r="C47" s="1017"/>
      <c r="D47" s="1018"/>
      <c r="F47" s="435"/>
      <c r="G47" s="435"/>
      <c r="H47" s="433"/>
      <c r="I47" s="434">
        <v>0</v>
      </c>
      <c r="J47" s="433"/>
      <c r="K47" s="432">
        <f t="shared" si="3"/>
        <v>0</v>
      </c>
    </row>
    <row r="49" spans="1:13" ht="18" customHeight="1">
      <c r="A49" s="422" t="s">
        <v>142</v>
      </c>
      <c r="B49" s="419" t="s">
        <v>143</v>
      </c>
      <c r="E49" s="419" t="s">
        <v>7</v>
      </c>
      <c r="F49" s="577">
        <f t="shared" ref="F49:K49" si="4">SUM(F40:F47)</f>
        <v>202322</v>
      </c>
      <c r="G49" s="471">
        <f t="shared" si="4"/>
        <v>766</v>
      </c>
      <c r="H49" s="432">
        <f t="shared" si="4"/>
        <v>12540782</v>
      </c>
      <c r="I49" s="432">
        <f t="shared" si="4"/>
        <v>7016608</v>
      </c>
      <c r="J49" s="432">
        <f t="shared" si="4"/>
        <v>0</v>
      </c>
      <c r="K49" s="432">
        <f t="shared" si="4"/>
        <v>19557390</v>
      </c>
    </row>
    <row r="50" spans="1:13" ht="18" customHeight="1" thickBot="1">
      <c r="G50" s="443"/>
      <c r="H50" s="443"/>
      <c r="I50" s="443"/>
      <c r="J50" s="443"/>
      <c r="K50" s="443"/>
    </row>
    <row r="51" spans="1:13" ht="42.75" customHeight="1">
      <c r="F51" s="431" t="s">
        <v>9</v>
      </c>
      <c r="G51" s="431" t="s">
        <v>37</v>
      </c>
      <c r="H51" s="431" t="s">
        <v>29</v>
      </c>
      <c r="I51" s="431" t="s">
        <v>30</v>
      </c>
      <c r="J51" s="431" t="s">
        <v>33</v>
      </c>
      <c r="K51" s="431" t="s">
        <v>34</v>
      </c>
    </row>
    <row r="52" spans="1:13" ht="18" customHeight="1">
      <c r="A52" s="422" t="s">
        <v>92</v>
      </c>
      <c r="B52" s="992" t="s">
        <v>38</v>
      </c>
      <c r="C52" s="1020"/>
    </row>
    <row r="53" spans="1:13" ht="18" customHeight="1">
      <c r="A53" s="427" t="s">
        <v>51</v>
      </c>
      <c r="B53" s="1021" t="s">
        <v>801</v>
      </c>
      <c r="C53" s="1022"/>
      <c r="D53" s="1015"/>
      <c r="F53" s="435"/>
      <c r="G53" s="435"/>
      <c r="H53" s="433">
        <v>6935815</v>
      </c>
      <c r="I53" s="434">
        <v>0</v>
      </c>
      <c r="J53" s="433">
        <v>6687175.669999999</v>
      </c>
      <c r="K53" s="432">
        <f t="shared" ref="K53:K62" si="5">(H53+I53)-J53</f>
        <v>248639.33000000101</v>
      </c>
    </row>
    <row r="54" spans="1:13" ht="18" customHeight="1">
      <c r="A54" s="427" t="s">
        <v>93</v>
      </c>
      <c r="B54" s="466" t="s">
        <v>535</v>
      </c>
      <c r="C54" s="465"/>
      <c r="D54" s="464"/>
      <c r="F54" s="435"/>
      <c r="G54" s="435"/>
      <c r="H54" s="433">
        <v>5434290</v>
      </c>
      <c r="I54" s="434">
        <v>0</v>
      </c>
      <c r="J54" s="433">
        <v>1931464</v>
      </c>
      <c r="K54" s="432">
        <f t="shared" si="5"/>
        <v>3502826</v>
      </c>
      <c r="M54" s="579"/>
    </row>
    <row r="55" spans="1:13" ht="18" customHeight="1">
      <c r="A55" s="427" t="s">
        <v>94</v>
      </c>
      <c r="B55" s="1013" t="s">
        <v>802</v>
      </c>
      <c r="C55" s="1014"/>
      <c r="D55" s="1015"/>
      <c r="F55" s="435"/>
      <c r="G55" s="435"/>
      <c r="H55" s="433">
        <v>713302</v>
      </c>
      <c r="I55" s="434">
        <v>0</v>
      </c>
      <c r="J55" s="433">
        <v>0</v>
      </c>
      <c r="K55" s="432">
        <f t="shared" si="5"/>
        <v>713302</v>
      </c>
    </row>
    <row r="56" spans="1:13" ht="18" customHeight="1">
      <c r="A56" s="427" t="s">
        <v>95</v>
      </c>
      <c r="B56" s="1013" t="s">
        <v>803</v>
      </c>
      <c r="C56" s="1014"/>
      <c r="D56" s="1015"/>
      <c r="F56" s="435"/>
      <c r="G56" s="435"/>
      <c r="H56" s="433">
        <v>4229600</v>
      </c>
      <c r="I56" s="434">
        <v>1072478</v>
      </c>
      <c r="J56" s="433">
        <v>4436890</v>
      </c>
      <c r="K56" s="432">
        <f t="shared" si="5"/>
        <v>865188</v>
      </c>
    </row>
    <row r="57" spans="1:13" ht="18" customHeight="1">
      <c r="A57" s="427" t="s">
        <v>96</v>
      </c>
      <c r="B57" s="1013" t="s">
        <v>804</v>
      </c>
      <c r="C57" s="1014"/>
      <c r="D57" s="1015"/>
      <c r="F57" s="435"/>
      <c r="G57" s="435"/>
      <c r="H57" s="433">
        <v>200000</v>
      </c>
      <c r="I57" s="434">
        <v>0</v>
      </c>
      <c r="J57" s="433">
        <v>0</v>
      </c>
      <c r="K57" s="432">
        <f t="shared" si="5"/>
        <v>200000</v>
      </c>
    </row>
    <row r="58" spans="1:13" ht="18" customHeight="1">
      <c r="A58" s="427" t="s">
        <v>97</v>
      </c>
      <c r="B58" s="466"/>
      <c r="C58" s="465"/>
      <c r="D58" s="464"/>
      <c r="F58" s="435"/>
      <c r="G58" s="435"/>
      <c r="H58" s="433"/>
      <c r="I58" s="434">
        <v>0</v>
      </c>
      <c r="J58" s="433"/>
      <c r="K58" s="432">
        <f t="shared" si="5"/>
        <v>0</v>
      </c>
    </row>
    <row r="59" spans="1:13" ht="18" customHeight="1">
      <c r="A59" s="427" t="s">
        <v>98</v>
      </c>
      <c r="B59" s="1013"/>
      <c r="C59" s="1014"/>
      <c r="D59" s="1015"/>
      <c r="F59" s="435"/>
      <c r="G59" s="435"/>
      <c r="H59" s="433"/>
      <c r="I59" s="434">
        <v>0</v>
      </c>
      <c r="J59" s="433"/>
      <c r="K59" s="432">
        <f t="shared" si="5"/>
        <v>0</v>
      </c>
    </row>
    <row r="60" spans="1:13" ht="18" customHeight="1">
      <c r="A60" s="427" t="s">
        <v>99</v>
      </c>
      <c r="B60" s="466"/>
      <c r="C60" s="465"/>
      <c r="D60" s="464"/>
      <c r="F60" s="435"/>
      <c r="G60" s="435"/>
      <c r="H60" s="433"/>
      <c r="I60" s="434">
        <v>0</v>
      </c>
      <c r="J60" s="433"/>
      <c r="K60" s="432">
        <f t="shared" si="5"/>
        <v>0</v>
      </c>
    </row>
    <row r="61" spans="1:13" ht="18" customHeight="1">
      <c r="A61" s="427" t="s">
        <v>100</v>
      </c>
      <c r="B61" s="466"/>
      <c r="C61" s="465"/>
      <c r="D61" s="464"/>
      <c r="F61" s="435"/>
      <c r="G61" s="435"/>
      <c r="H61" s="433"/>
      <c r="I61" s="434">
        <v>0</v>
      </c>
      <c r="J61" s="433"/>
      <c r="K61" s="432">
        <f t="shared" si="5"/>
        <v>0</v>
      </c>
    </row>
    <row r="62" spans="1:13" ht="18" customHeight="1">
      <c r="A62" s="427" t="s">
        <v>101</v>
      </c>
      <c r="B62" s="1013"/>
      <c r="C62" s="1014"/>
      <c r="D62" s="1015"/>
      <c r="F62" s="435"/>
      <c r="G62" s="435"/>
      <c r="H62" s="433"/>
      <c r="I62" s="434">
        <v>0</v>
      </c>
      <c r="J62" s="433"/>
      <c r="K62" s="432">
        <f t="shared" si="5"/>
        <v>0</v>
      </c>
    </row>
    <row r="63" spans="1:13" ht="18" customHeight="1">
      <c r="A63" s="427"/>
      <c r="I63" s="470"/>
    </row>
    <row r="64" spans="1:13" ht="18" customHeight="1">
      <c r="A64" s="427" t="s">
        <v>144</v>
      </c>
      <c r="B64" s="419" t="s">
        <v>145</v>
      </c>
      <c r="E64" s="419" t="s">
        <v>7</v>
      </c>
      <c r="F64" s="425">
        <f t="shared" ref="F64:K64" si="6">SUM(F53:F62)</f>
        <v>0</v>
      </c>
      <c r="G64" s="425">
        <f t="shared" si="6"/>
        <v>0</v>
      </c>
      <c r="H64" s="432">
        <f t="shared" si="6"/>
        <v>17513007</v>
      </c>
      <c r="I64" s="432">
        <f t="shared" si="6"/>
        <v>1072478</v>
      </c>
      <c r="J64" s="432">
        <f t="shared" si="6"/>
        <v>13055529.669999998</v>
      </c>
      <c r="K64" s="432">
        <f t="shared" si="6"/>
        <v>5529955.330000001</v>
      </c>
    </row>
    <row r="65" spans="1:11" ht="18" customHeight="1">
      <c r="F65" s="424"/>
      <c r="G65" s="424"/>
      <c r="H65" s="424"/>
      <c r="I65" s="424"/>
      <c r="J65" s="424"/>
      <c r="K65" s="424"/>
    </row>
    <row r="66" spans="1:11" ht="42.75" customHeight="1">
      <c r="F66" s="469" t="s">
        <v>9</v>
      </c>
      <c r="G66" s="469" t="s">
        <v>37</v>
      </c>
      <c r="H66" s="469" t="s">
        <v>29</v>
      </c>
      <c r="I66" s="469" t="s">
        <v>30</v>
      </c>
      <c r="J66" s="469" t="s">
        <v>33</v>
      </c>
      <c r="K66" s="469" t="s">
        <v>34</v>
      </c>
    </row>
    <row r="67" spans="1:11" ht="18" customHeight="1">
      <c r="A67" s="422" t="s">
        <v>102</v>
      </c>
      <c r="B67" s="419" t="s">
        <v>12</v>
      </c>
      <c r="F67" s="468"/>
      <c r="G67" s="468"/>
      <c r="H67" s="468"/>
      <c r="I67" s="457"/>
      <c r="J67" s="468"/>
      <c r="K67" s="455"/>
    </row>
    <row r="68" spans="1:11" ht="18" customHeight="1">
      <c r="A68" s="427" t="s">
        <v>103</v>
      </c>
      <c r="B68" s="418" t="s">
        <v>52</v>
      </c>
      <c r="F68" s="452"/>
      <c r="G68" s="452"/>
      <c r="H68" s="434">
        <v>820530</v>
      </c>
      <c r="I68" s="434">
        <v>493139</v>
      </c>
      <c r="J68" s="434">
        <v>0</v>
      </c>
      <c r="K68" s="432">
        <f>(H68+I68)-J68</f>
        <v>1313669</v>
      </c>
    </row>
    <row r="69" spans="1:11" ht="18" customHeight="1">
      <c r="A69" s="427" t="s">
        <v>104</v>
      </c>
      <c r="B69" s="439" t="s">
        <v>53</v>
      </c>
      <c r="F69" s="452"/>
      <c r="G69" s="452"/>
      <c r="H69" s="434">
        <v>164460</v>
      </c>
      <c r="I69" s="434">
        <v>98840</v>
      </c>
      <c r="J69" s="434">
        <v>0</v>
      </c>
      <c r="K69" s="432">
        <f>(H69+I69)-J69</f>
        <v>263300</v>
      </c>
    </row>
    <row r="70" spans="1:11" ht="18" customHeight="1">
      <c r="A70" s="427" t="s">
        <v>178</v>
      </c>
      <c r="B70" s="466"/>
      <c r="C70" s="465"/>
      <c r="D70" s="464"/>
      <c r="E70" s="419"/>
      <c r="F70" s="463"/>
      <c r="G70" s="463"/>
      <c r="H70" s="434"/>
      <c r="I70" s="434">
        <v>0</v>
      </c>
      <c r="J70" s="434"/>
      <c r="K70" s="432">
        <f>(H70+I70)-J70</f>
        <v>0</v>
      </c>
    </row>
    <row r="71" spans="1:11" ht="18" customHeight="1">
      <c r="A71" s="427" t="s">
        <v>179</v>
      </c>
      <c r="B71" s="466"/>
      <c r="C71" s="465"/>
      <c r="D71" s="464"/>
      <c r="E71" s="419"/>
      <c r="F71" s="463"/>
      <c r="G71" s="463"/>
      <c r="H71" s="462"/>
      <c r="I71" s="434">
        <v>0</v>
      </c>
      <c r="J71" s="462"/>
      <c r="K71" s="432">
        <f>(H71+I71)-J71</f>
        <v>0</v>
      </c>
    </row>
    <row r="72" spans="1:11" ht="18" customHeight="1">
      <c r="A72" s="427" t="s">
        <v>180</v>
      </c>
      <c r="B72" s="461"/>
      <c r="C72" s="460"/>
      <c r="D72" s="459"/>
      <c r="E72" s="419"/>
      <c r="F72" s="435"/>
      <c r="G72" s="435"/>
      <c r="H72" s="433"/>
      <c r="I72" s="434">
        <v>0</v>
      </c>
      <c r="J72" s="433"/>
      <c r="K72" s="432">
        <f>(H72+I72)-J72</f>
        <v>0</v>
      </c>
    </row>
    <row r="73" spans="1:11" ht="18" customHeight="1">
      <c r="A73" s="427"/>
      <c r="B73" s="439"/>
      <c r="E73" s="419"/>
      <c r="F73" s="458"/>
      <c r="G73" s="458"/>
      <c r="H73" s="456"/>
      <c r="I73" s="457"/>
      <c r="J73" s="456"/>
      <c r="K73" s="455"/>
    </row>
    <row r="74" spans="1:11" ht="18" customHeight="1">
      <c r="A74" s="422" t="s">
        <v>146</v>
      </c>
      <c r="B74" s="419" t="s">
        <v>147</v>
      </c>
      <c r="E74" s="419" t="s">
        <v>7</v>
      </c>
      <c r="F74" s="450">
        <f t="shared" ref="F74:K74" si="7">SUM(F68:F72)</f>
        <v>0</v>
      </c>
      <c r="G74" s="450">
        <f t="shared" si="7"/>
        <v>0</v>
      </c>
      <c r="H74" s="434">
        <f t="shared" si="7"/>
        <v>984990</v>
      </c>
      <c r="I74" s="434">
        <f t="shared" si="7"/>
        <v>591979</v>
      </c>
      <c r="J74" s="434">
        <f t="shared" si="7"/>
        <v>0</v>
      </c>
      <c r="K74" s="432">
        <f t="shared" si="7"/>
        <v>1576969</v>
      </c>
    </row>
    <row r="75" spans="1:11" ht="42.75" customHeight="1">
      <c r="F75" s="431" t="s">
        <v>9</v>
      </c>
      <c r="G75" s="431" t="s">
        <v>37</v>
      </c>
      <c r="H75" s="431" t="s">
        <v>29</v>
      </c>
      <c r="I75" s="431" t="s">
        <v>30</v>
      </c>
      <c r="J75" s="431" t="s">
        <v>33</v>
      </c>
      <c r="K75" s="431" t="s">
        <v>34</v>
      </c>
    </row>
    <row r="76" spans="1:11" ht="18" customHeight="1">
      <c r="A76" s="422" t="s">
        <v>105</v>
      </c>
      <c r="B76" s="419" t="s">
        <v>106</v>
      </c>
    </row>
    <row r="77" spans="1:11" ht="18" customHeight="1">
      <c r="A77" s="427" t="s">
        <v>107</v>
      </c>
      <c r="B77" s="439" t="s">
        <v>54</v>
      </c>
      <c r="F77" s="435"/>
      <c r="G77" s="435"/>
      <c r="H77" s="433">
        <v>21950</v>
      </c>
      <c r="I77" s="434">
        <v>0</v>
      </c>
      <c r="J77" s="433"/>
      <c r="K77" s="432">
        <f>(H77+I77)-J77</f>
        <v>21950</v>
      </c>
    </row>
    <row r="78" spans="1:11" ht="18" customHeight="1">
      <c r="A78" s="427" t="s">
        <v>108</v>
      </c>
      <c r="B78" s="439" t="s">
        <v>55</v>
      </c>
      <c r="F78" s="435"/>
      <c r="G78" s="435"/>
      <c r="H78" s="433"/>
      <c r="I78" s="434">
        <v>0</v>
      </c>
      <c r="J78" s="433"/>
      <c r="K78" s="432">
        <f>(H78+I78)-J78</f>
        <v>0</v>
      </c>
    </row>
    <row r="79" spans="1:11" ht="18" customHeight="1">
      <c r="A79" s="427" t="s">
        <v>109</v>
      </c>
      <c r="B79" s="439" t="s">
        <v>13</v>
      </c>
      <c r="F79" s="435"/>
      <c r="G79" s="435"/>
      <c r="H79" s="433">
        <v>16392</v>
      </c>
      <c r="I79" s="434">
        <v>764</v>
      </c>
      <c r="J79" s="433"/>
      <c r="K79" s="432">
        <f>(H79+I79)-J79</f>
        <v>17156</v>
      </c>
    </row>
    <row r="80" spans="1:11" ht="18" customHeight="1">
      <c r="A80" s="427" t="s">
        <v>110</v>
      </c>
      <c r="B80" s="439" t="s">
        <v>56</v>
      </c>
      <c r="F80" s="435"/>
      <c r="G80" s="435"/>
      <c r="H80" s="433"/>
      <c r="I80" s="434">
        <v>0</v>
      </c>
      <c r="J80" s="433"/>
      <c r="K80" s="432">
        <f>(H80+I80)-J80</f>
        <v>0</v>
      </c>
    </row>
    <row r="81" spans="1:11" ht="18" customHeight="1">
      <c r="A81" s="427"/>
      <c r="K81" s="451"/>
    </row>
    <row r="82" spans="1:11" ht="18" customHeight="1">
      <c r="A82" s="427" t="s">
        <v>148</v>
      </c>
      <c r="B82" s="419" t="s">
        <v>149</v>
      </c>
      <c r="E82" s="419" t="s">
        <v>7</v>
      </c>
      <c r="F82" s="450">
        <f t="shared" ref="F82:K82" si="8">SUM(F77:F80)</f>
        <v>0</v>
      </c>
      <c r="G82" s="450">
        <f t="shared" si="8"/>
        <v>0</v>
      </c>
      <c r="H82" s="438">
        <f t="shared" si="8"/>
        <v>38342</v>
      </c>
      <c r="I82" s="438">
        <f t="shared" si="8"/>
        <v>764</v>
      </c>
      <c r="J82" s="438">
        <f t="shared" si="8"/>
        <v>0</v>
      </c>
      <c r="K82" s="438">
        <f t="shared" si="8"/>
        <v>39106</v>
      </c>
    </row>
    <row r="83" spans="1:11" ht="18" customHeight="1" thickBot="1">
      <c r="A83" s="427"/>
      <c r="F83" s="443"/>
      <c r="G83" s="443"/>
      <c r="H83" s="443"/>
      <c r="I83" s="443"/>
      <c r="J83" s="443"/>
      <c r="K83" s="443"/>
    </row>
    <row r="84" spans="1:11" ht="42.75" customHeight="1">
      <c r="F84" s="431" t="s">
        <v>9</v>
      </c>
      <c r="G84" s="431" t="s">
        <v>37</v>
      </c>
      <c r="H84" s="431" t="s">
        <v>29</v>
      </c>
      <c r="I84" s="431" t="s">
        <v>30</v>
      </c>
      <c r="J84" s="431" t="s">
        <v>33</v>
      </c>
      <c r="K84" s="431" t="s">
        <v>34</v>
      </c>
    </row>
    <row r="85" spans="1:11" ht="18" customHeight="1">
      <c r="A85" s="422" t="s">
        <v>111</v>
      </c>
      <c r="B85" s="419" t="s">
        <v>57</v>
      </c>
    </row>
    <row r="86" spans="1:11" ht="18" customHeight="1">
      <c r="A86" s="427" t="s">
        <v>112</v>
      </c>
      <c r="B86" s="439" t="s">
        <v>113</v>
      </c>
      <c r="F86" s="435"/>
      <c r="G86" s="435"/>
      <c r="H86" s="433"/>
      <c r="I86" s="434">
        <f t="shared" ref="I86:I96" si="9">H86*F$114</f>
        <v>0</v>
      </c>
      <c r="J86" s="433"/>
      <c r="K86" s="432">
        <f t="shared" ref="K86:K96" si="10">(H86+I86)-J86</f>
        <v>0</v>
      </c>
    </row>
    <row r="87" spans="1:11" ht="18" customHeight="1">
      <c r="A87" s="427" t="s">
        <v>114</v>
      </c>
      <c r="B87" s="439" t="s">
        <v>14</v>
      </c>
      <c r="F87" s="435"/>
      <c r="G87" s="435"/>
      <c r="H87" s="433"/>
      <c r="I87" s="434">
        <f t="shared" si="9"/>
        <v>0</v>
      </c>
      <c r="J87" s="433"/>
      <c r="K87" s="432">
        <f t="shared" si="10"/>
        <v>0</v>
      </c>
    </row>
    <row r="88" spans="1:11" ht="18" customHeight="1">
      <c r="A88" s="427" t="s">
        <v>115</v>
      </c>
      <c r="B88" s="439" t="s">
        <v>116</v>
      </c>
      <c r="F88" s="435"/>
      <c r="G88" s="435"/>
      <c r="H88" s="433">
        <v>121106</v>
      </c>
      <c r="I88" s="434">
        <v>72785</v>
      </c>
      <c r="J88" s="433">
        <v>15817</v>
      </c>
      <c r="K88" s="432">
        <f t="shared" si="10"/>
        <v>178074</v>
      </c>
    </row>
    <row r="89" spans="1:11" ht="18" customHeight="1">
      <c r="A89" s="427" t="s">
        <v>117</v>
      </c>
      <c r="B89" s="439" t="s">
        <v>58</v>
      </c>
      <c r="F89" s="435"/>
      <c r="G89" s="435"/>
      <c r="H89" s="433"/>
      <c r="I89" s="434">
        <f t="shared" si="9"/>
        <v>0</v>
      </c>
      <c r="J89" s="433"/>
      <c r="K89" s="432">
        <f t="shared" si="10"/>
        <v>0</v>
      </c>
    </row>
    <row r="90" spans="1:11" ht="18" customHeight="1">
      <c r="A90" s="427" t="s">
        <v>118</v>
      </c>
      <c r="B90" s="987" t="s">
        <v>59</v>
      </c>
      <c r="C90" s="1019"/>
      <c r="F90" s="435"/>
      <c r="G90" s="435"/>
      <c r="H90" s="433"/>
      <c r="I90" s="434">
        <f t="shared" si="9"/>
        <v>0</v>
      </c>
      <c r="J90" s="433"/>
      <c r="K90" s="432">
        <f t="shared" si="10"/>
        <v>0</v>
      </c>
    </row>
    <row r="91" spans="1:11" ht="18" customHeight="1">
      <c r="A91" s="427" t="s">
        <v>119</v>
      </c>
      <c r="B91" s="439" t="s">
        <v>60</v>
      </c>
      <c r="F91" s="435"/>
      <c r="G91" s="435"/>
      <c r="H91" s="433"/>
      <c r="I91" s="434">
        <f t="shared" si="9"/>
        <v>0</v>
      </c>
      <c r="J91" s="433"/>
      <c r="K91" s="432">
        <f t="shared" si="10"/>
        <v>0</v>
      </c>
    </row>
    <row r="92" spans="1:11" ht="18" customHeight="1">
      <c r="A92" s="427" t="s">
        <v>120</v>
      </c>
      <c r="B92" s="439" t="s">
        <v>121</v>
      </c>
      <c r="F92" s="449"/>
      <c r="G92" s="449"/>
      <c r="H92" s="448">
        <v>29317</v>
      </c>
      <c r="I92" s="434">
        <v>0</v>
      </c>
      <c r="J92" s="448">
        <v>0</v>
      </c>
      <c r="K92" s="432">
        <f t="shared" si="10"/>
        <v>29317</v>
      </c>
    </row>
    <row r="93" spans="1:11" ht="18" customHeight="1">
      <c r="A93" s="427" t="s">
        <v>122</v>
      </c>
      <c r="B93" s="439" t="s">
        <v>123</v>
      </c>
      <c r="F93" s="435"/>
      <c r="G93" s="435"/>
      <c r="H93" s="433">
        <v>1414</v>
      </c>
      <c r="I93" s="434">
        <v>0</v>
      </c>
      <c r="J93" s="433">
        <v>0</v>
      </c>
      <c r="K93" s="432">
        <f t="shared" si="10"/>
        <v>1414</v>
      </c>
    </row>
    <row r="94" spans="1:11" ht="18" customHeight="1">
      <c r="A94" s="427" t="s">
        <v>124</v>
      </c>
      <c r="B94" s="1013"/>
      <c r="C94" s="1014"/>
      <c r="D94" s="1015"/>
      <c r="F94" s="435"/>
      <c r="G94" s="435"/>
      <c r="H94" s="433"/>
      <c r="I94" s="434">
        <f t="shared" si="9"/>
        <v>0</v>
      </c>
      <c r="J94" s="433"/>
      <c r="K94" s="432">
        <f t="shared" si="10"/>
        <v>0</v>
      </c>
    </row>
    <row r="95" spans="1:11" ht="18" customHeight="1">
      <c r="A95" s="427" t="s">
        <v>125</v>
      </c>
      <c r="B95" s="1013"/>
      <c r="C95" s="1014"/>
      <c r="D95" s="1015"/>
      <c r="F95" s="435"/>
      <c r="G95" s="435"/>
      <c r="H95" s="433"/>
      <c r="I95" s="434">
        <f t="shared" si="9"/>
        <v>0</v>
      </c>
      <c r="J95" s="433"/>
      <c r="K95" s="432">
        <f t="shared" si="10"/>
        <v>0</v>
      </c>
    </row>
    <row r="96" spans="1:11" ht="18" customHeight="1">
      <c r="A96" s="427" t="s">
        <v>126</v>
      </c>
      <c r="B96" s="1013"/>
      <c r="C96" s="1014"/>
      <c r="D96" s="1015"/>
      <c r="F96" s="435"/>
      <c r="G96" s="435"/>
      <c r="H96" s="433"/>
      <c r="I96" s="434">
        <f t="shared" si="9"/>
        <v>0</v>
      </c>
      <c r="J96" s="433"/>
      <c r="K96" s="432">
        <f t="shared" si="10"/>
        <v>0</v>
      </c>
    </row>
    <row r="97" spans="1:15" ht="18" customHeight="1">
      <c r="A97" s="427"/>
      <c r="B97" s="439"/>
    </row>
    <row r="98" spans="1:15" ht="18" customHeight="1">
      <c r="A98" s="422" t="s">
        <v>150</v>
      </c>
      <c r="B98" s="419" t="s">
        <v>151</v>
      </c>
      <c r="E98" s="419" t="s">
        <v>7</v>
      </c>
      <c r="F98" s="425">
        <f t="shared" ref="F98:K98" si="11">SUM(F86:F96)</f>
        <v>0</v>
      </c>
      <c r="G98" s="425">
        <f t="shared" si="11"/>
        <v>0</v>
      </c>
      <c r="H98" s="425">
        <f t="shared" si="11"/>
        <v>151837</v>
      </c>
      <c r="I98" s="425">
        <f t="shared" si="11"/>
        <v>72785</v>
      </c>
      <c r="J98" s="425">
        <f t="shared" si="11"/>
        <v>15817</v>
      </c>
      <c r="K98" s="425">
        <f t="shared" si="11"/>
        <v>208805</v>
      </c>
    </row>
    <row r="99" spans="1:15" ht="18" customHeight="1" thickBot="1">
      <c r="B99" s="419"/>
      <c r="F99" s="443"/>
      <c r="G99" s="443"/>
      <c r="H99" s="443"/>
      <c r="I99" s="443"/>
      <c r="J99" s="443"/>
      <c r="K99" s="443"/>
    </row>
    <row r="100" spans="1:15" ht="42.75" customHeight="1">
      <c r="F100" s="431" t="s">
        <v>9</v>
      </c>
      <c r="G100" s="431" t="s">
        <v>37</v>
      </c>
      <c r="H100" s="431" t="s">
        <v>29</v>
      </c>
      <c r="I100" s="431" t="s">
        <v>30</v>
      </c>
      <c r="J100" s="431" t="s">
        <v>33</v>
      </c>
      <c r="K100" s="431" t="s">
        <v>34</v>
      </c>
    </row>
    <row r="101" spans="1:15" ht="18" customHeight="1">
      <c r="A101" s="422" t="s">
        <v>130</v>
      </c>
      <c r="B101" s="419" t="s">
        <v>63</v>
      </c>
    </row>
    <row r="102" spans="1:15" ht="18" customHeight="1">
      <c r="A102" s="427" t="s">
        <v>131</v>
      </c>
      <c r="B102" s="439" t="s">
        <v>152</v>
      </c>
      <c r="F102" s="435">
        <v>40</v>
      </c>
      <c r="G102" s="435"/>
      <c r="H102" s="433">
        <v>61805</v>
      </c>
      <c r="I102" s="434">
        <v>1388</v>
      </c>
      <c r="J102" s="433">
        <v>0</v>
      </c>
      <c r="K102" s="432">
        <f>(H102+I102)-J102</f>
        <v>63193</v>
      </c>
    </row>
    <row r="103" spans="1:15" ht="18" customHeight="1">
      <c r="A103" s="427" t="s">
        <v>132</v>
      </c>
      <c r="B103" s="987" t="s">
        <v>62</v>
      </c>
      <c r="C103" s="987"/>
      <c r="F103" s="435"/>
      <c r="G103" s="435"/>
      <c r="H103" s="433"/>
      <c r="I103" s="434">
        <f>H103*F$114</f>
        <v>0</v>
      </c>
      <c r="J103" s="433"/>
      <c r="K103" s="432">
        <f>(H103+I103)-J103</f>
        <v>0</v>
      </c>
    </row>
    <row r="104" spans="1:15" ht="18" customHeight="1">
      <c r="A104" s="427" t="s">
        <v>128</v>
      </c>
      <c r="B104" s="1013"/>
      <c r="C104" s="1014"/>
      <c r="D104" s="1015"/>
      <c r="F104" s="435"/>
      <c r="G104" s="435"/>
      <c r="H104" s="433"/>
      <c r="I104" s="434">
        <f>H104*F$114</f>
        <v>0</v>
      </c>
      <c r="J104" s="433"/>
      <c r="K104" s="432">
        <f>(H104+I104)-J104</f>
        <v>0</v>
      </c>
    </row>
    <row r="105" spans="1:15" ht="18" customHeight="1">
      <c r="A105" s="427" t="s">
        <v>127</v>
      </c>
      <c r="B105" s="1013"/>
      <c r="C105" s="1014"/>
      <c r="D105" s="1015"/>
      <c r="F105" s="435"/>
      <c r="G105" s="435"/>
      <c r="H105" s="433"/>
      <c r="I105" s="434">
        <f>H105*F$114</f>
        <v>0</v>
      </c>
      <c r="J105" s="433"/>
      <c r="K105" s="432">
        <f>(H105+I105)-J105</f>
        <v>0</v>
      </c>
    </row>
    <row r="106" spans="1:15" ht="18" customHeight="1">
      <c r="A106" s="427" t="s">
        <v>129</v>
      </c>
      <c r="B106" s="1013"/>
      <c r="C106" s="1014"/>
      <c r="D106" s="1015"/>
      <c r="F106" s="435"/>
      <c r="G106" s="435"/>
      <c r="H106" s="433"/>
      <c r="I106" s="434">
        <f>H106*F$114</f>
        <v>0</v>
      </c>
      <c r="J106" s="433"/>
      <c r="K106" s="432">
        <f>(H106+I106)-J106</f>
        <v>0</v>
      </c>
    </row>
    <row r="107" spans="1:15" ht="18" customHeight="1">
      <c r="B107" s="419"/>
    </row>
    <row r="108" spans="1:15" s="442" customFormat="1" ht="18" customHeight="1">
      <c r="A108" s="422" t="s">
        <v>153</v>
      </c>
      <c r="B108" s="447" t="s">
        <v>154</v>
      </c>
      <c r="C108" s="418"/>
      <c r="D108" s="418"/>
      <c r="E108" s="419" t="s">
        <v>7</v>
      </c>
      <c r="F108" s="425">
        <f t="shared" ref="F108:K108" si="12">SUM(F102:F106)</f>
        <v>40</v>
      </c>
      <c r="G108" s="425">
        <f t="shared" si="12"/>
        <v>0</v>
      </c>
      <c r="H108" s="432">
        <f t="shared" si="12"/>
        <v>61805</v>
      </c>
      <c r="I108" s="432">
        <f t="shared" si="12"/>
        <v>1388</v>
      </c>
      <c r="J108" s="432">
        <f t="shared" si="12"/>
        <v>0</v>
      </c>
      <c r="K108" s="432">
        <f t="shared" si="12"/>
        <v>63193</v>
      </c>
      <c r="N108" s="580"/>
      <c r="O108" s="580"/>
    </row>
    <row r="109" spans="1:15" s="442" customFormat="1" ht="18" customHeight="1" thickBot="1">
      <c r="A109" s="446"/>
      <c r="B109" s="445"/>
      <c r="C109" s="444"/>
      <c r="D109" s="444"/>
      <c r="E109" s="444"/>
      <c r="F109" s="443"/>
      <c r="G109" s="443"/>
      <c r="H109" s="443"/>
      <c r="I109" s="443"/>
      <c r="J109" s="443"/>
      <c r="K109" s="443"/>
      <c r="N109" s="580"/>
      <c r="O109" s="580"/>
    </row>
    <row r="110" spans="1:15" s="442" customFormat="1" ht="18" customHeight="1">
      <c r="A110" s="422" t="s">
        <v>156</v>
      </c>
      <c r="B110" s="419" t="s">
        <v>39</v>
      </c>
      <c r="C110" s="418"/>
      <c r="D110" s="418"/>
      <c r="E110" s="418"/>
      <c r="F110" s="418"/>
      <c r="G110" s="418"/>
      <c r="H110" s="418"/>
      <c r="I110" s="418"/>
      <c r="J110" s="418"/>
      <c r="K110" s="418"/>
      <c r="N110" s="580"/>
      <c r="O110" s="580"/>
    </row>
    <row r="111" spans="1:15" ht="18" customHeight="1">
      <c r="A111" s="422" t="s">
        <v>155</v>
      </c>
      <c r="B111" s="419" t="s">
        <v>164</v>
      </c>
      <c r="E111" s="419" t="s">
        <v>7</v>
      </c>
      <c r="F111" s="433">
        <v>4022477.38</v>
      </c>
    </row>
    <row r="112" spans="1:15" ht="18" customHeight="1">
      <c r="B112" s="419"/>
      <c r="E112" s="419"/>
      <c r="F112" s="441"/>
    </row>
    <row r="113" spans="1:6" ht="15">
      <c r="A113" s="422"/>
      <c r="B113" s="419" t="s">
        <v>15</v>
      </c>
    </row>
    <row r="114" spans="1:6" ht="15">
      <c r="A114" s="427" t="s">
        <v>171</v>
      </c>
      <c r="B114" s="439" t="s">
        <v>35</v>
      </c>
      <c r="F114" s="440">
        <v>0.60099999999999998</v>
      </c>
    </row>
    <row r="115" spans="1:6" ht="15">
      <c r="A115" s="427"/>
      <c r="B115" s="419"/>
    </row>
    <row r="116" spans="1:6" ht="15">
      <c r="A116" s="427" t="s">
        <v>170</v>
      </c>
      <c r="B116" s="419" t="s">
        <v>16</v>
      </c>
    </row>
    <row r="117" spans="1:6" ht="15">
      <c r="A117" s="427" t="s">
        <v>172</v>
      </c>
      <c r="B117" s="439" t="s">
        <v>17</v>
      </c>
      <c r="F117" s="433">
        <v>414368343.39499998</v>
      </c>
    </row>
    <row r="118" spans="1:6" ht="15">
      <c r="A118" s="427" t="s">
        <v>173</v>
      </c>
      <c r="B118" s="418" t="s">
        <v>18</v>
      </c>
      <c r="F118" s="433">
        <v>14550443.050000001</v>
      </c>
    </row>
    <row r="119" spans="1:6" ht="15">
      <c r="A119" s="427" t="s">
        <v>174</v>
      </c>
      <c r="B119" s="419" t="s">
        <v>19</v>
      </c>
      <c r="F119" s="438">
        <f>SUM(F117:F118)</f>
        <v>428918786.44499999</v>
      </c>
    </row>
    <row r="120" spans="1:6" ht="15">
      <c r="A120" s="427"/>
      <c r="B120" s="419"/>
    </row>
    <row r="121" spans="1:6" ht="15">
      <c r="A121" s="427" t="s">
        <v>167</v>
      </c>
      <c r="B121" s="419" t="s">
        <v>36</v>
      </c>
      <c r="F121" s="433">
        <v>420732086.70999998</v>
      </c>
    </row>
    <row r="122" spans="1:6" ht="15">
      <c r="A122" s="427"/>
    </row>
    <row r="123" spans="1:6" ht="15">
      <c r="A123" s="427" t="s">
        <v>175</v>
      </c>
      <c r="B123" s="419" t="s">
        <v>20</v>
      </c>
      <c r="F123" s="433">
        <f>F119-F121</f>
        <v>8186699.7350000143</v>
      </c>
    </row>
    <row r="124" spans="1:6" ht="15">
      <c r="A124" s="427"/>
    </row>
    <row r="125" spans="1:6" ht="15">
      <c r="A125" s="427" t="s">
        <v>176</v>
      </c>
      <c r="B125" s="419" t="s">
        <v>21</v>
      </c>
      <c r="F125" s="433">
        <v>1393270.9099999992</v>
      </c>
    </row>
    <row r="126" spans="1:6" ht="15">
      <c r="A126" s="427"/>
    </row>
    <row r="127" spans="1:6" ht="15">
      <c r="A127" s="427" t="s">
        <v>177</v>
      </c>
      <c r="B127" s="419" t="s">
        <v>22</v>
      </c>
      <c r="F127" s="433">
        <f>F123+F125</f>
        <v>9579970.6450000145</v>
      </c>
    </row>
    <row r="128" spans="1:6" ht="15">
      <c r="A128" s="427"/>
    </row>
    <row r="129" spans="1:11" ht="42.75" customHeight="1">
      <c r="F129" s="431" t="s">
        <v>9</v>
      </c>
      <c r="G129" s="431" t="s">
        <v>37</v>
      </c>
      <c r="H129" s="431" t="s">
        <v>29</v>
      </c>
      <c r="I129" s="431" t="s">
        <v>30</v>
      </c>
      <c r="J129" s="431" t="s">
        <v>33</v>
      </c>
      <c r="K129" s="431" t="s">
        <v>34</v>
      </c>
    </row>
    <row r="130" spans="1:11" ht="18" customHeight="1">
      <c r="A130" s="422" t="s">
        <v>157</v>
      </c>
      <c r="B130" s="419" t="s">
        <v>23</v>
      </c>
    </row>
    <row r="131" spans="1:11" ht="18" customHeight="1">
      <c r="A131" s="427" t="s">
        <v>158</v>
      </c>
      <c r="B131" s="418" t="s">
        <v>24</v>
      </c>
      <c r="F131" s="435"/>
      <c r="G131" s="435"/>
      <c r="H131" s="433"/>
      <c r="I131" s="434">
        <v>0</v>
      </c>
      <c r="J131" s="433"/>
      <c r="K131" s="432">
        <f>(H131+I131)-J131</f>
        <v>0</v>
      </c>
    </row>
    <row r="132" spans="1:11" ht="18" customHeight="1">
      <c r="A132" s="427" t="s">
        <v>159</v>
      </c>
      <c r="B132" s="418" t="s">
        <v>25</v>
      </c>
      <c r="F132" s="435"/>
      <c r="G132" s="435"/>
      <c r="H132" s="433"/>
      <c r="I132" s="434">
        <v>0</v>
      </c>
      <c r="J132" s="433"/>
      <c r="K132" s="432">
        <f>(H132+I132)-J132</f>
        <v>0</v>
      </c>
    </row>
    <row r="133" spans="1:11" ht="18" customHeight="1">
      <c r="A133" s="427" t="s">
        <v>160</v>
      </c>
      <c r="B133" s="1016"/>
      <c r="C133" s="1017"/>
      <c r="D133" s="1018"/>
      <c r="F133" s="435"/>
      <c r="G133" s="435"/>
      <c r="H133" s="433"/>
      <c r="I133" s="434">
        <v>0</v>
      </c>
      <c r="J133" s="433"/>
      <c r="K133" s="432">
        <f>(H133+I133)-J133</f>
        <v>0</v>
      </c>
    </row>
    <row r="134" spans="1:11" ht="18" customHeight="1">
      <c r="A134" s="427" t="s">
        <v>161</v>
      </c>
      <c r="B134" s="1016"/>
      <c r="C134" s="1017"/>
      <c r="D134" s="1018"/>
      <c r="F134" s="435"/>
      <c r="G134" s="435"/>
      <c r="H134" s="433"/>
      <c r="I134" s="434">
        <v>0</v>
      </c>
      <c r="J134" s="433"/>
      <c r="K134" s="432">
        <f>(H134+I134)-J134</f>
        <v>0</v>
      </c>
    </row>
    <row r="135" spans="1:11" ht="18" customHeight="1">
      <c r="A135" s="427" t="s">
        <v>162</v>
      </c>
      <c r="B135" s="1016"/>
      <c r="C135" s="1017"/>
      <c r="D135" s="1018"/>
      <c r="F135" s="435"/>
      <c r="G135" s="435"/>
      <c r="H135" s="433"/>
      <c r="I135" s="434">
        <v>0</v>
      </c>
      <c r="J135" s="433"/>
      <c r="K135" s="432">
        <f>(H135+I135)-J135</f>
        <v>0</v>
      </c>
    </row>
    <row r="136" spans="1:11" ht="18" customHeight="1">
      <c r="A136" s="422"/>
    </row>
    <row r="137" spans="1:11" ht="18" customHeight="1">
      <c r="A137" s="422" t="s">
        <v>163</v>
      </c>
      <c r="B137" s="419" t="s">
        <v>27</v>
      </c>
      <c r="F137" s="425">
        <f t="shared" ref="F137:K137" si="13">SUM(F131:F135)</f>
        <v>0</v>
      </c>
      <c r="G137" s="425">
        <f t="shared" si="13"/>
        <v>0</v>
      </c>
      <c r="H137" s="432">
        <f t="shared" si="13"/>
        <v>0</v>
      </c>
      <c r="I137" s="432">
        <f t="shared" si="13"/>
        <v>0</v>
      </c>
      <c r="J137" s="432">
        <f t="shared" si="13"/>
        <v>0</v>
      </c>
      <c r="K137" s="432">
        <f t="shared" si="13"/>
        <v>0</v>
      </c>
    </row>
    <row r="138" spans="1:11" ht="18" customHeight="1">
      <c r="A138" s="418"/>
    </row>
    <row r="139" spans="1:11" ht="42.75" customHeight="1">
      <c r="F139" s="431" t="s">
        <v>9</v>
      </c>
      <c r="G139" s="431" t="s">
        <v>37</v>
      </c>
      <c r="H139" s="431" t="s">
        <v>29</v>
      </c>
      <c r="I139" s="431" t="s">
        <v>30</v>
      </c>
      <c r="J139" s="431" t="s">
        <v>33</v>
      </c>
      <c r="K139" s="431" t="s">
        <v>34</v>
      </c>
    </row>
    <row r="140" spans="1:11" ht="18" customHeight="1">
      <c r="A140" s="422" t="s">
        <v>166</v>
      </c>
      <c r="B140" s="419" t="s">
        <v>26</v>
      </c>
    </row>
    <row r="141" spans="1:11" ht="18" customHeight="1">
      <c r="A141" s="427" t="s">
        <v>137</v>
      </c>
      <c r="B141" s="419" t="s">
        <v>64</v>
      </c>
      <c r="F141" s="430">
        <f t="shared" ref="F141:K141" si="14">F36</f>
        <v>3058.5</v>
      </c>
      <c r="G141" s="430">
        <f t="shared" si="14"/>
        <v>4120</v>
      </c>
      <c r="H141" s="581">
        <f t="shared" si="14"/>
        <v>1048443</v>
      </c>
      <c r="I141" s="581">
        <f t="shared" si="14"/>
        <v>289568</v>
      </c>
      <c r="J141" s="581">
        <f t="shared" si="14"/>
        <v>401959</v>
      </c>
      <c r="K141" s="581">
        <f t="shared" si="14"/>
        <v>936052</v>
      </c>
    </row>
    <row r="142" spans="1:11" ht="18" customHeight="1">
      <c r="A142" s="427" t="s">
        <v>142</v>
      </c>
      <c r="B142" s="419" t="s">
        <v>65</v>
      </c>
      <c r="F142" s="430">
        <f t="shared" ref="F142:K142" si="15">F49</f>
        <v>202322</v>
      </c>
      <c r="G142" s="430">
        <f t="shared" si="15"/>
        <v>766</v>
      </c>
      <c r="H142" s="581">
        <f t="shared" si="15"/>
        <v>12540782</v>
      </c>
      <c r="I142" s="581">
        <f t="shared" si="15"/>
        <v>7016608</v>
      </c>
      <c r="J142" s="581">
        <f t="shared" si="15"/>
        <v>0</v>
      </c>
      <c r="K142" s="581">
        <f t="shared" si="15"/>
        <v>19557390</v>
      </c>
    </row>
    <row r="143" spans="1:11" ht="18" customHeight="1">
      <c r="A143" s="427" t="s">
        <v>144</v>
      </c>
      <c r="B143" s="419" t="s">
        <v>66</v>
      </c>
      <c r="F143" s="430">
        <f t="shared" ref="F143:K143" si="16">F64</f>
        <v>0</v>
      </c>
      <c r="G143" s="430">
        <f t="shared" si="16"/>
        <v>0</v>
      </c>
      <c r="H143" s="581">
        <f t="shared" si="16"/>
        <v>17513007</v>
      </c>
      <c r="I143" s="581">
        <f t="shared" si="16"/>
        <v>1072478</v>
      </c>
      <c r="J143" s="581">
        <f t="shared" si="16"/>
        <v>13055529.669999998</v>
      </c>
      <c r="K143" s="581">
        <f t="shared" si="16"/>
        <v>5529955.330000001</v>
      </c>
    </row>
    <row r="144" spans="1:11" ht="18" customHeight="1">
      <c r="A144" s="427" t="s">
        <v>146</v>
      </c>
      <c r="B144" s="419" t="s">
        <v>67</v>
      </c>
      <c r="F144" s="430">
        <f t="shared" ref="F144:K144" si="17">F74</f>
        <v>0</v>
      </c>
      <c r="G144" s="430">
        <f t="shared" si="17"/>
        <v>0</v>
      </c>
      <c r="H144" s="581">
        <f t="shared" si="17"/>
        <v>984990</v>
      </c>
      <c r="I144" s="581">
        <f t="shared" si="17"/>
        <v>591979</v>
      </c>
      <c r="J144" s="581">
        <f t="shared" si="17"/>
        <v>0</v>
      </c>
      <c r="K144" s="581">
        <f t="shared" si="17"/>
        <v>1576969</v>
      </c>
    </row>
    <row r="145" spans="1:11" ht="18" customHeight="1">
      <c r="A145" s="427" t="s">
        <v>148</v>
      </c>
      <c r="B145" s="419" t="s">
        <v>68</v>
      </c>
      <c r="F145" s="430">
        <f t="shared" ref="F145:K145" si="18">F82</f>
        <v>0</v>
      </c>
      <c r="G145" s="430">
        <f t="shared" si="18"/>
        <v>0</v>
      </c>
      <c r="H145" s="581">
        <f t="shared" si="18"/>
        <v>38342</v>
      </c>
      <c r="I145" s="581">
        <f t="shared" si="18"/>
        <v>764</v>
      </c>
      <c r="J145" s="581">
        <f t="shared" si="18"/>
        <v>0</v>
      </c>
      <c r="K145" s="581">
        <f t="shared" si="18"/>
        <v>39106</v>
      </c>
    </row>
    <row r="146" spans="1:11" ht="18" customHeight="1">
      <c r="A146" s="427" t="s">
        <v>150</v>
      </c>
      <c r="B146" s="419" t="s">
        <v>69</v>
      </c>
      <c r="F146" s="430">
        <f t="shared" ref="F146:K146" si="19">F98</f>
        <v>0</v>
      </c>
      <c r="G146" s="430">
        <f t="shared" si="19"/>
        <v>0</v>
      </c>
      <c r="H146" s="581">
        <f t="shared" si="19"/>
        <v>151837</v>
      </c>
      <c r="I146" s="581">
        <f t="shared" si="19"/>
        <v>72785</v>
      </c>
      <c r="J146" s="581">
        <f t="shared" si="19"/>
        <v>15817</v>
      </c>
      <c r="K146" s="581">
        <f t="shared" si="19"/>
        <v>208805</v>
      </c>
    </row>
    <row r="147" spans="1:11" ht="18" customHeight="1">
      <c r="A147" s="427" t="s">
        <v>153</v>
      </c>
      <c r="B147" s="419" t="s">
        <v>61</v>
      </c>
      <c r="F147" s="425">
        <f t="shared" ref="F147:K147" si="20">F108</f>
        <v>40</v>
      </c>
      <c r="G147" s="425">
        <f t="shared" si="20"/>
        <v>0</v>
      </c>
      <c r="H147" s="581">
        <f t="shared" si="20"/>
        <v>61805</v>
      </c>
      <c r="I147" s="581">
        <f t="shared" si="20"/>
        <v>1388</v>
      </c>
      <c r="J147" s="581">
        <f t="shared" si="20"/>
        <v>0</v>
      </c>
      <c r="K147" s="581">
        <f t="shared" si="20"/>
        <v>63193</v>
      </c>
    </row>
    <row r="148" spans="1:11" ht="18" customHeight="1">
      <c r="A148" s="427" t="s">
        <v>155</v>
      </c>
      <c r="B148" s="419" t="s">
        <v>70</v>
      </c>
      <c r="F148" s="426" t="s">
        <v>73</v>
      </c>
      <c r="G148" s="426" t="s">
        <v>73</v>
      </c>
      <c r="H148" s="581" t="s">
        <v>73</v>
      </c>
      <c r="I148" s="581" t="s">
        <v>73</v>
      </c>
      <c r="J148" s="581" t="s">
        <v>73</v>
      </c>
      <c r="K148" s="581">
        <f>F111</f>
        <v>4022477.38</v>
      </c>
    </row>
    <row r="149" spans="1:11" ht="18" customHeight="1">
      <c r="A149" s="427" t="s">
        <v>163</v>
      </c>
      <c r="B149" s="419" t="s">
        <v>71</v>
      </c>
      <c r="F149" s="425">
        <f t="shared" ref="F149:K149" si="21">F137</f>
        <v>0</v>
      </c>
      <c r="G149" s="425">
        <f t="shared" si="21"/>
        <v>0</v>
      </c>
      <c r="H149" s="581">
        <f t="shared" si="21"/>
        <v>0</v>
      </c>
      <c r="I149" s="581">
        <f t="shared" si="21"/>
        <v>0</v>
      </c>
      <c r="J149" s="581">
        <f t="shared" si="21"/>
        <v>0</v>
      </c>
      <c r="K149" s="581">
        <f t="shared" si="21"/>
        <v>0</v>
      </c>
    </row>
    <row r="150" spans="1:11" ht="18" customHeight="1">
      <c r="A150" s="427" t="s">
        <v>185</v>
      </c>
      <c r="B150" s="419" t="s">
        <v>186</v>
      </c>
      <c r="F150" s="426" t="s">
        <v>73</v>
      </c>
      <c r="G150" s="426" t="s">
        <v>73</v>
      </c>
      <c r="H150" s="581">
        <f>H18</f>
        <v>10067270</v>
      </c>
      <c r="I150" s="581">
        <f>I18</f>
        <v>0</v>
      </c>
      <c r="J150" s="581">
        <f>J18</f>
        <v>8608774</v>
      </c>
      <c r="K150" s="581">
        <f>K18</f>
        <v>1458496</v>
      </c>
    </row>
    <row r="151" spans="1:11" ht="18" customHeight="1">
      <c r="B151" s="419"/>
      <c r="F151" s="424"/>
      <c r="G151" s="424"/>
      <c r="H151" s="582"/>
      <c r="I151" s="582"/>
      <c r="J151" s="582"/>
      <c r="K151" s="582"/>
    </row>
    <row r="152" spans="1:11" ht="18" customHeight="1">
      <c r="A152" s="422" t="s">
        <v>165</v>
      </c>
      <c r="B152" s="419" t="s">
        <v>26</v>
      </c>
      <c r="F152" s="423">
        <f t="shared" ref="F152:K152" si="22">SUM(F141:F150)</f>
        <v>205420.5</v>
      </c>
      <c r="G152" s="423">
        <f t="shared" si="22"/>
        <v>4886</v>
      </c>
      <c r="H152" s="581">
        <f t="shared" si="22"/>
        <v>42406476</v>
      </c>
      <c r="I152" s="581">
        <f t="shared" si="22"/>
        <v>9045570</v>
      </c>
      <c r="J152" s="581">
        <f t="shared" si="22"/>
        <v>22082079.669999998</v>
      </c>
      <c r="K152" s="581">
        <f t="shared" si="22"/>
        <v>33392443.710000001</v>
      </c>
    </row>
    <row r="153" spans="1:11" ht="18" customHeight="1">
      <c r="K153" s="583"/>
    </row>
    <row r="154" spans="1:11" ht="18" customHeight="1">
      <c r="A154" s="422" t="s">
        <v>168</v>
      </c>
      <c r="B154" s="419" t="s">
        <v>28</v>
      </c>
      <c r="F154" s="421">
        <f>K152/F121</f>
        <v>7.9367475799430931E-2</v>
      </c>
      <c r="H154" s="583"/>
      <c r="J154" s="583"/>
      <c r="K154" s="583"/>
    </row>
    <row r="155" spans="1:11" ht="18" customHeight="1">
      <c r="A155" s="422" t="s">
        <v>169</v>
      </c>
      <c r="B155" s="419" t="s">
        <v>72</v>
      </c>
      <c r="F155" s="421">
        <f>K152/F127</f>
        <v>3.4856519865672251</v>
      </c>
      <c r="G155" s="419"/>
      <c r="H155" s="583"/>
      <c r="J155" s="583"/>
    </row>
    <row r="156" spans="1:11" ht="18" customHeight="1">
      <c r="G156" s="419"/>
    </row>
  </sheetData>
  <mergeCells count="34">
    <mergeCell ref="B41:C41"/>
    <mergeCell ref="D2:H2"/>
    <mergeCell ref="C5:G5"/>
    <mergeCell ref="C6:G6"/>
    <mergeCell ref="C7:G7"/>
    <mergeCell ref="C9:G9"/>
    <mergeCell ref="C10:G10"/>
    <mergeCell ref="C11:G11"/>
    <mergeCell ref="B13:H13"/>
    <mergeCell ref="B30:D30"/>
    <mergeCell ref="B31:D31"/>
    <mergeCell ref="B34:D34"/>
    <mergeCell ref="B90:C90"/>
    <mergeCell ref="B44:D44"/>
    <mergeCell ref="B45:D45"/>
    <mergeCell ref="B46:D46"/>
    <mergeCell ref="B47:D47"/>
    <mergeCell ref="B52:C52"/>
    <mergeCell ref="B53:D53"/>
    <mergeCell ref="B55:D55"/>
    <mergeCell ref="B56:D56"/>
    <mergeCell ref="B57:D57"/>
    <mergeCell ref="B59:D59"/>
    <mergeCell ref="B62:D62"/>
    <mergeCell ref="B106:D106"/>
    <mergeCell ref="B133:D133"/>
    <mergeCell ref="B134:D134"/>
    <mergeCell ref="B135:D135"/>
    <mergeCell ref="B94:D94"/>
    <mergeCell ref="B95:D95"/>
    <mergeCell ref="B96:D96"/>
    <mergeCell ref="B103:C103"/>
    <mergeCell ref="B104:D104"/>
    <mergeCell ref="B105:D105"/>
  </mergeCells>
  <hyperlinks>
    <hyperlink ref="C11" r:id="rId1"/>
  </hyperlinks>
  <pageMargins left="0.7" right="0.7" top="0.75" bottom="0.75" header="0.3" footer="0.3"/>
  <pageSetup paperSize="218" scale="5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53"/>
  <sheetViews>
    <sheetView zoomScale="90" zoomScaleNormal="90" workbookViewId="0">
      <selection activeCell="E2" sqref="E2"/>
    </sheetView>
  </sheetViews>
  <sheetFormatPr defaultRowHeight="15.75"/>
  <cols>
    <col min="1" max="1" width="11.85546875" style="352" customWidth="1"/>
    <col min="2" max="2" width="38.7109375" style="352" customWidth="1"/>
    <col min="3" max="3" width="24.42578125" style="353" bestFit="1" customWidth="1"/>
    <col min="4" max="4" width="13.140625" style="350" customWidth="1"/>
    <col min="5" max="5" width="22" style="354" bestFit="1" customWidth="1"/>
    <col min="6" max="6" width="14" style="349" bestFit="1" customWidth="1"/>
    <col min="7" max="7" width="20.7109375" style="349" bestFit="1" customWidth="1"/>
    <col min="8" max="8" width="15.140625" style="349" customWidth="1"/>
    <col min="9" max="9" width="16.85546875" style="349" bestFit="1" customWidth="1"/>
    <col min="10" max="10" width="12" style="349" bestFit="1" customWidth="1"/>
    <col min="11" max="14" width="9.140625" style="349"/>
    <col min="15" max="15" width="13.85546875" style="349" bestFit="1" customWidth="1"/>
    <col min="16" max="16384" width="9.140625" style="349"/>
  </cols>
  <sheetData>
    <row r="1" spans="1:15" ht="66.75" customHeight="1">
      <c r="B1" s="887" t="s">
        <v>923</v>
      </c>
      <c r="C1" s="887"/>
      <c r="D1" s="887"/>
      <c r="E1" s="887"/>
      <c r="F1" s="887"/>
      <c r="G1" s="842"/>
    </row>
    <row r="2" spans="1:15" ht="31.5">
      <c r="A2" s="805" t="s">
        <v>924</v>
      </c>
      <c r="B2" s="805" t="s">
        <v>925</v>
      </c>
      <c r="C2" s="806" t="s">
        <v>962</v>
      </c>
      <c r="D2" s="807" t="s">
        <v>198</v>
      </c>
      <c r="E2" s="808" t="s">
        <v>683</v>
      </c>
      <c r="F2" s="807" t="s">
        <v>684</v>
      </c>
      <c r="G2" s="807" t="s">
        <v>685</v>
      </c>
      <c r="H2"/>
      <c r="I2"/>
      <c r="J2"/>
      <c r="K2"/>
    </row>
    <row r="3" spans="1:15">
      <c r="A3" s="809">
        <v>1</v>
      </c>
      <c r="B3" s="809" t="s">
        <v>199</v>
      </c>
      <c r="C3" s="810">
        <v>312302400</v>
      </c>
      <c r="D3" s="821">
        <v>6.1717422484661236E-2</v>
      </c>
      <c r="E3" s="811">
        <f>D3*C3</f>
        <v>19274499.163773667</v>
      </c>
      <c r="F3" s="812">
        <v>0.26047064337839115</v>
      </c>
      <c r="G3" s="813">
        <f>F3*E3</f>
        <v>5020441.197984389</v>
      </c>
      <c r="H3"/>
      <c r="I3"/>
      <c r="J3"/>
      <c r="K3"/>
    </row>
    <row r="4" spans="1:15">
      <c r="A4" s="809">
        <v>2</v>
      </c>
      <c r="B4" s="809" t="s">
        <v>285</v>
      </c>
      <c r="C4" s="810">
        <v>1313670900</v>
      </c>
      <c r="D4" s="821">
        <v>4.6506372138872133E-2</v>
      </c>
      <c r="E4" s="811">
        <f t="shared" ref="E4:E50" si="0">D4*C4</f>
        <v>61094067.743407078</v>
      </c>
      <c r="F4" s="812">
        <v>0.63778651869029934</v>
      </c>
      <c r="G4" s="813">
        <f t="shared" ref="G4:G50" si="1">F4*E4</f>
        <v>38964972.77869691</v>
      </c>
      <c r="H4" s="843">
        <f>G4+G50</f>
        <v>57147372.12642327</v>
      </c>
      <c r="K4"/>
      <c r="O4" s="351"/>
    </row>
    <row r="5" spans="1:15">
      <c r="A5" s="809">
        <v>3</v>
      </c>
      <c r="B5" s="809" t="s">
        <v>926</v>
      </c>
      <c r="C5" s="810">
        <v>279091000</v>
      </c>
      <c r="D5" s="821">
        <v>0.14979287245369238</v>
      </c>
      <c r="E5" s="811">
        <f t="shared" si="0"/>
        <v>41805842.565973461</v>
      </c>
      <c r="F5" s="812">
        <v>0.58460119790225673</v>
      </c>
      <c r="G5" s="813">
        <f t="shared" si="1"/>
        <v>24439745.643381238</v>
      </c>
      <c r="H5"/>
      <c r="I5"/>
      <c r="J5"/>
      <c r="K5"/>
    </row>
    <row r="6" spans="1:15">
      <c r="A6" s="809">
        <v>4</v>
      </c>
      <c r="B6" s="809" t="s">
        <v>927</v>
      </c>
      <c r="C6" s="810">
        <v>480562300</v>
      </c>
      <c r="D6" s="821">
        <v>8.5295585593472625E-2</v>
      </c>
      <c r="E6" s="811">
        <f t="shared" si="0"/>
        <v>40989842.792646073</v>
      </c>
      <c r="F6" s="812">
        <v>0.70087784809635911</v>
      </c>
      <c r="G6" s="813">
        <f t="shared" si="1"/>
        <v>28728872.810317833</v>
      </c>
      <c r="H6"/>
      <c r="I6"/>
      <c r="J6"/>
      <c r="K6"/>
    </row>
    <row r="7" spans="1:15">
      <c r="A7" s="809">
        <v>5</v>
      </c>
      <c r="B7" s="809" t="s">
        <v>928</v>
      </c>
      <c r="C7" s="810">
        <v>346609902</v>
      </c>
      <c r="D7" s="821">
        <v>5.4309322819726849E-2</v>
      </c>
      <c r="E7" s="811">
        <f t="shared" si="0"/>
        <v>18824149.060231887</v>
      </c>
      <c r="F7" s="812">
        <v>0.83281963338507559</v>
      </c>
      <c r="G7" s="813">
        <f t="shared" si="1"/>
        <v>15677120.919128336</v>
      </c>
      <c r="H7"/>
      <c r="I7"/>
      <c r="J7"/>
      <c r="K7"/>
    </row>
    <row r="8" spans="1:15">
      <c r="A8" s="809">
        <v>6</v>
      </c>
      <c r="B8" s="809" t="s">
        <v>929</v>
      </c>
      <c r="C8" s="810">
        <v>104703700</v>
      </c>
      <c r="D8" s="821">
        <v>9.2403708019664216E-2</v>
      </c>
      <c r="E8" s="811">
        <f t="shared" si="0"/>
        <v>9675010.1233785152</v>
      </c>
      <c r="F8" s="812">
        <v>0.32889130922253912</v>
      </c>
      <c r="G8" s="813">
        <f t="shared" si="1"/>
        <v>3182026.7462192797</v>
      </c>
      <c r="H8"/>
      <c r="I8"/>
      <c r="J8"/>
      <c r="K8"/>
    </row>
    <row r="9" spans="1:15">
      <c r="A9" s="809">
        <v>8</v>
      </c>
      <c r="B9" s="809" t="s">
        <v>930</v>
      </c>
      <c r="C9" s="810">
        <v>495805900</v>
      </c>
      <c r="D9" s="821">
        <v>5.3962672411476939E-2</v>
      </c>
      <c r="E9" s="811">
        <f t="shared" si="0"/>
        <v>26755011.361377493</v>
      </c>
      <c r="F9" s="812">
        <v>0.56135733607967742</v>
      </c>
      <c r="G9" s="813">
        <f t="shared" si="1"/>
        <v>15019121.904604373</v>
      </c>
      <c r="H9"/>
      <c r="I9"/>
      <c r="J9"/>
      <c r="K9"/>
    </row>
    <row r="10" spans="1:15">
      <c r="A10" s="809">
        <v>9</v>
      </c>
      <c r="B10" s="809" t="s">
        <v>931</v>
      </c>
      <c r="C10" s="810">
        <v>2209868500</v>
      </c>
      <c r="D10" s="821">
        <v>3.5294369148982138E-2</v>
      </c>
      <c r="E10" s="811">
        <f t="shared" si="0"/>
        <v>77995914.60970743</v>
      </c>
      <c r="F10" s="812">
        <v>0.60906133763561132</v>
      </c>
      <c r="G10" s="813">
        <f t="shared" si="1"/>
        <v>47504296.082301326</v>
      </c>
      <c r="H10"/>
      <c r="I10"/>
      <c r="J10"/>
      <c r="K10"/>
    </row>
    <row r="11" spans="1:15">
      <c r="A11" s="809">
        <v>10</v>
      </c>
      <c r="B11" s="809" t="s">
        <v>932</v>
      </c>
      <c r="C11" s="810">
        <v>56007200</v>
      </c>
      <c r="D11" s="821">
        <v>5.5800559671440125E-2</v>
      </c>
      <c r="E11" s="811">
        <f t="shared" si="0"/>
        <v>3125233.1056302814</v>
      </c>
      <c r="F11" s="812">
        <v>0.40522459278118211</v>
      </c>
      <c r="G11" s="813">
        <f t="shared" si="1"/>
        <v>1266421.3125753</v>
      </c>
      <c r="H11"/>
      <c r="I11"/>
      <c r="J11"/>
      <c r="K11"/>
    </row>
    <row r="12" spans="1:15">
      <c r="A12" s="809">
        <v>11</v>
      </c>
      <c r="B12" s="809" t="s">
        <v>933</v>
      </c>
      <c r="C12" s="810">
        <v>418876800</v>
      </c>
      <c r="D12" s="821">
        <v>6.6872720028968491E-2</v>
      </c>
      <c r="E12" s="811">
        <f t="shared" si="0"/>
        <v>28011430.973030228</v>
      </c>
      <c r="F12" s="812">
        <v>0.73569148922720806</v>
      </c>
      <c r="G12" s="813">
        <f t="shared" si="1"/>
        <v>20607771.36793375</v>
      </c>
      <c r="H12"/>
      <c r="I12"/>
      <c r="J12"/>
      <c r="K12"/>
    </row>
    <row r="13" spans="1:15">
      <c r="A13" s="814">
        <v>12</v>
      </c>
      <c r="B13" s="814" t="s">
        <v>934</v>
      </c>
      <c r="C13" s="815">
        <v>717312400</v>
      </c>
      <c r="D13" s="821">
        <v>4.7273451324343942E-2</v>
      </c>
      <c r="E13" s="811">
        <f t="shared" si="0"/>
        <v>33909832.825748332</v>
      </c>
      <c r="F13" s="812">
        <v>0.13857520942693688</v>
      </c>
      <c r="G13" s="813">
        <f t="shared" si="1"/>
        <v>4699062.1854604939</v>
      </c>
      <c r="H13"/>
      <c r="I13"/>
      <c r="J13"/>
      <c r="K13"/>
    </row>
    <row r="14" spans="1:15">
      <c r="A14" s="809">
        <v>13</v>
      </c>
      <c r="B14" s="809" t="s">
        <v>203</v>
      </c>
      <c r="C14" s="810">
        <v>117217800</v>
      </c>
      <c r="D14" s="821">
        <v>0.11785164789629485</v>
      </c>
      <c r="E14" s="811">
        <f t="shared" si="0"/>
        <v>13814310.892778311</v>
      </c>
      <c r="F14" s="812">
        <v>0.42221724508224939</v>
      </c>
      <c r="G14" s="813">
        <f t="shared" si="1"/>
        <v>5832640.2878585672</v>
      </c>
      <c r="H14"/>
      <c r="I14"/>
      <c r="J14"/>
      <c r="K14"/>
    </row>
    <row r="15" spans="1:15">
      <c r="A15" s="809">
        <v>15</v>
      </c>
      <c r="B15" s="809" t="s">
        <v>935</v>
      </c>
      <c r="C15" s="810">
        <v>491172800</v>
      </c>
      <c r="D15" s="821">
        <v>6.7976370254107688E-2</v>
      </c>
      <c r="E15" s="811">
        <f t="shared" si="0"/>
        <v>33388144.111546785</v>
      </c>
      <c r="F15" s="812">
        <v>0.29904773059269041</v>
      </c>
      <c r="G15" s="813">
        <f t="shared" si="1"/>
        <v>9984648.725259766</v>
      </c>
      <c r="H15"/>
      <c r="I15"/>
      <c r="J15"/>
      <c r="K15"/>
    </row>
    <row r="16" spans="1:15">
      <c r="A16" s="814">
        <v>16</v>
      </c>
      <c r="B16" s="814" t="s">
        <v>936</v>
      </c>
      <c r="C16" s="815">
        <v>260621900</v>
      </c>
      <c r="D16" s="821">
        <v>0.12775067861503883</v>
      </c>
      <c r="E16" s="811">
        <f t="shared" si="0"/>
        <v>33294624.586940788</v>
      </c>
      <c r="F16" s="812">
        <v>0.55659893486285361</v>
      </c>
      <c r="G16" s="813">
        <f t="shared" si="1"/>
        <v>18531752.581749819</v>
      </c>
      <c r="H16"/>
      <c r="I16"/>
      <c r="J16"/>
      <c r="K16"/>
    </row>
    <row r="17" spans="1:11">
      <c r="A17" s="809">
        <v>17</v>
      </c>
      <c r="B17" s="809" t="s">
        <v>937</v>
      </c>
      <c r="C17" s="810">
        <v>44693600.000000007</v>
      </c>
      <c r="D17" s="821">
        <v>9.3571855234495543E-2</v>
      </c>
      <c r="E17" s="811">
        <f t="shared" si="0"/>
        <v>4182063.0691084508</v>
      </c>
      <c r="F17" s="812">
        <v>0.67027755205773953</v>
      </c>
      <c r="G17" s="813">
        <f t="shared" si="1"/>
        <v>2803142.9965130896</v>
      </c>
      <c r="H17"/>
      <c r="I17"/>
      <c r="J17"/>
      <c r="K17"/>
    </row>
    <row r="18" spans="1:11">
      <c r="A18" s="809">
        <v>18</v>
      </c>
      <c r="B18" s="809" t="s">
        <v>938</v>
      </c>
      <c r="C18" s="810">
        <v>174302200</v>
      </c>
      <c r="D18" s="821">
        <v>6.2478548123544142E-2</v>
      </c>
      <c r="E18" s="811">
        <f t="shared" si="0"/>
        <v>10890148.390739616</v>
      </c>
      <c r="F18" s="812">
        <v>0.38212789223582722</v>
      </c>
      <c r="G18" s="813">
        <f t="shared" si="1"/>
        <v>4161429.4506887151</v>
      </c>
      <c r="H18"/>
      <c r="I18"/>
      <c r="J18"/>
      <c r="K18"/>
    </row>
    <row r="19" spans="1:11">
      <c r="A19" s="809">
        <v>19</v>
      </c>
      <c r="B19" s="809" t="s">
        <v>939</v>
      </c>
      <c r="C19" s="810">
        <v>422383500</v>
      </c>
      <c r="D19" s="821">
        <v>5.4053490147474396E-2</v>
      </c>
      <c r="E19" s="811">
        <f t="shared" si="0"/>
        <v>22831302.355705753</v>
      </c>
      <c r="F19" s="812">
        <v>0.37813548210523634</v>
      </c>
      <c r="G19" s="813">
        <f t="shared" si="1"/>
        <v>8633325.5233652126</v>
      </c>
      <c r="H19"/>
      <c r="I19"/>
      <c r="J19"/>
      <c r="K19"/>
    </row>
    <row r="20" spans="1:11">
      <c r="A20" s="809">
        <v>22</v>
      </c>
      <c r="B20" s="809" t="s">
        <v>940</v>
      </c>
      <c r="C20" s="810">
        <v>295844600</v>
      </c>
      <c r="D20" s="821">
        <v>5.0533454244516995E-2</v>
      </c>
      <c r="E20" s="811">
        <f t="shared" si="0"/>
        <v>14950049.557587434</v>
      </c>
      <c r="F20" s="812">
        <v>0.34543448120951359</v>
      </c>
      <c r="G20" s="813">
        <f t="shared" si="1"/>
        <v>5164262.6129817329</v>
      </c>
      <c r="H20"/>
      <c r="I20"/>
      <c r="J20"/>
      <c r="K20"/>
    </row>
    <row r="21" spans="1:11">
      <c r="A21" s="809">
        <v>23</v>
      </c>
      <c r="B21" s="809" t="s">
        <v>941</v>
      </c>
      <c r="C21" s="810">
        <v>562952500</v>
      </c>
      <c r="D21" s="821">
        <v>4.2877859896333415E-2</v>
      </c>
      <c r="E21" s="811">
        <f t="shared" si="0"/>
        <v>24138198.423290636</v>
      </c>
      <c r="F21" s="812">
        <v>0.15803348062939843</v>
      </c>
      <c r="G21" s="813">
        <f t="shared" si="1"/>
        <v>3814643.5129556763</v>
      </c>
      <c r="H21"/>
      <c r="I21"/>
      <c r="J21"/>
      <c r="K21"/>
    </row>
    <row r="22" spans="1:11">
      <c r="A22" s="809">
        <v>24</v>
      </c>
      <c r="B22" s="809" t="s">
        <v>942</v>
      </c>
      <c r="C22" s="810">
        <v>419374600</v>
      </c>
      <c r="D22" s="821">
        <v>6.0329627861572338E-2</v>
      </c>
      <c r="E22" s="811">
        <f t="shared" si="0"/>
        <v>25300713.552595753</v>
      </c>
      <c r="F22" s="812">
        <v>0.27092614405072457</v>
      </c>
      <c r="G22" s="813">
        <f t="shared" si="1"/>
        <v>6854624.764536676</v>
      </c>
      <c r="H22"/>
      <c r="I22"/>
      <c r="J22"/>
      <c r="K22"/>
    </row>
    <row r="23" spans="1:11">
      <c r="A23" s="809">
        <v>27</v>
      </c>
      <c r="B23" s="809" t="s">
        <v>943</v>
      </c>
      <c r="C23" s="810">
        <v>322958900</v>
      </c>
      <c r="D23" s="821">
        <v>5.4321724779745353E-2</v>
      </c>
      <c r="E23" s="811">
        <f t="shared" si="0"/>
        <v>17543684.480969302</v>
      </c>
      <c r="F23" s="812">
        <v>0.5945675464145036</v>
      </c>
      <c r="G23" s="813">
        <f t="shared" si="1"/>
        <v>10430905.436920121</v>
      </c>
      <c r="H23"/>
      <c r="I23"/>
      <c r="J23"/>
      <c r="K23"/>
    </row>
    <row r="24" spans="1:11">
      <c r="A24" s="809">
        <v>28</v>
      </c>
      <c r="B24" s="809" t="s">
        <v>944</v>
      </c>
      <c r="C24" s="810">
        <v>166124099.99999997</v>
      </c>
      <c r="D24" s="821">
        <v>6.3216224097169399E-2</v>
      </c>
      <c r="E24" s="811">
        <f t="shared" si="0"/>
        <v>10501738.333540577</v>
      </c>
      <c r="F24" s="812">
        <v>0.20049358247775634</v>
      </c>
      <c r="G24" s="813">
        <f t="shared" si="1"/>
        <v>2105531.1407355331</v>
      </c>
      <c r="H24"/>
      <c r="I24"/>
      <c r="J24"/>
      <c r="K24"/>
    </row>
    <row r="25" spans="1:11">
      <c r="A25" s="809">
        <v>29</v>
      </c>
      <c r="B25" s="809" t="s">
        <v>945</v>
      </c>
      <c r="C25" s="810">
        <v>618220800</v>
      </c>
      <c r="D25" s="821">
        <v>6.976923538176806E-2</v>
      </c>
      <c r="E25" s="811">
        <f t="shared" si="0"/>
        <v>43132792.513104953</v>
      </c>
      <c r="F25" s="812">
        <v>0.40763648153228421</v>
      </c>
      <c r="G25" s="813">
        <f t="shared" si="1"/>
        <v>17582499.778704155</v>
      </c>
      <c r="H25"/>
      <c r="I25"/>
      <c r="J25"/>
      <c r="K25"/>
    </row>
    <row r="26" spans="1:11">
      <c r="A26" s="809">
        <v>30</v>
      </c>
      <c r="B26" s="809" t="s">
        <v>946</v>
      </c>
      <c r="C26" s="810">
        <v>64477400</v>
      </c>
      <c r="D26" s="821">
        <v>8.2413477732102045E-2</v>
      </c>
      <c r="E26" s="811">
        <f t="shared" si="0"/>
        <v>5313806.7691238364</v>
      </c>
      <c r="F26" s="812">
        <v>0.28497912537591819</v>
      </c>
      <c r="G26" s="813">
        <f t="shared" si="1"/>
        <v>1514324.0054815444</v>
      </c>
      <c r="H26"/>
      <c r="I26"/>
      <c r="J26"/>
      <c r="K26"/>
    </row>
    <row r="27" spans="1:11">
      <c r="A27" s="809">
        <v>32</v>
      </c>
      <c r="B27" s="809" t="s">
        <v>947</v>
      </c>
      <c r="C27" s="810">
        <v>157025000</v>
      </c>
      <c r="D27" s="821">
        <v>6.4290232149542437E-2</v>
      </c>
      <c r="E27" s="811">
        <f t="shared" si="0"/>
        <v>10095173.703281902</v>
      </c>
      <c r="F27" s="812">
        <v>0.11172446371138829</v>
      </c>
      <c r="G27" s="813">
        <f t="shared" si="1"/>
        <v>1127877.8680724802</v>
      </c>
      <c r="H27"/>
      <c r="I27"/>
      <c r="J27"/>
      <c r="K27"/>
    </row>
    <row r="28" spans="1:11">
      <c r="A28" s="809">
        <v>33</v>
      </c>
      <c r="B28" s="809" t="s">
        <v>811</v>
      </c>
      <c r="C28" s="810">
        <v>254037700</v>
      </c>
      <c r="D28" s="821">
        <v>4.5312647086671952E-2</v>
      </c>
      <c r="E28" s="811">
        <f t="shared" si="0"/>
        <v>11511120.646809842</v>
      </c>
      <c r="F28" s="812">
        <v>0.22393892647807848</v>
      </c>
      <c r="G28" s="813">
        <f t="shared" si="1"/>
        <v>2577788.0002062405</v>
      </c>
      <c r="H28"/>
      <c r="I28"/>
      <c r="J28"/>
      <c r="K28"/>
    </row>
    <row r="29" spans="1:11">
      <c r="A29" s="809">
        <v>34</v>
      </c>
      <c r="B29" s="809" t="s">
        <v>948</v>
      </c>
      <c r="C29" s="810">
        <v>207452600</v>
      </c>
      <c r="D29" s="821">
        <v>7.6547829972293785E-2</v>
      </c>
      <c r="E29" s="811">
        <f t="shared" si="0"/>
        <v>15880046.352110274</v>
      </c>
      <c r="F29" s="812">
        <v>0.27554046765708595</v>
      </c>
      <c r="G29" s="813">
        <f t="shared" si="1"/>
        <v>4375595.3982766671</v>
      </c>
      <c r="H29"/>
      <c r="I29"/>
      <c r="J29"/>
      <c r="K29"/>
    </row>
    <row r="30" spans="1:11">
      <c r="A30" s="809">
        <v>35</v>
      </c>
      <c r="B30" s="809" t="s">
        <v>949</v>
      </c>
      <c r="C30" s="810">
        <v>148386400.00000003</v>
      </c>
      <c r="D30" s="821">
        <v>7.3507302746419381E-2</v>
      </c>
      <c r="E30" s="811">
        <f t="shared" si="0"/>
        <v>10907484.028251287</v>
      </c>
      <c r="F30" s="812">
        <v>0.19117588189315568</v>
      </c>
      <c r="G30" s="813">
        <f t="shared" si="1"/>
        <v>2085247.8783364499</v>
      </c>
      <c r="H30"/>
      <c r="I30"/>
      <c r="J30"/>
      <c r="K30"/>
    </row>
    <row r="31" spans="1:11">
      <c r="A31" s="809">
        <v>37</v>
      </c>
      <c r="B31" s="809" t="s">
        <v>950</v>
      </c>
      <c r="C31" s="810">
        <v>192831500</v>
      </c>
      <c r="D31" s="821">
        <v>5.563851632467931E-2</v>
      </c>
      <c r="E31" s="811">
        <f t="shared" si="0"/>
        <v>10728858.560662398</v>
      </c>
      <c r="F31" s="812">
        <v>0.35028602352358795</v>
      </c>
      <c r="G31" s="813">
        <f t="shared" si="1"/>
        <v>3758169.2021614369</v>
      </c>
      <c r="H31"/>
      <c r="I31"/>
      <c r="J31"/>
      <c r="K31"/>
    </row>
    <row r="32" spans="1:11">
      <c r="A32" s="809">
        <v>38</v>
      </c>
      <c r="B32" s="809" t="s">
        <v>951</v>
      </c>
      <c r="C32" s="810">
        <v>228795700</v>
      </c>
      <c r="D32" s="821">
        <v>9.1360545379867458E-2</v>
      </c>
      <c r="E32" s="811">
        <f t="shared" si="0"/>
        <v>20902899.932568543</v>
      </c>
      <c r="F32" s="812">
        <v>0.57249504744183422</v>
      </c>
      <c r="G32" s="813">
        <f t="shared" si="1"/>
        <v>11966806.688567741</v>
      </c>
      <c r="H32"/>
      <c r="I32"/>
      <c r="J32"/>
      <c r="K32"/>
    </row>
    <row r="33" spans="1:11">
      <c r="A33" s="809">
        <v>39</v>
      </c>
      <c r="B33" s="809" t="s">
        <v>952</v>
      </c>
      <c r="C33" s="810">
        <v>144499900</v>
      </c>
      <c r="D33" s="821">
        <v>5.5080756076659299E-2</v>
      </c>
      <c r="E33" s="811">
        <f t="shared" si="0"/>
        <v>7959163.7450016607</v>
      </c>
      <c r="F33" s="812">
        <v>0.77892073499522996</v>
      </c>
      <c r="G33" s="813">
        <f t="shared" si="1"/>
        <v>6199557.6742040804</v>
      </c>
      <c r="H33"/>
      <c r="I33"/>
      <c r="J33"/>
      <c r="K33"/>
    </row>
    <row r="34" spans="1:11">
      <c r="A34" s="809">
        <v>40</v>
      </c>
      <c r="B34" s="809" t="s">
        <v>953</v>
      </c>
      <c r="C34" s="810">
        <v>254115899.99999994</v>
      </c>
      <c r="D34" s="821">
        <v>7.5409937430648818E-2</v>
      </c>
      <c r="E34" s="811">
        <f t="shared" si="0"/>
        <v>19162864.119133007</v>
      </c>
      <c r="F34" s="812">
        <v>0.20241568627450982</v>
      </c>
      <c r="G34" s="813">
        <f t="shared" si="1"/>
        <v>3878864.2916594874</v>
      </c>
      <c r="H34"/>
      <c r="I34"/>
      <c r="J34"/>
      <c r="K34"/>
    </row>
    <row r="35" spans="1:11">
      <c r="A35" s="816">
        <v>43</v>
      </c>
      <c r="B35" s="817" t="s">
        <v>954</v>
      </c>
      <c r="C35" s="818">
        <v>402010800</v>
      </c>
      <c r="D35" s="821">
        <v>7.7993836878297376E-2</v>
      </c>
      <c r="E35" s="811">
        <f t="shared" si="0"/>
        <v>31354364.758513831</v>
      </c>
      <c r="F35" s="812">
        <v>0.34367862580687397</v>
      </c>
      <c r="G35" s="813">
        <f t="shared" si="1"/>
        <v>10775824.99325351</v>
      </c>
      <c r="H35"/>
      <c r="I35"/>
      <c r="J35"/>
      <c r="K35"/>
    </row>
    <row r="36" spans="1:11">
      <c r="A36" s="809">
        <v>44</v>
      </c>
      <c r="B36" s="809" t="s">
        <v>207</v>
      </c>
      <c r="C36" s="810">
        <v>432707700</v>
      </c>
      <c r="D36" s="821">
        <v>3.4156733481987195E-2</v>
      </c>
      <c r="E36" s="811">
        <f t="shared" si="0"/>
        <v>14779881.584503671</v>
      </c>
      <c r="F36" s="812">
        <v>0.15627779589831034</v>
      </c>
      <c r="G36" s="813">
        <f t="shared" si="1"/>
        <v>2309767.3176642605</v>
      </c>
      <c r="H36"/>
      <c r="I36"/>
      <c r="J36"/>
      <c r="K36"/>
    </row>
    <row r="37" spans="1:11">
      <c r="A37" s="809">
        <v>45</v>
      </c>
      <c r="B37" s="809" t="s">
        <v>208</v>
      </c>
      <c r="C37" s="810">
        <v>15059800</v>
      </c>
      <c r="D37" s="821">
        <v>6.8087963703723692E-2</v>
      </c>
      <c r="E37" s="811">
        <f t="shared" si="0"/>
        <v>1025391.1157853381</v>
      </c>
      <c r="F37" s="812">
        <v>0.2131096490763979</v>
      </c>
      <c r="G37" s="813">
        <f t="shared" si="1"/>
        <v>218520.74085106948</v>
      </c>
      <c r="H37"/>
      <c r="I37"/>
      <c r="J37"/>
      <c r="K37"/>
    </row>
    <row r="38" spans="1:11">
      <c r="A38" s="809">
        <v>48</v>
      </c>
      <c r="B38" s="809" t="s">
        <v>955</v>
      </c>
      <c r="C38" s="810">
        <v>286302800</v>
      </c>
      <c r="D38" s="821">
        <v>5.7207205194638198E-2</v>
      </c>
      <c r="E38" s="811">
        <f t="shared" si="0"/>
        <v>16378583.027399462</v>
      </c>
      <c r="F38" s="812">
        <v>0.26730753014588077</v>
      </c>
      <c r="G38" s="813">
        <f t="shared" si="1"/>
        <v>4378118.576343393</v>
      </c>
      <c r="H38"/>
      <c r="I38"/>
      <c r="J38"/>
      <c r="K38"/>
    </row>
    <row r="39" spans="1:11">
      <c r="A39" s="809">
        <v>49</v>
      </c>
      <c r="B39" s="809" t="s">
        <v>956</v>
      </c>
      <c r="C39" s="810">
        <v>320267600</v>
      </c>
      <c r="D39" s="821">
        <v>5.1195619004538555E-2</v>
      </c>
      <c r="E39" s="811">
        <f t="shared" si="0"/>
        <v>16396298.029097952</v>
      </c>
      <c r="F39" s="812">
        <v>0.29408418051743229</v>
      </c>
      <c r="G39" s="813">
        <f t="shared" si="1"/>
        <v>4821891.8694068613</v>
      </c>
      <c r="H39"/>
      <c r="I39"/>
      <c r="J39"/>
      <c r="K39"/>
    </row>
    <row r="40" spans="1:11">
      <c r="A40" s="809">
        <v>51</v>
      </c>
      <c r="B40" s="809" t="s">
        <v>316</v>
      </c>
      <c r="C40" s="810">
        <v>226462500</v>
      </c>
      <c r="D40" s="821">
        <v>8.4858275994065924E-2</v>
      </c>
      <c r="E40" s="811">
        <f t="shared" si="0"/>
        <v>19217217.327306155</v>
      </c>
      <c r="F40" s="812">
        <v>0.66450744090345715</v>
      </c>
      <c r="G40" s="813">
        <f t="shared" si="1"/>
        <v>12769983.907453788</v>
      </c>
      <c r="H40"/>
      <c r="I40"/>
      <c r="J40"/>
      <c r="K40"/>
    </row>
    <row r="41" spans="1:11">
      <c r="A41" s="809">
        <v>55</v>
      </c>
      <c r="B41" s="809" t="s">
        <v>957</v>
      </c>
      <c r="C41" s="810">
        <v>106467900</v>
      </c>
      <c r="D41" s="821">
        <v>0.12300752848188561</v>
      </c>
      <c r="E41" s="811">
        <f t="shared" si="0"/>
        <v>13096353.241656549</v>
      </c>
      <c r="F41" s="812">
        <v>0.50401655215985719</v>
      </c>
      <c r="G41" s="813">
        <f t="shared" si="1"/>
        <v>6600778.8067273032</v>
      </c>
      <c r="H41"/>
      <c r="I41"/>
      <c r="J41"/>
      <c r="K41"/>
    </row>
    <row r="42" spans="1:11">
      <c r="A42" s="809">
        <v>60</v>
      </c>
      <c r="B42" s="809" t="s">
        <v>958</v>
      </c>
      <c r="C42" s="810">
        <v>48291191.999999993</v>
      </c>
      <c r="D42" s="821">
        <v>0.12233727145997267</v>
      </c>
      <c r="E42" s="811">
        <f t="shared" si="0"/>
        <v>5907812.6648296593</v>
      </c>
      <c r="F42" s="812">
        <v>0.21698788629859334</v>
      </c>
      <c r="G42" s="813">
        <f t="shared" si="1"/>
        <v>1281923.7827894478</v>
      </c>
      <c r="H42"/>
      <c r="I42"/>
      <c r="J42"/>
      <c r="K42"/>
    </row>
    <row r="43" spans="1:11">
      <c r="A43" s="814">
        <v>61</v>
      </c>
      <c r="B43" s="814" t="s">
        <v>209</v>
      </c>
      <c r="C43" s="815">
        <v>102371000</v>
      </c>
      <c r="D43" s="821">
        <v>6.4327389698138643E-2</v>
      </c>
      <c r="E43" s="811">
        <f t="shared" si="0"/>
        <v>6585259.2107881512</v>
      </c>
      <c r="F43" s="812">
        <v>0.59847611730055061</v>
      </c>
      <c r="G43" s="813">
        <f t="shared" si="1"/>
        <v>3941120.3638901808</v>
      </c>
      <c r="H43"/>
      <c r="I43"/>
      <c r="J43"/>
      <c r="K43"/>
    </row>
    <row r="44" spans="1:11">
      <c r="A44" s="809">
        <v>62</v>
      </c>
      <c r="B44" s="809" t="s">
        <v>959</v>
      </c>
      <c r="C44" s="810">
        <v>262672599.99999997</v>
      </c>
      <c r="D44" s="821">
        <v>6.5995434315813298E-2</v>
      </c>
      <c r="E44" s="811">
        <f t="shared" si="0"/>
        <v>17335192.319863897</v>
      </c>
      <c r="F44" s="812">
        <v>0.16711359581190688</v>
      </c>
      <c r="G44" s="813">
        <f t="shared" si="1"/>
        <v>2896946.3226634078</v>
      </c>
      <c r="H44"/>
      <c r="I44"/>
      <c r="J44"/>
      <c r="K44"/>
    </row>
    <row r="45" spans="1:11">
      <c r="A45" s="809">
        <v>63</v>
      </c>
      <c r="B45" s="809" t="s">
        <v>320</v>
      </c>
      <c r="C45" s="810">
        <v>390826300</v>
      </c>
      <c r="D45" s="821">
        <v>3.9046433862678954E-2</v>
      </c>
      <c r="E45" s="811">
        <f t="shared" si="0"/>
        <v>15260373.274745524</v>
      </c>
      <c r="F45" s="812">
        <v>0.49692706312350576</v>
      </c>
      <c r="G45" s="813">
        <f t="shared" si="1"/>
        <v>7583292.473587729</v>
      </c>
      <c r="H45"/>
      <c r="I45"/>
      <c r="J45"/>
      <c r="K45"/>
    </row>
    <row r="46" spans="1:11">
      <c r="A46" s="809">
        <v>64</v>
      </c>
      <c r="B46" s="809" t="s">
        <v>248</v>
      </c>
      <c r="C46" s="810">
        <v>59785479</v>
      </c>
      <c r="D46" s="821">
        <v>1.8156992512618868E-2</v>
      </c>
      <c r="E46" s="811">
        <f t="shared" si="0"/>
        <v>1085524.4945663325</v>
      </c>
      <c r="F46" s="812">
        <v>9.1443437924262919E-2</v>
      </c>
      <c r="G46" s="813">
        <f t="shared" si="1"/>
        <v>99264.091734143309</v>
      </c>
      <c r="H46"/>
      <c r="I46"/>
      <c r="J46"/>
      <c r="K46"/>
    </row>
    <row r="47" spans="1:11">
      <c r="A47" s="809">
        <v>2001</v>
      </c>
      <c r="B47" s="809" t="s">
        <v>960</v>
      </c>
      <c r="C47" s="810">
        <v>120364600</v>
      </c>
      <c r="D47" s="821">
        <v>4.6698586790761554E-2</v>
      </c>
      <c r="E47" s="811">
        <f t="shared" si="0"/>
        <v>5620856.7196352985</v>
      </c>
      <c r="F47" s="812">
        <v>0.15547162309775636</v>
      </c>
      <c r="G47" s="813">
        <f t="shared" si="1"/>
        <v>873883.71740163036</v>
      </c>
      <c r="H47"/>
      <c r="I47"/>
      <c r="J47"/>
      <c r="K47"/>
    </row>
    <row r="48" spans="1:11">
      <c r="A48" s="809">
        <v>2004</v>
      </c>
      <c r="B48" s="809" t="s">
        <v>323</v>
      </c>
      <c r="C48" s="810">
        <v>303789300</v>
      </c>
      <c r="D48" s="821">
        <v>6.4263097806678715E-2</v>
      </c>
      <c r="E48" s="811">
        <f t="shared" si="0"/>
        <v>19522441.49852246</v>
      </c>
      <c r="F48" s="812">
        <v>0.25056313455713503</v>
      </c>
      <c r="G48" s="813">
        <f t="shared" si="1"/>
        <v>4891604.1360780802</v>
      </c>
      <c r="H48"/>
      <c r="I48"/>
      <c r="J48"/>
      <c r="K48"/>
    </row>
    <row r="49" spans="1:11">
      <c r="A49" s="814">
        <v>5050</v>
      </c>
      <c r="B49" s="814" t="s">
        <v>682</v>
      </c>
      <c r="C49" s="815">
        <v>389913200</v>
      </c>
      <c r="D49" s="821">
        <v>6.7054943341518986E-2</v>
      </c>
      <c r="E49" s="811">
        <f t="shared" si="0"/>
        <v>26145607.53411036</v>
      </c>
      <c r="F49" s="812">
        <v>0.30687347944909549</v>
      </c>
      <c r="G49" s="813">
        <f t="shared" si="1"/>
        <v>8023393.5563029321</v>
      </c>
      <c r="H49"/>
      <c r="I49"/>
      <c r="J49"/>
      <c r="K49"/>
    </row>
    <row r="50" spans="1:11">
      <c r="A50" s="809">
        <v>8992</v>
      </c>
      <c r="B50" s="809" t="s">
        <v>961</v>
      </c>
      <c r="C50" s="810">
        <v>197941300</v>
      </c>
      <c r="D50" s="821">
        <v>0.21107230747836181</v>
      </c>
      <c r="E50" s="811">
        <f t="shared" si="0"/>
        <v>41779926.936266661</v>
      </c>
      <c r="F50" s="812">
        <v>0.43519461811081595</v>
      </c>
      <c r="G50" s="813">
        <f t="shared" si="1"/>
        <v>18182399.347726364</v>
      </c>
      <c r="H50" s="820"/>
      <c r="I50"/>
      <c r="J50"/>
      <c r="K50"/>
    </row>
    <row r="51" spans="1:11">
      <c r="A51" s="819"/>
      <c r="B51" s="819"/>
      <c r="C51" s="823">
        <f>SUM(C3:C50)</f>
        <v>15947534473</v>
      </c>
      <c r="D51" s="822"/>
      <c r="E51" s="824">
        <f>SUM(E3:E50)</f>
        <v>979381106.18734622</v>
      </c>
      <c r="F51" s="812"/>
      <c r="G51" s="825">
        <f>SUM(G3:G50)</f>
        <v>428142204.77171254</v>
      </c>
      <c r="H51"/>
      <c r="I51"/>
      <c r="J51"/>
      <c r="K51"/>
    </row>
    <row r="53" spans="1:11">
      <c r="B53" s="844" t="s">
        <v>973</v>
      </c>
    </row>
  </sheetData>
  <sortState ref="A3:G49">
    <sortCondition ref="A3:A49"/>
  </sortState>
  <mergeCells count="1">
    <mergeCell ref="B1:F1"/>
  </mergeCells>
  <pageMargins left="0.7" right="0.7" top="0.75" bottom="0.75" header="0.3" footer="0.3"/>
  <pageSetup scale="57"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K156"/>
  <sheetViews>
    <sheetView showGridLines="0" zoomScaleNormal="100" zoomScaleSheetLayoutView="80" workbookViewId="0">
      <selection activeCell="H18" sqref="H18"/>
    </sheetView>
  </sheetViews>
  <sheetFormatPr defaultRowHeight="18" customHeight="1"/>
  <cols>
    <col min="1" max="1" width="8.28515625" style="146" customWidth="1"/>
    <col min="2" max="2" width="55.42578125" style="147" bestFit="1" customWidth="1"/>
    <col min="3" max="3" width="9.5703125" style="147" customWidth="1"/>
    <col min="4" max="4" width="9.140625" style="147"/>
    <col min="5" max="5" width="12.42578125" style="147" customWidth="1"/>
    <col min="6" max="6" width="18.5703125" style="147" customWidth="1"/>
    <col min="7" max="7" width="23.5703125" style="147" customWidth="1"/>
    <col min="8" max="8" width="17.140625" style="147" customWidth="1"/>
    <col min="9" max="9" width="21.140625" style="147" customWidth="1"/>
    <col min="10" max="10" width="19.85546875" style="147" customWidth="1"/>
    <col min="11" max="11" width="17.5703125" style="147" customWidth="1"/>
    <col min="12" max="16384" width="9.140625" style="147"/>
  </cols>
  <sheetData>
    <row r="1" spans="1:11" ht="18" customHeight="1">
      <c r="C1" s="148"/>
      <c r="D1" s="149"/>
      <c r="E1" s="148"/>
      <c r="F1" s="148"/>
      <c r="G1" s="148"/>
      <c r="H1" s="148"/>
      <c r="I1" s="148"/>
      <c r="J1" s="148"/>
      <c r="K1" s="148"/>
    </row>
    <row r="2" spans="1:11" ht="18" customHeight="1">
      <c r="D2" s="910" t="s">
        <v>713</v>
      </c>
      <c r="E2" s="911"/>
      <c r="F2" s="911"/>
      <c r="G2" s="911"/>
      <c r="H2" s="911"/>
    </row>
    <row r="3" spans="1:11" ht="18" customHeight="1">
      <c r="B3" s="150" t="s">
        <v>0</v>
      </c>
    </row>
    <row r="5" spans="1:11" ht="18" customHeight="1">
      <c r="B5" s="151" t="s">
        <v>40</v>
      </c>
      <c r="C5" s="912" t="s">
        <v>204</v>
      </c>
      <c r="D5" s="918"/>
      <c r="E5" s="918"/>
      <c r="F5" s="918"/>
      <c r="G5" s="919"/>
    </row>
    <row r="6" spans="1:11" ht="18" customHeight="1">
      <c r="B6" s="151" t="s">
        <v>3</v>
      </c>
      <c r="C6" s="929">
        <v>210027</v>
      </c>
      <c r="D6" s="921"/>
      <c r="E6" s="921"/>
      <c r="F6" s="921"/>
      <c r="G6" s="922"/>
    </row>
    <row r="7" spans="1:11" ht="18" customHeight="1">
      <c r="B7" s="151" t="s">
        <v>4</v>
      </c>
      <c r="C7" s="930">
        <v>1826</v>
      </c>
      <c r="D7" s="924"/>
      <c r="E7" s="924"/>
      <c r="F7" s="924"/>
      <c r="G7" s="925"/>
    </row>
    <row r="9" spans="1:11" ht="18" customHeight="1">
      <c r="B9" s="151" t="s">
        <v>1</v>
      </c>
      <c r="C9" s="912" t="s">
        <v>637</v>
      </c>
      <c r="D9" s="918"/>
      <c r="E9" s="918"/>
      <c r="F9" s="918"/>
      <c r="G9" s="919"/>
    </row>
    <row r="10" spans="1:11" ht="18" customHeight="1">
      <c r="B10" s="151" t="s">
        <v>2</v>
      </c>
      <c r="C10" s="926" t="s">
        <v>638</v>
      </c>
      <c r="D10" s="927"/>
      <c r="E10" s="927"/>
      <c r="F10" s="927"/>
      <c r="G10" s="928"/>
    </row>
    <row r="11" spans="1:11" ht="18" customHeight="1">
      <c r="B11" s="151" t="s">
        <v>32</v>
      </c>
      <c r="C11" s="912" t="s">
        <v>639</v>
      </c>
      <c r="D11" s="913"/>
      <c r="E11" s="913"/>
      <c r="F11" s="913"/>
      <c r="G11" s="913"/>
    </row>
    <row r="12" spans="1:11" ht="18" customHeight="1">
      <c r="B12" s="151"/>
      <c r="C12" s="151"/>
      <c r="D12" s="151"/>
      <c r="E12" s="151"/>
      <c r="F12" s="151"/>
      <c r="G12" s="151"/>
    </row>
    <row r="13" spans="1:11" ht="24.6" customHeight="1">
      <c r="B13" s="914"/>
      <c r="C13" s="915"/>
      <c r="D13" s="915"/>
      <c r="E13" s="915"/>
      <c r="F13" s="915"/>
      <c r="G13" s="915"/>
      <c r="H13" s="916"/>
      <c r="I13" s="148"/>
    </row>
    <row r="14" spans="1:11" ht="18" customHeight="1">
      <c r="B14" s="152"/>
    </row>
    <row r="15" spans="1:11" ht="18" customHeight="1">
      <c r="B15" s="152"/>
    </row>
    <row r="16" spans="1:11" ht="45" customHeight="1">
      <c r="A16" s="149" t="s">
        <v>181</v>
      </c>
      <c r="B16" s="148"/>
      <c r="C16" s="148"/>
      <c r="D16" s="148"/>
      <c r="E16" s="148"/>
      <c r="F16" s="153" t="s">
        <v>9</v>
      </c>
      <c r="G16" s="153" t="s">
        <v>37</v>
      </c>
      <c r="H16" s="153" t="s">
        <v>29</v>
      </c>
      <c r="I16" s="153" t="s">
        <v>30</v>
      </c>
      <c r="J16" s="153" t="s">
        <v>33</v>
      </c>
      <c r="K16" s="153" t="s">
        <v>34</v>
      </c>
    </row>
    <row r="17" spans="1:11" ht="18" customHeight="1">
      <c r="A17" s="154" t="s">
        <v>184</v>
      </c>
      <c r="B17" s="150" t="s">
        <v>182</v>
      </c>
    </row>
    <row r="18" spans="1:11" ht="18" customHeight="1">
      <c r="A18" s="151" t="s">
        <v>185</v>
      </c>
      <c r="B18" s="155" t="s">
        <v>183</v>
      </c>
      <c r="F18" s="156" t="s">
        <v>73</v>
      </c>
      <c r="G18" s="156" t="s">
        <v>73</v>
      </c>
      <c r="H18" s="157">
        <v>7835600</v>
      </c>
      <c r="I18" s="158">
        <v>0</v>
      </c>
      <c r="J18" s="157">
        <v>6700417</v>
      </c>
      <c r="K18" s="159">
        <f>(H18+I18)-J18</f>
        <v>1135183</v>
      </c>
    </row>
    <row r="19" spans="1:11" ht="45" customHeight="1">
      <c r="A19" s="149" t="s">
        <v>8</v>
      </c>
      <c r="B19" s="148"/>
      <c r="C19" s="148"/>
      <c r="D19" s="148"/>
      <c r="E19" s="148"/>
      <c r="F19" s="153" t="s">
        <v>9</v>
      </c>
      <c r="G19" s="153" t="s">
        <v>37</v>
      </c>
      <c r="H19" s="153" t="s">
        <v>29</v>
      </c>
      <c r="I19" s="153" t="s">
        <v>30</v>
      </c>
      <c r="J19" s="153" t="s">
        <v>33</v>
      </c>
      <c r="K19" s="153" t="s">
        <v>34</v>
      </c>
    </row>
    <row r="20" spans="1:11" ht="18" customHeight="1">
      <c r="A20" s="154" t="s">
        <v>74</v>
      </c>
      <c r="B20" s="150" t="s">
        <v>41</v>
      </c>
    </row>
    <row r="21" spans="1:11" ht="18" customHeight="1">
      <c r="A21" s="151" t="s">
        <v>75</v>
      </c>
      <c r="B21" s="155" t="s">
        <v>42</v>
      </c>
      <c r="F21" s="156">
        <v>2240.5</v>
      </c>
      <c r="G21" s="156">
        <v>5358</v>
      </c>
      <c r="H21" s="157">
        <v>96135</v>
      </c>
      <c r="I21" s="158">
        <f t="shared" ref="I21:I34" si="0">H21*F$114</f>
        <v>81637.84199999999</v>
      </c>
      <c r="J21" s="157">
        <v>174</v>
      </c>
      <c r="K21" s="159">
        <f t="shared" ref="K21:K34" si="1">(H21+I21)-J21</f>
        <v>177598.842</v>
      </c>
    </row>
    <row r="22" spans="1:11" ht="18" customHeight="1">
      <c r="A22" s="151" t="s">
        <v>76</v>
      </c>
      <c r="B22" s="147" t="s">
        <v>6</v>
      </c>
      <c r="F22" s="156">
        <v>132</v>
      </c>
      <c r="G22" s="156">
        <v>432</v>
      </c>
      <c r="H22" s="157">
        <v>4117</v>
      </c>
      <c r="I22" s="158">
        <f t="shared" si="0"/>
        <v>3496.1563999999998</v>
      </c>
      <c r="J22" s="157">
        <v>0</v>
      </c>
      <c r="K22" s="159">
        <f t="shared" si="1"/>
        <v>7613.1563999999998</v>
      </c>
    </row>
    <row r="23" spans="1:11" ht="18" customHeight="1">
      <c r="A23" s="151" t="s">
        <v>77</v>
      </c>
      <c r="B23" s="147" t="s">
        <v>43</v>
      </c>
      <c r="F23" s="156">
        <v>473</v>
      </c>
      <c r="G23" s="156">
        <v>111461</v>
      </c>
      <c r="H23" s="157">
        <v>25613</v>
      </c>
      <c r="I23" s="158">
        <f t="shared" si="0"/>
        <v>21750.559600000001</v>
      </c>
      <c r="J23" s="157">
        <v>4050</v>
      </c>
      <c r="K23" s="159">
        <f t="shared" si="1"/>
        <v>43313.559600000001</v>
      </c>
    </row>
    <row r="24" spans="1:11" ht="18" customHeight="1">
      <c r="A24" s="151" t="s">
        <v>78</v>
      </c>
      <c r="B24" s="147" t="s">
        <v>44</v>
      </c>
      <c r="F24" s="156">
        <v>0</v>
      </c>
      <c r="G24" s="156">
        <v>0</v>
      </c>
      <c r="H24" s="157">
        <v>0</v>
      </c>
      <c r="I24" s="158">
        <v>0</v>
      </c>
      <c r="J24" s="157">
        <v>0</v>
      </c>
      <c r="K24" s="159">
        <f t="shared" si="1"/>
        <v>0</v>
      </c>
    </row>
    <row r="25" spans="1:11" ht="18" customHeight="1">
      <c r="A25" s="151" t="s">
        <v>79</v>
      </c>
      <c r="B25" s="147" t="s">
        <v>5</v>
      </c>
      <c r="F25" s="156">
        <v>25.5</v>
      </c>
      <c r="G25" s="156">
        <v>684</v>
      </c>
      <c r="H25" s="157">
        <v>819</v>
      </c>
      <c r="I25" s="158">
        <f t="shared" si="0"/>
        <v>695.49479999999994</v>
      </c>
      <c r="J25" s="157">
        <v>0</v>
      </c>
      <c r="K25" s="159">
        <f t="shared" si="1"/>
        <v>1514.4947999999999</v>
      </c>
    </row>
    <row r="26" spans="1:11" ht="18" customHeight="1">
      <c r="A26" s="151" t="s">
        <v>80</v>
      </c>
      <c r="B26" s="147" t="s">
        <v>45</v>
      </c>
      <c r="F26" s="156">
        <v>0</v>
      </c>
      <c r="G26" s="156">
        <v>0</v>
      </c>
      <c r="H26" s="157">
        <v>0</v>
      </c>
      <c r="I26" s="158">
        <f t="shared" si="0"/>
        <v>0</v>
      </c>
      <c r="J26" s="157">
        <v>0</v>
      </c>
      <c r="K26" s="159">
        <f t="shared" si="1"/>
        <v>0</v>
      </c>
    </row>
    <row r="27" spans="1:11" ht="18" customHeight="1">
      <c r="A27" s="151" t="s">
        <v>81</v>
      </c>
      <c r="B27" s="147" t="s">
        <v>46</v>
      </c>
      <c r="F27" s="156">
        <v>0</v>
      </c>
      <c r="G27" s="156">
        <v>0</v>
      </c>
      <c r="H27" s="157">
        <v>0</v>
      </c>
      <c r="I27" s="158">
        <f t="shared" si="0"/>
        <v>0</v>
      </c>
      <c r="J27" s="157">
        <v>0</v>
      </c>
      <c r="K27" s="159">
        <f t="shared" si="1"/>
        <v>0</v>
      </c>
    </row>
    <row r="28" spans="1:11" ht="18" customHeight="1">
      <c r="A28" s="151" t="s">
        <v>82</v>
      </c>
      <c r="B28" s="147" t="s">
        <v>47</v>
      </c>
      <c r="F28" s="156">
        <v>0</v>
      </c>
      <c r="G28" s="156">
        <v>0</v>
      </c>
      <c r="H28" s="157">
        <v>0</v>
      </c>
      <c r="I28" s="158">
        <f t="shared" si="0"/>
        <v>0</v>
      </c>
      <c r="J28" s="157">
        <v>0</v>
      </c>
      <c r="K28" s="159">
        <f t="shared" si="1"/>
        <v>0</v>
      </c>
    </row>
    <row r="29" spans="1:11" ht="18" customHeight="1">
      <c r="A29" s="151" t="s">
        <v>83</v>
      </c>
      <c r="B29" s="147" t="s">
        <v>48</v>
      </c>
      <c r="F29" s="156">
        <v>13449</v>
      </c>
      <c r="G29" s="156">
        <v>5623</v>
      </c>
      <c r="H29" s="157">
        <v>383399</v>
      </c>
      <c r="I29" s="158">
        <f t="shared" si="0"/>
        <v>325582.43079999997</v>
      </c>
      <c r="J29" s="157">
        <v>0</v>
      </c>
      <c r="K29" s="159">
        <f t="shared" si="1"/>
        <v>708981.43079999997</v>
      </c>
    </row>
    <row r="30" spans="1:11" ht="18" customHeight="1">
      <c r="A30" s="151" t="s">
        <v>84</v>
      </c>
      <c r="B30" s="898" t="s">
        <v>805</v>
      </c>
      <c r="C30" s="899"/>
      <c r="D30" s="900"/>
      <c r="F30" s="156">
        <v>0</v>
      </c>
      <c r="G30" s="156">
        <v>0</v>
      </c>
      <c r="H30" s="157">
        <v>91158</v>
      </c>
      <c r="I30" s="158">
        <f t="shared" si="0"/>
        <v>77411.373599999992</v>
      </c>
      <c r="J30" s="157">
        <v>0</v>
      </c>
      <c r="K30" s="159">
        <f t="shared" si="1"/>
        <v>168569.37359999999</v>
      </c>
    </row>
    <row r="31" spans="1:11" ht="18" customHeight="1">
      <c r="A31" s="151" t="s">
        <v>133</v>
      </c>
      <c r="B31" s="898"/>
      <c r="C31" s="899"/>
      <c r="D31" s="900"/>
      <c r="F31" s="156"/>
      <c r="G31" s="156"/>
      <c r="H31" s="157"/>
      <c r="I31" s="158">
        <f t="shared" si="0"/>
        <v>0</v>
      </c>
      <c r="J31" s="157"/>
      <c r="K31" s="159">
        <f t="shared" si="1"/>
        <v>0</v>
      </c>
    </row>
    <row r="32" spans="1:11" ht="18" customHeight="1">
      <c r="A32" s="151" t="s">
        <v>134</v>
      </c>
      <c r="B32" s="393"/>
      <c r="C32" s="394"/>
      <c r="D32" s="395"/>
      <c r="F32" s="156"/>
      <c r="G32" s="160" t="s">
        <v>85</v>
      </c>
      <c r="H32" s="157"/>
      <c r="I32" s="158">
        <f t="shared" si="0"/>
        <v>0</v>
      </c>
      <c r="J32" s="157"/>
      <c r="K32" s="159">
        <f t="shared" si="1"/>
        <v>0</v>
      </c>
    </row>
    <row r="33" spans="1:11" ht="18" customHeight="1">
      <c r="A33" s="151" t="s">
        <v>135</v>
      </c>
      <c r="B33" s="393"/>
      <c r="C33" s="394"/>
      <c r="D33" s="395"/>
      <c r="F33" s="156"/>
      <c r="G33" s="160" t="s">
        <v>85</v>
      </c>
      <c r="H33" s="157"/>
      <c r="I33" s="158">
        <f t="shared" si="0"/>
        <v>0</v>
      </c>
      <c r="J33" s="157"/>
      <c r="K33" s="159">
        <f t="shared" si="1"/>
        <v>0</v>
      </c>
    </row>
    <row r="34" spans="1:11" ht="18" customHeight="1">
      <c r="A34" s="151" t="s">
        <v>136</v>
      </c>
      <c r="B34" s="898"/>
      <c r="C34" s="899"/>
      <c r="D34" s="900"/>
      <c r="F34" s="156"/>
      <c r="G34" s="160" t="s">
        <v>85</v>
      </c>
      <c r="H34" s="157"/>
      <c r="I34" s="158">
        <f t="shared" si="0"/>
        <v>0</v>
      </c>
      <c r="J34" s="157"/>
      <c r="K34" s="159">
        <f t="shared" si="1"/>
        <v>0</v>
      </c>
    </row>
    <row r="35" spans="1:11" ht="18" customHeight="1">
      <c r="K35" s="161"/>
    </row>
    <row r="36" spans="1:11" ht="18" customHeight="1">
      <c r="A36" s="154" t="s">
        <v>137</v>
      </c>
      <c r="B36" s="150" t="s">
        <v>138</v>
      </c>
      <c r="E36" s="150" t="s">
        <v>7</v>
      </c>
      <c r="F36" s="162">
        <f t="shared" ref="F36:K36" si="2">SUM(F21:F34)</f>
        <v>16320</v>
      </c>
      <c r="G36" s="162">
        <f t="shared" si="2"/>
        <v>123558</v>
      </c>
      <c r="H36" s="162">
        <f t="shared" si="2"/>
        <v>601241</v>
      </c>
      <c r="I36" s="159">
        <f t="shared" si="2"/>
        <v>510573.85719999997</v>
      </c>
      <c r="J36" s="159">
        <f t="shared" si="2"/>
        <v>4224</v>
      </c>
      <c r="K36" s="159">
        <f t="shared" si="2"/>
        <v>1107590.8572</v>
      </c>
    </row>
    <row r="37" spans="1:11" ht="18" customHeight="1" thickBot="1">
      <c r="B37" s="150"/>
      <c r="F37" s="163"/>
      <c r="G37" s="163"/>
      <c r="H37" s="164"/>
      <c r="I37" s="164"/>
      <c r="J37" s="164"/>
      <c r="K37" s="165"/>
    </row>
    <row r="38" spans="1:11" ht="42.75" customHeight="1">
      <c r="F38" s="153" t="s">
        <v>9</v>
      </c>
      <c r="G38" s="153" t="s">
        <v>37</v>
      </c>
      <c r="H38" s="153" t="s">
        <v>29</v>
      </c>
      <c r="I38" s="153" t="s">
        <v>30</v>
      </c>
      <c r="J38" s="153" t="s">
        <v>33</v>
      </c>
      <c r="K38" s="153" t="s">
        <v>34</v>
      </c>
    </row>
    <row r="39" spans="1:11" ht="18.75" customHeight="1">
      <c r="A39" s="154" t="s">
        <v>86</v>
      </c>
      <c r="B39" s="150" t="s">
        <v>49</v>
      </c>
    </row>
    <row r="40" spans="1:11" ht="18" customHeight="1">
      <c r="A40" s="151" t="s">
        <v>87</v>
      </c>
      <c r="B40" s="147" t="s">
        <v>31</v>
      </c>
      <c r="F40" s="156">
        <v>2500</v>
      </c>
      <c r="G40" s="156">
        <v>10000</v>
      </c>
      <c r="H40" s="157">
        <v>330000</v>
      </c>
      <c r="I40" s="158">
        <v>0</v>
      </c>
      <c r="J40" s="157">
        <v>0</v>
      </c>
      <c r="K40" s="159">
        <f t="shared" ref="K40:K47" si="3">(H40+I40)-J40</f>
        <v>330000</v>
      </c>
    </row>
    <row r="41" spans="1:11" ht="18" customHeight="1">
      <c r="A41" s="151" t="s">
        <v>88</v>
      </c>
      <c r="B41" s="904" t="s">
        <v>50</v>
      </c>
      <c r="C41" s="907"/>
      <c r="F41" s="156">
        <v>5348</v>
      </c>
      <c r="G41" s="156">
        <v>34760</v>
      </c>
      <c r="H41" s="157">
        <v>218840</v>
      </c>
      <c r="I41" s="158">
        <v>0</v>
      </c>
      <c r="J41" s="157">
        <v>0</v>
      </c>
      <c r="K41" s="159">
        <f t="shared" si="3"/>
        <v>218840</v>
      </c>
    </row>
    <row r="42" spans="1:11" ht="18" customHeight="1">
      <c r="A42" s="151" t="s">
        <v>89</v>
      </c>
      <c r="B42" s="155" t="s">
        <v>11</v>
      </c>
      <c r="F42" s="156">
        <v>11089</v>
      </c>
      <c r="G42" s="156">
        <v>40391</v>
      </c>
      <c r="H42" s="157">
        <v>441359</v>
      </c>
      <c r="I42" s="158">
        <v>0</v>
      </c>
      <c r="J42" s="157">
        <v>0</v>
      </c>
      <c r="K42" s="159">
        <f t="shared" si="3"/>
        <v>441359</v>
      </c>
    </row>
    <row r="43" spans="1:11" ht="18" customHeight="1">
      <c r="A43" s="151" t="s">
        <v>90</v>
      </c>
      <c r="B43" s="166" t="s">
        <v>10</v>
      </c>
      <c r="C43" s="167"/>
      <c r="D43" s="167"/>
      <c r="F43" s="156">
        <v>0</v>
      </c>
      <c r="G43" s="156">
        <v>0</v>
      </c>
      <c r="H43" s="157">
        <v>0</v>
      </c>
      <c r="I43" s="158">
        <v>0</v>
      </c>
      <c r="J43" s="157">
        <v>0</v>
      </c>
      <c r="K43" s="159">
        <f t="shared" si="3"/>
        <v>0</v>
      </c>
    </row>
    <row r="44" spans="1:11" ht="18" customHeight="1">
      <c r="A44" s="151" t="s">
        <v>91</v>
      </c>
      <c r="B44" s="898" t="s">
        <v>640</v>
      </c>
      <c r="C44" s="899"/>
      <c r="D44" s="900"/>
      <c r="F44" s="168">
        <v>18</v>
      </c>
      <c r="G44" s="168">
        <v>50</v>
      </c>
      <c r="H44" s="168">
        <v>1482</v>
      </c>
      <c r="I44" s="169">
        <v>0</v>
      </c>
      <c r="J44" s="168">
        <v>500</v>
      </c>
      <c r="K44" s="170">
        <f t="shared" si="3"/>
        <v>982</v>
      </c>
    </row>
    <row r="45" spans="1:11" ht="18" customHeight="1">
      <c r="A45" s="151" t="s">
        <v>139</v>
      </c>
      <c r="B45" s="898"/>
      <c r="C45" s="899"/>
      <c r="D45" s="900"/>
      <c r="F45" s="156"/>
      <c r="G45" s="156"/>
      <c r="H45" s="157"/>
      <c r="I45" s="158">
        <v>0</v>
      </c>
      <c r="J45" s="157"/>
      <c r="K45" s="159">
        <f t="shared" si="3"/>
        <v>0</v>
      </c>
    </row>
    <row r="46" spans="1:11" ht="18" customHeight="1">
      <c r="A46" s="151" t="s">
        <v>140</v>
      </c>
      <c r="B46" s="898"/>
      <c r="C46" s="899"/>
      <c r="D46" s="900"/>
      <c r="F46" s="156"/>
      <c r="G46" s="156"/>
      <c r="H46" s="157"/>
      <c r="I46" s="158">
        <v>0</v>
      </c>
      <c r="J46" s="157"/>
      <c r="K46" s="159">
        <f t="shared" si="3"/>
        <v>0</v>
      </c>
    </row>
    <row r="47" spans="1:11" ht="18" customHeight="1">
      <c r="A47" s="151" t="s">
        <v>141</v>
      </c>
      <c r="B47" s="898"/>
      <c r="C47" s="899"/>
      <c r="D47" s="900"/>
      <c r="F47" s="156"/>
      <c r="G47" s="156"/>
      <c r="H47" s="157"/>
      <c r="I47" s="158">
        <v>0</v>
      </c>
      <c r="J47" s="157"/>
      <c r="K47" s="159">
        <f t="shared" si="3"/>
        <v>0</v>
      </c>
    </row>
    <row r="49" spans="1:11" ht="18" customHeight="1">
      <c r="A49" s="154" t="s">
        <v>142</v>
      </c>
      <c r="B49" s="150" t="s">
        <v>143</v>
      </c>
      <c r="E49" s="150" t="s">
        <v>7</v>
      </c>
      <c r="F49" s="171">
        <f t="shared" ref="F49:K49" si="4">SUM(F40:F47)</f>
        <v>18955</v>
      </c>
      <c r="G49" s="171">
        <f t="shared" si="4"/>
        <v>85201</v>
      </c>
      <c r="H49" s="159">
        <f t="shared" si="4"/>
        <v>991681</v>
      </c>
      <c r="I49" s="159">
        <f t="shared" si="4"/>
        <v>0</v>
      </c>
      <c r="J49" s="159">
        <f t="shared" si="4"/>
        <v>500</v>
      </c>
      <c r="K49" s="159">
        <f t="shared" si="4"/>
        <v>991181</v>
      </c>
    </row>
    <row r="50" spans="1:11" ht="18" customHeight="1" thickBot="1">
      <c r="G50" s="172"/>
      <c r="H50" s="172"/>
      <c r="I50" s="172"/>
      <c r="J50" s="172"/>
      <c r="K50" s="172"/>
    </row>
    <row r="51" spans="1:11" ht="42.75" customHeight="1">
      <c r="F51" s="153" t="s">
        <v>9</v>
      </c>
      <c r="G51" s="153" t="s">
        <v>37</v>
      </c>
      <c r="H51" s="153" t="s">
        <v>29</v>
      </c>
      <c r="I51" s="153" t="s">
        <v>30</v>
      </c>
      <c r="J51" s="153" t="s">
        <v>33</v>
      </c>
      <c r="K51" s="153" t="s">
        <v>34</v>
      </c>
    </row>
    <row r="52" spans="1:11" ht="18" customHeight="1">
      <c r="A52" s="154" t="s">
        <v>92</v>
      </c>
      <c r="B52" s="905" t="s">
        <v>38</v>
      </c>
      <c r="C52" s="906"/>
    </row>
    <row r="53" spans="1:11" ht="18" customHeight="1">
      <c r="A53" s="151" t="s">
        <v>51</v>
      </c>
      <c r="B53" s="396" t="s">
        <v>641</v>
      </c>
      <c r="C53" s="397"/>
      <c r="D53" s="392"/>
      <c r="F53" s="156">
        <v>27649</v>
      </c>
      <c r="G53" s="156">
        <v>16827</v>
      </c>
      <c r="H53" s="157">
        <v>2645761.63</v>
      </c>
      <c r="I53" s="584">
        <f>(H53-337441-260374)*0.651</f>
        <v>1333213.2561299999</v>
      </c>
      <c r="J53" s="157">
        <v>1857285.78</v>
      </c>
      <c r="K53" s="159">
        <f t="shared" ref="K53:K62" si="5">(H53+I53)-J53</f>
        <v>2121689.1061299993</v>
      </c>
    </row>
    <row r="54" spans="1:11" ht="18" customHeight="1">
      <c r="A54" s="151" t="s">
        <v>93</v>
      </c>
      <c r="B54" s="396" t="s">
        <v>354</v>
      </c>
      <c r="C54" s="397"/>
      <c r="D54" s="392"/>
      <c r="F54" s="156">
        <v>30326</v>
      </c>
      <c r="G54" s="156">
        <v>10439</v>
      </c>
      <c r="H54" s="157">
        <v>1752539.72</v>
      </c>
      <c r="I54" s="584">
        <f>(H54-26820-28086)*0.651</f>
        <v>1105159.5517200001</v>
      </c>
      <c r="J54" s="157">
        <v>1697041.25</v>
      </c>
      <c r="K54" s="159">
        <f t="shared" si="5"/>
        <v>1160658.0217200001</v>
      </c>
    </row>
    <row r="55" spans="1:11" ht="18" customHeight="1">
      <c r="A55" s="151" t="s">
        <v>94</v>
      </c>
      <c r="B55" s="396" t="s">
        <v>535</v>
      </c>
      <c r="C55" s="397"/>
      <c r="D55" s="392"/>
      <c r="F55" s="156">
        <v>7060</v>
      </c>
      <c r="G55" s="156">
        <v>4015</v>
      </c>
      <c r="H55" s="157">
        <v>3138500.89</v>
      </c>
      <c r="I55" s="584">
        <f>(H55-7491)*F114</f>
        <v>2658853.5985880001</v>
      </c>
      <c r="J55" s="157">
        <v>26923.040000000001</v>
      </c>
      <c r="K55" s="159">
        <f t="shared" si="5"/>
        <v>5770431.4485879997</v>
      </c>
    </row>
    <row r="56" spans="1:11" ht="18" customHeight="1">
      <c r="A56" s="151" t="s">
        <v>95</v>
      </c>
      <c r="B56" s="396" t="s">
        <v>642</v>
      </c>
      <c r="C56" s="397"/>
      <c r="D56" s="392"/>
      <c r="F56" s="156">
        <v>13456</v>
      </c>
      <c r="G56" s="156">
        <v>12989</v>
      </c>
      <c r="H56" s="157">
        <v>1827971.34</v>
      </c>
      <c r="I56" s="584">
        <f>(H56-630823)*F114</f>
        <v>1016618.370328</v>
      </c>
      <c r="J56" s="157">
        <v>1545540.03</v>
      </c>
      <c r="K56" s="159">
        <f t="shared" si="5"/>
        <v>1299049.6803280001</v>
      </c>
    </row>
    <row r="57" spans="1:11" ht="18" customHeight="1">
      <c r="A57" s="151" t="s">
        <v>96</v>
      </c>
      <c r="B57" s="396" t="s">
        <v>643</v>
      </c>
      <c r="C57" s="397"/>
      <c r="D57" s="392"/>
      <c r="F57" s="156">
        <v>25532</v>
      </c>
      <c r="G57" s="156">
        <v>13414</v>
      </c>
      <c r="H57" s="157">
        <v>3331188.4</v>
      </c>
      <c r="I57" s="584">
        <f>(H57-1208376)*F114</f>
        <v>1802692.2900799997</v>
      </c>
      <c r="J57" s="157">
        <v>3205995</v>
      </c>
      <c r="K57" s="159">
        <f t="shared" si="5"/>
        <v>1927885.6900800001</v>
      </c>
    </row>
    <row r="58" spans="1:11" ht="18" customHeight="1">
      <c r="A58" s="151" t="s">
        <v>97</v>
      </c>
      <c r="B58" s="396" t="s">
        <v>644</v>
      </c>
      <c r="C58" s="397"/>
      <c r="D58" s="392"/>
      <c r="F58" s="156">
        <v>35009</v>
      </c>
      <c r="G58" s="156">
        <v>15335</v>
      </c>
      <c r="H58" s="157">
        <v>3291004.16</v>
      </c>
      <c r="I58" s="584">
        <f>(H58-651541)*0.651</f>
        <v>1718290.51716</v>
      </c>
      <c r="J58" s="157">
        <v>2189385.08</v>
      </c>
      <c r="K58" s="159">
        <f t="shared" si="5"/>
        <v>2819909.5971600004</v>
      </c>
    </row>
    <row r="59" spans="1:11" ht="18" customHeight="1">
      <c r="A59" s="151" t="s">
        <v>98</v>
      </c>
      <c r="B59" s="396" t="s">
        <v>645</v>
      </c>
      <c r="C59" s="397"/>
      <c r="D59" s="392"/>
      <c r="F59" s="156">
        <v>51993</v>
      </c>
      <c r="G59" s="156">
        <v>19790</v>
      </c>
      <c r="H59" s="157">
        <v>13149952.08</v>
      </c>
      <c r="I59" s="584">
        <f>(H59-9059996-502574)*F114</f>
        <v>3046404.862336</v>
      </c>
      <c r="J59" s="157">
        <v>11714286.359999999</v>
      </c>
      <c r="K59" s="159">
        <f t="shared" si="5"/>
        <v>4482070.5823360011</v>
      </c>
    </row>
    <row r="60" spans="1:11" ht="18" customHeight="1">
      <c r="A60" s="151" t="s">
        <v>99</v>
      </c>
      <c r="B60" s="396"/>
      <c r="C60" s="397"/>
      <c r="D60" s="392"/>
      <c r="F60" s="156">
        <v>0</v>
      </c>
      <c r="G60" s="156">
        <v>0</v>
      </c>
      <c r="H60" s="157">
        <v>0</v>
      </c>
      <c r="I60" s="158">
        <v>0</v>
      </c>
      <c r="J60" s="157">
        <v>0</v>
      </c>
      <c r="K60" s="159">
        <f t="shared" si="5"/>
        <v>0</v>
      </c>
    </row>
    <row r="61" spans="1:11" ht="18" customHeight="1">
      <c r="A61" s="151" t="s">
        <v>100</v>
      </c>
      <c r="B61" s="396"/>
      <c r="C61" s="397"/>
      <c r="D61" s="392"/>
      <c r="F61" s="156">
        <v>0</v>
      </c>
      <c r="G61" s="156">
        <v>0</v>
      </c>
      <c r="H61" s="157">
        <v>0</v>
      </c>
      <c r="I61" s="158">
        <v>0</v>
      </c>
      <c r="J61" s="157">
        <v>0</v>
      </c>
      <c r="K61" s="159">
        <f t="shared" si="5"/>
        <v>0</v>
      </c>
    </row>
    <row r="62" spans="1:11" ht="18" customHeight="1">
      <c r="A62" s="151" t="s">
        <v>101</v>
      </c>
      <c r="B62" s="396" t="s">
        <v>646</v>
      </c>
      <c r="C62" s="397"/>
      <c r="D62" s="392"/>
      <c r="F62" s="156">
        <v>37273</v>
      </c>
      <c r="G62" s="156">
        <v>8860</v>
      </c>
      <c r="H62" s="157">
        <v>1573931.99</v>
      </c>
      <c r="I62" s="584">
        <f>(H62+24-25)*F114</f>
        <v>1336582.196708</v>
      </c>
      <c r="J62" s="157">
        <v>217.18</v>
      </c>
      <c r="K62" s="159">
        <f t="shared" si="5"/>
        <v>2910297.0067079999</v>
      </c>
    </row>
    <row r="63" spans="1:11" ht="18" customHeight="1">
      <c r="A63" s="151"/>
      <c r="I63" s="173"/>
    </row>
    <row r="64" spans="1:11" ht="18" customHeight="1">
      <c r="A64" s="151" t="s">
        <v>144</v>
      </c>
      <c r="B64" s="150" t="s">
        <v>145</v>
      </c>
      <c r="E64" s="150" t="s">
        <v>7</v>
      </c>
      <c r="F64" s="162">
        <f t="shared" ref="F64:K64" si="6">SUM(F53:F62)</f>
        <v>228298</v>
      </c>
      <c r="G64" s="162">
        <f t="shared" si="6"/>
        <v>101669</v>
      </c>
      <c r="H64" s="159">
        <f t="shared" si="6"/>
        <v>30710850.209999997</v>
      </c>
      <c r="I64" s="159">
        <f t="shared" si="6"/>
        <v>14017814.64305</v>
      </c>
      <c r="J64" s="159">
        <f t="shared" si="6"/>
        <v>22236673.719999999</v>
      </c>
      <c r="K64" s="159">
        <f t="shared" si="6"/>
        <v>22491991.133049998</v>
      </c>
    </row>
    <row r="65" spans="1:11" ht="18" customHeight="1">
      <c r="F65" s="174"/>
      <c r="G65" s="174"/>
      <c r="H65" s="174"/>
      <c r="I65" s="174"/>
      <c r="J65" s="174"/>
      <c r="K65" s="174"/>
    </row>
    <row r="66" spans="1:11" ht="42.75" customHeight="1">
      <c r="F66" s="175" t="s">
        <v>9</v>
      </c>
      <c r="G66" s="175" t="s">
        <v>37</v>
      </c>
      <c r="H66" s="175" t="s">
        <v>29</v>
      </c>
      <c r="I66" s="175" t="s">
        <v>30</v>
      </c>
      <c r="J66" s="175" t="s">
        <v>33</v>
      </c>
      <c r="K66" s="175" t="s">
        <v>34</v>
      </c>
    </row>
    <row r="67" spans="1:11" ht="18" customHeight="1">
      <c r="A67" s="154" t="s">
        <v>102</v>
      </c>
      <c r="B67" s="150" t="s">
        <v>12</v>
      </c>
      <c r="F67" s="176"/>
      <c r="G67" s="176"/>
      <c r="H67" s="176"/>
      <c r="I67" s="177"/>
      <c r="J67" s="176"/>
      <c r="K67" s="178"/>
    </row>
    <row r="68" spans="1:11" ht="18" customHeight="1">
      <c r="A68" s="151" t="s">
        <v>103</v>
      </c>
      <c r="B68" s="147" t="s">
        <v>52</v>
      </c>
      <c r="F68" s="179">
        <v>0</v>
      </c>
      <c r="G68" s="179">
        <v>0</v>
      </c>
      <c r="H68" s="179">
        <v>0</v>
      </c>
      <c r="I68" s="158">
        <v>0</v>
      </c>
      <c r="J68" s="179">
        <v>0</v>
      </c>
      <c r="K68" s="159">
        <f>(H68+I68)-J68</f>
        <v>0</v>
      </c>
    </row>
    <row r="69" spans="1:11" ht="18" customHeight="1">
      <c r="A69" s="151" t="s">
        <v>104</v>
      </c>
      <c r="B69" s="155" t="s">
        <v>53</v>
      </c>
      <c r="F69" s="179">
        <v>0</v>
      </c>
      <c r="G69" s="179">
        <v>0</v>
      </c>
      <c r="H69" s="179">
        <v>0</v>
      </c>
      <c r="I69" s="158">
        <v>0</v>
      </c>
      <c r="J69" s="179">
        <v>0</v>
      </c>
      <c r="K69" s="159">
        <f>(H69+I69)-J69</f>
        <v>0</v>
      </c>
    </row>
    <row r="70" spans="1:11" ht="18" customHeight="1">
      <c r="A70" s="151" t="s">
        <v>178</v>
      </c>
      <c r="B70" s="396"/>
      <c r="C70" s="397"/>
      <c r="D70" s="392"/>
      <c r="E70" s="150"/>
      <c r="F70" s="180"/>
      <c r="G70" s="180"/>
      <c r="H70" s="181"/>
      <c r="I70" s="158">
        <v>0</v>
      </c>
      <c r="J70" s="181"/>
      <c r="K70" s="159">
        <f>(H70+I70)-J70</f>
        <v>0</v>
      </c>
    </row>
    <row r="71" spans="1:11" ht="18" customHeight="1">
      <c r="A71" s="151" t="s">
        <v>179</v>
      </c>
      <c r="B71" s="396"/>
      <c r="C71" s="397"/>
      <c r="D71" s="392"/>
      <c r="E71" s="150"/>
      <c r="F71" s="180"/>
      <c r="G71" s="180"/>
      <c r="H71" s="181"/>
      <c r="I71" s="158">
        <v>0</v>
      </c>
      <c r="J71" s="181"/>
      <c r="K71" s="159">
        <f>(H71+I71)-J71</f>
        <v>0</v>
      </c>
    </row>
    <row r="72" spans="1:11" ht="18" customHeight="1">
      <c r="A72" s="151" t="s">
        <v>180</v>
      </c>
      <c r="B72" s="390"/>
      <c r="C72" s="391"/>
      <c r="D72" s="182"/>
      <c r="E72" s="150"/>
      <c r="F72" s="156"/>
      <c r="G72" s="156"/>
      <c r="H72" s="157"/>
      <c r="I72" s="158">
        <v>0</v>
      </c>
      <c r="J72" s="157"/>
      <c r="K72" s="159">
        <f>(H72+I72)-J72</f>
        <v>0</v>
      </c>
    </row>
    <row r="73" spans="1:11" ht="18" customHeight="1">
      <c r="A73" s="151"/>
      <c r="B73" s="155"/>
      <c r="E73" s="150"/>
      <c r="F73" s="183"/>
      <c r="G73" s="183"/>
      <c r="H73" s="184"/>
      <c r="I73" s="177"/>
      <c r="J73" s="184"/>
      <c r="K73" s="178"/>
    </row>
    <row r="74" spans="1:11" ht="18" customHeight="1">
      <c r="A74" s="154" t="s">
        <v>146</v>
      </c>
      <c r="B74" s="150" t="s">
        <v>147</v>
      </c>
      <c r="E74" s="150" t="s">
        <v>7</v>
      </c>
      <c r="F74" s="185">
        <f t="shared" ref="F74:K74" si="7">SUM(F68:F72)</f>
        <v>0</v>
      </c>
      <c r="G74" s="185">
        <f t="shared" si="7"/>
        <v>0</v>
      </c>
      <c r="H74" s="185">
        <f t="shared" si="7"/>
        <v>0</v>
      </c>
      <c r="I74" s="186">
        <f t="shared" si="7"/>
        <v>0</v>
      </c>
      <c r="J74" s="185">
        <f t="shared" si="7"/>
        <v>0</v>
      </c>
      <c r="K74" s="187">
        <f t="shared" si="7"/>
        <v>0</v>
      </c>
    </row>
    <row r="75" spans="1:11" ht="42.75" customHeight="1">
      <c r="F75" s="153" t="s">
        <v>9</v>
      </c>
      <c r="G75" s="153" t="s">
        <v>37</v>
      </c>
      <c r="H75" s="153" t="s">
        <v>29</v>
      </c>
      <c r="I75" s="153" t="s">
        <v>30</v>
      </c>
      <c r="J75" s="153" t="s">
        <v>33</v>
      </c>
      <c r="K75" s="153" t="s">
        <v>34</v>
      </c>
    </row>
    <row r="76" spans="1:11" ht="18" customHeight="1">
      <c r="A76" s="154" t="s">
        <v>105</v>
      </c>
      <c r="B76" s="150" t="s">
        <v>106</v>
      </c>
    </row>
    <row r="77" spans="1:11" ht="18" customHeight="1">
      <c r="A77" s="151" t="s">
        <v>107</v>
      </c>
      <c r="B77" s="155" t="s">
        <v>54</v>
      </c>
      <c r="F77" s="156">
        <v>0</v>
      </c>
      <c r="G77" s="156">
        <v>0</v>
      </c>
      <c r="H77" s="157">
        <v>113046</v>
      </c>
      <c r="I77" s="158">
        <v>0</v>
      </c>
      <c r="J77" s="157">
        <v>0</v>
      </c>
      <c r="K77" s="159">
        <f>(H77+I77)-J77</f>
        <v>113046</v>
      </c>
    </row>
    <row r="78" spans="1:11" ht="18" customHeight="1">
      <c r="A78" s="151" t="s">
        <v>108</v>
      </c>
      <c r="B78" s="155" t="s">
        <v>55</v>
      </c>
      <c r="F78" s="156">
        <v>0</v>
      </c>
      <c r="G78" s="156">
        <v>0</v>
      </c>
      <c r="H78" s="157">
        <v>0</v>
      </c>
      <c r="I78" s="158">
        <v>0</v>
      </c>
      <c r="J78" s="157">
        <v>0</v>
      </c>
      <c r="K78" s="159">
        <f>(H78+I78)-J78</f>
        <v>0</v>
      </c>
    </row>
    <row r="79" spans="1:11" ht="18" customHeight="1">
      <c r="A79" s="151" t="s">
        <v>109</v>
      </c>
      <c r="B79" s="155" t="s">
        <v>13</v>
      </c>
      <c r="F79" s="156">
        <v>1444.5</v>
      </c>
      <c r="G79" s="156">
        <v>473</v>
      </c>
      <c r="H79" s="157">
        <v>290245</v>
      </c>
      <c r="I79" s="158">
        <v>0</v>
      </c>
      <c r="J79" s="157">
        <v>12000</v>
      </c>
      <c r="K79" s="159">
        <f>(H79+I79)-J79</f>
        <v>278245</v>
      </c>
    </row>
    <row r="80" spans="1:11" ht="18" customHeight="1">
      <c r="A80" s="151" t="s">
        <v>110</v>
      </c>
      <c r="B80" s="155" t="s">
        <v>56</v>
      </c>
      <c r="F80" s="156"/>
      <c r="G80" s="156"/>
      <c r="H80" s="157"/>
      <c r="I80" s="158">
        <v>0</v>
      </c>
      <c r="J80" s="157"/>
      <c r="K80" s="159">
        <f>(H80+I80)-J80</f>
        <v>0</v>
      </c>
    </row>
    <row r="81" spans="1:11" ht="18" customHeight="1">
      <c r="A81" s="151"/>
      <c r="K81" s="188"/>
    </row>
    <row r="82" spans="1:11" ht="18" customHeight="1">
      <c r="A82" s="151" t="s">
        <v>148</v>
      </c>
      <c r="B82" s="150" t="s">
        <v>149</v>
      </c>
      <c r="E82" s="150" t="s">
        <v>7</v>
      </c>
      <c r="F82" s="185">
        <f t="shared" ref="F82:K82" si="8">SUM(F77:F80)</f>
        <v>1444.5</v>
      </c>
      <c r="G82" s="185">
        <f t="shared" si="8"/>
        <v>473</v>
      </c>
      <c r="H82" s="187">
        <f t="shared" si="8"/>
        <v>403291</v>
      </c>
      <c r="I82" s="187">
        <f t="shared" si="8"/>
        <v>0</v>
      </c>
      <c r="J82" s="187">
        <f t="shared" si="8"/>
        <v>12000</v>
      </c>
      <c r="K82" s="187">
        <f t="shared" si="8"/>
        <v>391291</v>
      </c>
    </row>
    <row r="83" spans="1:11" ht="18" customHeight="1" thickBot="1">
      <c r="A83" s="151"/>
      <c r="F83" s="172"/>
      <c r="G83" s="172"/>
      <c r="H83" s="172"/>
      <c r="I83" s="172"/>
      <c r="J83" s="172"/>
      <c r="K83" s="172"/>
    </row>
    <row r="84" spans="1:11" ht="42.75" customHeight="1">
      <c r="F84" s="153" t="s">
        <v>9</v>
      </c>
      <c r="G84" s="153" t="s">
        <v>37</v>
      </c>
      <c r="H84" s="153" t="s">
        <v>29</v>
      </c>
      <c r="I84" s="153" t="s">
        <v>30</v>
      </c>
      <c r="J84" s="153" t="s">
        <v>33</v>
      </c>
      <c r="K84" s="153" t="s">
        <v>34</v>
      </c>
    </row>
    <row r="85" spans="1:11" ht="18" customHeight="1">
      <c r="A85" s="154" t="s">
        <v>111</v>
      </c>
      <c r="B85" s="150" t="s">
        <v>57</v>
      </c>
    </row>
    <row r="86" spans="1:11" ht="18" customHeight="1">
      <c r="A86" s="151" t="s">
        <v>112</v>
      </c>
      <c r="B86" s="155" t="s">
        <v>113</v>
      </c>
      <c r="F86" s="156">
        <v>0</v>
      </c>
      <c r="G86" s="156">
        <v>0</v>
      </c>
      <c r="H86" s="157">
        <v>0</v>
      </c>
      <c r="I86" s="158">
        <f t="shared" ref="I86:I96" si="9">H86*F$114</f>
        <v>0</v>
      </c>
      <c r="J86" s="157">
        <v>0</v>
      </c>
      <c r="K86" s="159">
        <f t="shared" ref="K86:K96" si="10">(H86+I86)-J86</f>
        <v>0</v>
      </c>
    </row>
    <row r="87" spans="1:11" ht="18" customHeight="1">
      <c r="A87" s="151" t="s">
        <v>114</v>
      </c>
      <c r="B87" s="155" t="s">
        <v>14</v>
      </c>
      <c r="F87" s="156">
        <v>0</v>
      </c>
      <c r="G87" s="156">
        <v>0</v>
      </c>
      <c r="H87" s="157">
        <v>0</v>
      </c>
      <c r="I87" s="158">
        <f t="shared" si="9"/>
        <v>0</v>
      </c>
      <c r="J87" s="157">
        <v>0</v>
      </c>
      <c r="K87" s="159">
        <f t="shared" si="10"/>
        <v>0</v>
      </c>
    </row>
    <row r="88" spans="1:11" ht="18" customHeight="1">
      <c r="A88" s="151" t="s">
        <v>115</v>
      </c>
      <c r="B88" s="155" t="s">
        <v>116</v>
      </c>
      <c r="F88" s="156">
        <v>100</v>
      </c>
      <c r="G88" s="156">
        <v>0</v>
      </c>
      <c r="H88" s="157">
        <v>50455.82</v>
      </c>
      <c r="I88" s="158">
        <f t="shared" si="9"/>
        <v>42847.082343999995</v>
      </c>
      <c r="J88" s="157">
        <v>44713.69</v>
      </c>
      <c r="K88" s="159">
        <f t="shared" si="10"/>
        <v>48589.212344</v>
      </c>
    </row>
    <row r="89" spans="1:11" ht="18" customHeight="1">
      <c r="A89" s="151" t="s">
        <v>117</v>
      </c>
      <c r="B89" s="155" t="s">
        <v>58</v>
      </c>
      <c r="F89" s="156">
        <v>0</v>
      </c>
      <c r="G89" s="156">
        <v>0</v>
      </c>
      <c r="H89" s="157">
        <v>0</v>
      </c>
      <c r="I89" s="158">
        <f t="shared" si="9"/>
        <v>0</v>
      </c>
      <c r="J89" s="157">
        <v>0</v>
      </c>
      <c r="K89" s="159">
        <f t="shared" si="10"/>
        <v>0</v>
      </c>
    </row>
    <row r="90" spans="1:11" ht="18" customHeight="1">
      <c r="A90" s="151" t="s">
        <v>118</v>
      </c>
      <c r="B90" s="904" t="s">
        <v>59</v>
      </c>
      <c r="C90" s="907"/>
      <c r="F90" s="156">
        <v>0</v>
      </c>
      <c r="G90" s="156">
        <v>0</v>
      </c>
      <c r="H90" s="157">
        <v>0</v>
      </c>
      <c r="I90" s="158">
        <f t="shared" si="9"/>
        <v>0</v>
      </c>
      <c r="J90" s="157">
        <v>0</v>
      </c>
      <c r="K90" s="159">
        <f t="shared" si="10"/>
        <v>0</v>
      </c>
    </row>
    <row r="91" spans="1:11" ht="18" customHeight="1">
      <c r="A91" s="151" t="s">
        <v>119</v>
      </c>
      <c r="B91" s="155" t="s">
        <v>60</v>
      </c>
      <c r="F91" s="156">
        <v>1612.5</v>
      </c>
      <c r="G91" s="156">
        <v>0</v>
      </c>
      <c r="H91" s="157">
        <v>70415</v>
      </c>
      <c r="I91" s="158">
        <f t="shared" si="9"/>
        <v>59796.417999999998</v>
      </c>
      <c r="J91" s="157">
        <v>0</v>
      </c>
      <c r="K91" s="159">
        <f t="shared" si="10"/>
        <v>130211.41800000001</v>
      </c>
    </row>
    <row r="92" spans="1:11" ht="18" customHeight="1">
      <c r="A92" s="151" t="s">
        <v>120</v>
      </c>
      <c r="B92" s="155" t="s">
        <v>121</v>
      </c>
      <c r="F92" s="189">
        <v>0</v>
      </c>
      <c r="G92" s="189">
        <v>0</v>
      </c>
      <c r="H92" s="190">
        <v>0</v>
      </c>
      <c r="I92" s="158">
        <f t="shared" si="9"/>
        <v>0</v>
      </c>
      <c r="J92" s="190">
        <v>0</v>
      </c>
      <c r="K92" s="159">
        <f t="shared" si="10"/>
        <v>0</v>
      </c>
    </row>
    <row r="93" spans="1:11" ht="18" customHeight="1">
      <c r="A93" s="151" t="s">
        <v>122</v>
      </c>
      <c r="B93" s="155" t="s">
        <v>123</v>
      </c>
      <c r="F93" s="156">
        <v>2080</v>
      </c>
      <c r="G93" s="156">
        <v>0</v>
      </c>
      <c r="H93" s="157">
        <v>501671.35</v>
      </c>
      <c r="I93" s="158">
        <f t="shared" si="9"/>
        <v>426019.31041999994</v>
      </c>
      <c r="J93" s="157">
        <v>0</v>
      </c>
      <c r="K93" s="159">
        <f t="shared" si="10"/>
        <v>927690.66041999985</v>
      </c>
    </row>
    <row r="94" spans="1:11" ht="18" customHeight="1">
      <c r="A94" s="151" t="s">
        <v>124</v>
      </c>
      <c r="B94" s="901"/>
      <c r="C94" s="902"/>
      <c r="D94" s="903"/>
      <c r="F94" s="156"/>
      <c r="G94" s="156"/>
      <c r="H94" s="157"/>
      <c r="I94" s="158">
        <f t="shared" si="9"/>
        <v>0</v>
      </c>
      <c r="J94" s="157"/>
      <c r="K94" s="159">
        <f t="shared" si="10"/>
        <v>0</v>
      </c>
    </row>
    <row r="95" spans="1:11" ht="18" customHeight="1">
      <c r="A95" s="151" t="s">
        <v>125</v>
      </c>
      <c r="B95" s="901"/>
      <c r="C95" s="902"/>
      <c r="D95" s="903"/>
      <c r="F95" s="156"/>
      <c r="G95" s="156"/>
      <c r="H95" s="157"/>
      <c r="I95" s="158">
        <f t="shared" si="9"/>
        <v>0</v>
      </c>
      <c r="J95" s="157"/>
      <c r="K95" s="159">
        <f t="shared" si="10"/>
        <v>0</v>
      </c>
    </row>
    <row r="96" spans="1:11" ht="18" customHeight="1">
      <c r="A96" s="151" t="s">
        <v>126</v>
      </c>
      <c r="B96" s="901"/>
      <c r="C96" s="902"/>
      <c r="D96" s="903"/>
      <c r="F96" s="156"/>
      <c r="G96" s="156"/>
      <c r="H96" s="157"/>
      <c r="I96" s="158">
        <f t="shared" si="9"/>
        <v>0</v>
      </c>
      <c r="J96" s="157"/>
      <c r="K96" s="159">
        <f t="shared" si="10"/>
        <v>0</v>
      </c>
    </row>
    <row r="97" spans="1:11" ht="18" customHeight="1">
      <c r="A97" s="151"/>
      <c r="B97" s="155"/>
    </row>
    <row r="98" spans="1:11" ht="18" customHeight="1">
      <c r="A98" s="154" t="s">
        <v>150</v>
      </c>
      <c r="B98" s="150" t="s">
        <v>151</v>
      </c>
      <c r="E98" s="150" t="s">
        <v>7</v>
      </c>
      <c r="F98" s="162">
        <f t="shared" ref="F98:K98" si="11">SUM(F86:F96)</f>
        <v>3792.5</v>
      </c>
      <c r="G98" s="162">
        <f t="shared" si="11"/>
        <v>0</v>
      </c>
      <c r="H98" s="162">
        <f t="shared" si="11"/>
        <v>622542.16999999993</v>
      </c>
      <c r="I98" s="162">
        <f t="shared" si="11"/>
        <v>528662.81076399994</v>
      </c>
      <c r="J98" s="162">
        <f t="shared" si="11"/>
        <v>44713.69</v>
      </c>
      <c r="K98" s="162">
        <f t="shared" si="11"/>
        <v>1106491.2907639998</v>
      </c>
    </row>
    <row r="99" spans="1:11" ht="18" customHeight="1" thickBot="1">
      <c r="B99" s="150"/>
      <c r="F99" s="172"/>
      <c r="G99" s="172"/>
      <c r="H99" s="172"/>
      <c r="I99" s="172"/>
      <c r="J99" s="172"/>
      <c r="K99" s="172"/>
    </row>
    <row r="100" spans="1:11" ht="42.75" customHeight="1">
      <c r="F100" s="153" t="s">
        <v>9</v>
      </c>
      <c r="G100" s="153" t="s">
        <v>37</v>
      </c>
      <c r="H100" s="153" t="s">
        <v>29</v>
      </c>
      <c r="I100" s="153" t="s">
        <v>30</v>
      </c>
      <c r="J100" s="153" t="s">
        <v>33</v>
      </c>
      <c r="K100" s="153" t="s">
        <v>34</v>
      </c>
    </row>
    <row r="101" spans="1:11" ht="18" customHeight="1">
      <c r="A101" s="154" t="s">
        <v>130</v>
      </c>
      <c r="B101" s="150" t="s">
        <v>63</v>
      </c>
    </row>
    <row r="102" spans="1:11" ht="18" customHeight="1">
      <c r="A102" s="151" t="s">
        <v>131</v>
      </c>
      <c r="B102" s="155" t="s">
        <v>152</v>
      </c>
      <c r="F102" s="156">
        <v>191.5</v>
      </c>
      <c r="G102" s="156">
        <v>0</v>
      </c>
      <c r="H102" s="157">
        <v>10010</v>
      </c>
      <c r="I102" s="158">
        <f>H102*F$114</f>
        <v>8500.4920000000002</v>
      </c>
      <c r="J102" s="157">
        <v>0</v>
      </c>
      <c r="K102" s="159">
        <f>(H102+I102)-J102</f>
        <v>18510.491999999998</v>
      </c>
    </row>
    <row r="103" spans="1:11" ht="18" customHeight="1">
      <c r="A103" s="151" t="s">
        <v>132</v>
      </c>
      <c r="B103" s="904" t="s">
        <v>62</v>
      </c>
      <c r="C103" s="904"/>
      <c r="F103" s="156">
        <v>53.5</v>
      </c>
      <c r="G103" s="156">
        <v>0</v>
      </c>
      <c r="H103" s="157">
        <v>2345</v>
      </c>
      <c r="I103" s="158">
        <f>H103*F$114</f>
        <v>1991.3739999999998</v>
      </c>
      <c r="J103" s="157">
        <v>0</v>
      </c>
      <c r="K103" s="159">
        <f>(H103+I103)-J103</f>
        <v>4336.3739999999998</v>
      </c>
    </row>
    <row r="104" spans="1:11" ht="18" customHeight="1">
      <c r="A104" s="151" t="s">
        <v>128</v>
      </c>
      <c r="B104" s="901" t="s">
        <v>806</v>
      </c>
      <c r="C104" s="902"/>
      <c r="D104" s="903"/>
      <c r="F104" s="156">
        <v>0</v>
      </c>
      <c r="G104" s="156">
        <v>0</v>
      </c>
      <c r="H104" s="157">
        <v>1160</v>
      </c>
      <c r="I104" s="158">
        <f>H104*F$114</f>
        <v>985.072</v>
      </c>
      <c r="J104" s="157">
        <v>0</v>
      </c>
      <c r="K104" s="159">
        <f>(H104+I104)-J104</f>
        <v>2145.0720000000001</v>
      </c>
    </row>
    <row r="105" spans="1:11" ht="18" customHeight="1">
      <c r="A105" s="151" t="s">
        <v>127</v>
      </c>
      <c r="B105" s="901"/>
      <c r="C105" s="902"/>
      <c r="D105" s="903"/>
      <c r="F105" s="156"/>
      <c r="G105" s="156"/>
      <c r="H105" s="157"/>
      <c r="I105" s="158">
        <f>H105*F$114</f>
        <v>0</v>
      </c>
      <c r="J105" s="157"/>
      <c r="K105" s="159">
        <f>(H105+I105)-J105</f>
        <v>0</v>
      </c>
    </row>
    <row r="106" spans="1:11" ht="18" customHeight="1">
      <c r="A106" s="151" t="s">
        <v>129</v>
      </c>
      <c r="B106" s="901"/>
      <c r="C106" s="902"/>
      <c r="D106" s="903"/>
      <c r="F106" s="156"/>
      <c r="G106" s="156"/>
      <c r="H106" s="157"/>
      <c r="I106" s="158">
        <f>H106*F$114</f>
        <v>0</v>
      </c>
      <c r="J106" s="157"/>
      <c r="K106" s="159">
        <f>(H106+I106)-J106</f>
        <v>0</v>
      </c>
    </row>
    <row r="107" spans="1:11" ht="18" customHeight="1">
      <c r="B107" s="150"/>
    </row>
    <row r="108" spans="1:11" s="167" customFormat="1" ht="18" customHeight="1">
      <c r="A108" s="154" t="s">
        <v>153</v>
      </c>
      <c r="B108" s="191" t="s">
        <v>154</v>
      </c>
      <c r="C108" s="147"/>
      <c r="D108" s="147"/>
      <c r="E108" s="150" t="s">
        <v>7</v>
      </c>
      <c r="F108" s="162">
        <f t="shared" ref="F108:K108" si="12">SUM(F102:F106)</f>
        <v>245</v>
      </c>
      <c r="G108" s="162">
        <f t="shared" si="12"/>
        <v>0</v>
      </c>
      <c r="H108" s="159">
        <f t="shared" si="12"/>
        <v>13515</v>
      </c>
      <c r="I108" s="159">
        <f t="shared" si="12"/>
        <v>11476.938</v>
      </c>
      <c r="J108" s="159">
        <f t="shared" si="12"/>
        <v>0</v>
      </c>
      <c r="K108" s="159">
        <f t="shared" si="12"/>
        <v>24991.937999999998</v>
      </c>
    </row>
    <row r="109" spans="1:11" s="167" customFormat="1" ht="18" customHeight="1" thickBot="1">
      <c r="A109" s="192"/>
      <c r="B109" s="193"/>
      <c r="C109" s="194"/>
      <c r="D109" s="194"/>
      <c r="E109" s="194"/>
      <c r="F109" s="172"/>
      <c r="G109" s="172"/>
      <c r="H109" s="172"/>
      <c r="I109" s="172"/>
      <c r="J109" s="172"/>
      <c r="K109" s="172"/>
    </row>
    <row r="110" spans="1:11" s="167" customFormat="1" ht="18" customHeight="1">
      <c r="A110" s="154" t="s">
        <v>156</v>
      </c>
      <c r="B110" s="150" t="s">
        <v>39</v>
      </c>
      <c r="C110" s="147"/>
      <c r="D110" s="147"/>
      <c r="E110" s="147"/>
      <c r="F110" s="147"/>
      <c r="G110" s="147"/>
      <c r="H110" s="147"/>
      <c r="I110" s="147"/>
      <c r="J110" s="147"/>
      <c r="K110" s="147"/>
    </row>
    <row r="111" spans="1:11" ht="18" customHeight="1">
      <c r="A111" s="154" t="s">
        <v>155</v>
      </c>
      <c r="B111" s="150" t="s">
        <v>164</v>
      </c>
      <c r="E111" s="150" t="s">
        <v>7</v>
      </c>
      <c r="F111" s="157">
        <v>9705306</v>
      </c>
    </row>
    <row r="112" spans="1:11" ht="18" customHeight="1">
      <c r="B112" s="150"/>
      <c r="E112" s="150"/>
      <c r="F112" s="195"/>
    </row>
    <row r="113" spans="1:6" ht="18" customHeight="1">
      <c r="A113" s="154"/>
      <c r="B113" s="150" t="s">
        <v>15</v>
      </c>
    </row>
    <row r="114" spans="1:6" ht="18" customHeight="1">
      <c r="A114" s="151" t="s">
        <v>171</v>
      </c>
      <c r="B114" s="155" t="s">
        <v>35</v>
      </c>
      <c r="F114" s="196">
        <v>0.84919999999999995</v>
      </c>
    </row>
    <row r="115" spans="1:6" ht="18" customHeight="1">
      <c r="A115" s="151"/>
      <c r="B115" s="150"/>
    </row>
    <row r="116" spans="1:6" ht="18" customHeight="1">
      <c r="A116" s="151" t="s">
        <v>170</v>
      </c>
      <c r="B116" s="150" t="s">
        <v>16</v>
      </c>
    </row>
    <row r="117" spans="1:6" ht="18" customHeight="1">
      <c r="A117" s="151" t="s">
        <v>172</v>
      </c>
      <c r="B117" s="155" t="s">
        <v>17</v>
      </c>
      <c r="F117" s="157">
        <v>305112249</v>
      </c>
    </row>
    <row r="118" spans="1:6" ht="18" customHeight="1">
      <c r="A118" s="151" t="s">
        <v>173</v>
      </c>
      <c r="B118" s="147" t="s">
        <v>18</v>
      </c>
      <c r="F118" s="157">
        <v>7292916</v>
      </c>
    </row>
    <row r="119" spans="1:6" ht="18" customHeight="1">
      <c r="A119" s="151" t="s">
        <v>174</v>
      </c>
      <c r="B119" s="150" t="s">
        <v>19</v>
      </c>
      <c r="F119" s="187">
        <f>SUM(F117:F118)</f>
        <v>312405165</v>
      </c>
    </row>
    <row r="120" spans="1:6" ht="18" customHeight="1">
      <c r="A120" s="151"/>
      <c r="B120" s="150"/>
    </row>
    <row r="121" spans="1:6" ht="18" customHeight="1">
      <c r="A121" s="151" t="s">
        <v>167</v>
      </c>
      <c r="B121" s="150" t="s">
        <v>36</v>
      </c>
      <c r="F121" s="157">
        <v>290767947</v>
      </c>
    </row>
    <row r="122" spans="1:6" ht="18" customHeight="1">
      <c r="A122" s="151"/>
    </row>
    <row r="123" spans="1:6" ht="18" customHeight="1">
      <c r="A123" s="151" t="s">
        <v>175</v>
      </c>
      <c r="B123" s="150" t="s">
        <v>20</v>
      </c>
      <c r="F123" s="157">
        <v>21637218</v>
      </c>
    </row>
    <row r="124" spans="1:6" ht="18" customHeight="1">
      <c r="A124" s="151"/>
    </row>
    <row r="125" spans="1:6" ht="18" customHeight="1">
      <c r="A125" s="151" t="s">
        <v>176</v>
      </c>
      <c r="B125" s="150" t="s">
        <v>21</v>
      </c>
      <c r="F125" s="157">
        <v>-450578</v>
      </c>
    </row>
    <row r="126" spans="1:6" ht="18" customHeight="1">
      <c r="A126" s="151"/>
    </row>
    <row r="127" spans="1:6" ht="18" customHeight="1">
      <c r="A127" s="151" t="s">
        <v>177</v>
      </c>
      <c r="B127" s="150" t="s">
        <v>22</v>
      </c>
      <c r="F127" s="157">
        <v>21186640</v>
      </c>
    </row>
    <row r="128" spans="1:6" ht="18" customHeight="1">
      <c r="A128" s="151"/>
    </row>
    <row r="129" spans="1:11" ht="42.75" customHeight="1">
      <c r="F129" s="153" t="s">
        <v>9</v>
      </c>
      <c r="G129" s="153" t="s">
        <v>37</v>
      </c>
      <c r="H129" s="153" t="s">
        <v>29</v>
      </c>
      <c r="I129" s="153" t="s">
        <v>30</v>
      </c>
      <c r="J129" s="153" t="s">
        <v>33</v>
      </c>
      <c r="K129" s="153" t="s">
        <v>34</v>
      </c>
    </row>
    <row r="130" spans="1:11" ht="18" customHeight="1">
      <c r="A130" s="154" t="s">
        <v>157</v>
      </c>
      <c r="B130" s="150" t="s">
        <v>23</v>
      </c>
    </row>
    <row r="131" spans="1:11" ht="18" customHeight="1">
      <c r="A131" s="151" t="s">
        <v>158</v>
      </c>
      <c r="B131" s="147" t="s">
        <v>24</v>
      </c>
      <c r="F131" s="156"/>
      <c r="G131" s="156"/>
      <c r="H131" s="157"/>
      <c r="I131" s="158">
        <v>0</v>
      </c>
      <c r="J131" s="157"/>
      <c r="K131" s="159">
        <f>(H131+I131)-J131</f>
        <v>0</v>
      </c>
    </row>
    <row r="132" spans="1:11" ht="18" customHeight="1">
      <c r="A132" s="151" t="s">
        <v>159</v>
      </c>
      <c r="B132" s="147" t="s">
        <v>25</v>
      </c>
      <c r="F132" s="156"/>
      <c r="G132" s="156"/>
      <c r="H132" s="157"/>
      <c r="I132" s="158">
        <v>0</v>
      </c>
      <c r="J132" s="157"/>
      <c r="K132" s="159">
        <f>(H132+I132)-J132</f>
        <v>0</v>
      </c>
    </row>
    <row r="133" spans="1:11" ht="18" customHeight="1">
      <c r="A133" s="151" t="s">
        <v>160</v>
      </c>
      <c r="B133" s="898"/>
      <c r="C133" s="899"/>
      <c r="D133" s="900"/>
      <c r="F133" s="156"/>
      <c r="G133" s="156"/>
      <c r="H133" s="157"/>
      <c r="I133" s="158">
        <v>0</v>
      </c>
      <c r="J133" s="157"/>
      <c r="K133" s="159">
        <f>(H133+I133)-J133</f>
        <v>0</v>
      </c>
    </row>
    <row r="134" spans="1:11" ht="18" customHeight="1">
      <c r="A134" s="151" t="s">
        <v>161</v>
      </c>
      <c r="B134" s="898"/>
      <c r="C134" s="899"/>
      <c r="D134" s="900"/>
      <c r="F134" s="156"/>
      <c r="G134" s="156"/>
      <c r="H134" s="157"/>
      <c r="I134" s="158">
        <v>0</v>
      </c>
      <c r="J134" s="157"/>
      <c r="K134" s="159">
        <f>(H134+I134)-J134</f>
        <v>0</v>
      </c>
    </row>
    <row r="135" spans="1:11" ht="18" customHeight="1">
      <c r="A135" s="151" t="s">
        <v>162</v>
      </c>
      <c r="B135" s="898"/>
      <c r="C135" s="899"/>
      <c r="D135" s="900"/>
      <c r="F135" s="156"/>
      <c r="G135" s="156"/>
      <c r="H135" s="157"/>
      <c r="I135" s="158">
        <v>0</v>
      </c>
      <c r="J135" s="157"/>
      <c r="K135" s="159">
        <f>(H135+I135)-J135</f>
        <v>0</v>
      </c>
    </row>
    <row r="136" spans="1:11" ht="18" customHeight="1">
      <c r="A136" s="154"/>
    </row>
    <row r="137" spans="1:11" ht="18" customHeight="1">
      <c r="A137" s="154" t="s">
        <v>163</v>
      </c>
      <c r="B137" s="150" t="s">
        <v>27</v>
      </c>
      <c r="F137" s="162">
        <f t="shared" ref="F137:K137" si="13">SUM(F131:F135)</f>
        <v>0</v>
      </c>
      <c r="G137" s="162">
        <f t="shared" si="13"/>
        <v>0</v>
      </c>
      <c r="H137" s="159">
        <f t="shared" si="13"/>
        <v>0</v>
      </c>
      <c r="I137" s="159">
        <f t="shared" si="13"/>
        <v>0</v>
      </c>
      <c r="J137" s="159">
        <f t="shared" si="13"/>
        <v>0</v>
      </c>
      <c r="K137" s="159">
        <f t="shared" si="13"/>
        <v>0</v>
      </c>
    </row>
    <row r="138" spans="1:11" ht="18" customHeight="1">
      <c r="A138" s="147"/>
    </row>
    <row r="139" spans="1:11" ht="42.75" customHeight="1">
      <c r="F139" s="153" t="s">
        <v>9</v>
      </c>
      <c r="G139" s="153" t="s">
        <v>37</v>
      </c>
      <c r="H139" s="153" t="s">
        <v>29</v>
      </c>
      <c r="I139" s="153" t="s">
        <v>30</v>
      </c>
      <c r="J139" s="153" t="s">
        <v>33</v>
      </c>
      <c r="K139" s="153" t="s">
        <v>34</v>
      </c>
    </row>
    <row r="140" spans="1:11" ht="18" customHeight="1">
      <c r="A140" s="154" t="s">
        <v>166</v>
      </c>
      <c r="B140" s="150" t="s">
        <v>26</v>
      </c>
    </row>
    <row r="141" spans="1:11" ht="18" customHeight="1">
      <c r="A141" s="151" t="s">
        <v>137</v>
      </c>
      <c r="B141" s="150" t="s">
        <v>64</v>
      </c>
      <c r="F141" s="197">
        <f t="shared" ref="F141:K141" si="14">F36</f>
        <v>16320</v>
      </c>
      <c r="G141" s="197">
        <f t="shared" si="14"/>
        <v>123558</v>
      </c>
      <c r="H141" s="197">
        <f t="shared" si="14"/>
        <v>601241</v>
      </c>
      <c r="I141" s="197">
        <f t="shared" si="14"/>
        <v>510573.85719999997</v>
      </c>
      <c r="J141" s="197">
        <f t="shared" si="14"/>
        <v>4224</v>
      </c>
      <c r="K141" s="197">
        <f t="shared" si="14"/>
        <v>1107590.8572</v>
      </c>
    </row>
    <row r="142" spans="1:11" ht="18" customHeight="1">
      <c r="A142" s="151" t="s">
        <v>142</v>
      </c>
      <c r="B142" s="150" t="s">
        <v>65</v>
      </c>
      <c r="F142" s="197">
        <f t="shared" ref="F142:K142" si="15">F49</f>
        <v>18955</v>
      </c>
      <c r="G142" s="197">
        <f t="shared" si="15"/>
        <v>85201</v>
      </c>
      <c r="H142" s="197">
        <f t="shared" si="15"/>
        <v>991681</v>
      </c>
      <c r="I142" s="197">
        <f t="shared" si="15"/>
        <v>0</v>
      </c>
      <c r="J142" s="197">
        <f t="shared" si="15"/>
        <v>500</v>
      </c>
      <c r="K142" s="197">
        <f t="shared" si="15"/>
        <v>991181</v>
      </c>
    </row>
    <row r="143" spans="1:11" ht="18" customHeight="1">
      <c r="A143" s="151" t="s">
        <v>144</v>
      </c>
      <c r="B143" s="150" t="s">
        <v>66</v>
      </c>
      <c r="F143" s="197">
        <f t="shared" ref="F143:K143" si="16">F64</f>
        <v>228298</v>
      </c>
      <c r="G143" s="197">
        <f t="shared" si="16"/>
        <v>101669</v>
      </c>
      <c r="H143" s="197">
        <f t="shared" si="16"/>
        <v>30710850.209999997</v>
      </c>
      <c r="I143" s="197">
        <f t="shared" si="16"/>
        <v>14017814.64305</v>
      </c>
      <c r="J143" s="197">
        <f t="shared" si="16"/>
        <v>22236673.719999999</v>
      </c>
      <c r="K143" s="197">
        <f t="shared" si="16"/>
        <v>22491991.133049998</v>
      </c>
    </row>
    <row r="144" spans="1:11" ht="18" customHeight="1">
      <c r="A144" s="151" t="s">
        <v>146</v>
      </c>
      <c r="B144" s="150" t="s">
        <v>67</v>
      </c>
      <c r="F144" s="197">
        <f t="shared" ref="F144:K144" si="17">F74</f>
        <v>0</v>
      </c>
      <c r="G144" s="197">
        <f t="shared" si="17"/>
        <v>0</v>
      </c>
      <c r="H144" s="197">
        <f t="shared" si="17"/>
        <v>0</v>
      </c>
      <c r="I144" s="197">
        <f t="shared" si="17"/>
        <v>0</v>
      </c>
      <c r="J144" s="197">
        <f t="shared" si="17"/>
        <v>0</v>
      </c>
      <c r="K144" s="197">
        <f t="shared" si="17"/>
        <v>0</v>
      </c>
    </row>
    <row r="145" spans="1:11" ht="18" customHeight="1">
      <c r="A145" s="151" t="s">
        <v>148</v>
      </c>
      <c r="B145" s="150" t="s">
        <v>68</v>
      </c>
      <c r="F145" s="197">
        <f t="shared" ref="F145:K145" si="18">F82</f>
        <v>1444.5</v>
      </c>
      <c r="G145" s="197">
        <f t="shared" si="18"/>
        <v>473</v>
      </c>
      <c r="H145" s="197">
        <f t="shared" si="18"/>
        <v>403291</v>
      </c>
      <c r="I145" s="197">
        <f t="shared" si="18"/>
        <v>0</v>
      </c>
      <c r="J145" s="197">
        <f t="shared" si="18"/>
        <v>12000</v>
      </c>
      <c r="K145" s="197">
        <f t="shared" si="18"/>
        <v>391291</v>
      </c>
    </row>
    <row r="146" spans="1:11" ht="18" customHeight="1">
      <c r="A146" s="151" t="s">
        <v>150</v>
      </c>
      <c r="B146" s="150" t="s">
        <v>69</v>
      </c>
      <c r="F146" s="197">
        <f t="shared" ref="F146:K146" si="19">F98</f>
        <v>3792.5</v>
      </c>
      <c r="G146" s="197">
        <f t="shared" si="19"/>
        <v>0</v>
      </c>
      <c r="H146" s="197">
        <f t="shared" si="19"/>
        <v>622542.16999999993</v>
      </c>
      <c r="I146" s="197">
        <f t="shared" si="19"/>
        <v>528662.81076399994</v>
      </c>
      <c r="J146" s="197">
        <f t="shared" si="19"/>
        <v>44713.69</v>
      </c>
      <c r="K146" s="197">
        <f t="shared" si="19"/>
        <v>1106491.2907639998</v>
      </c>
    </row>
    <row r="147" spans="1:11" ht="18" customHeight="1">
      <c r="A147" s="151" t="s">
        <v>153</v>
      </c>
      <c r="B147" s="150" t="s">
        <v>61</v>
      </c>
      <c r="F147" s="162">
        <f t="shared" ref="F147:K147" si="20">F108</f>
        <v>245</v>
      </c>
      <c r="G147" s="162">
        <f t="shared" si="20"/>
        <v>0</v>
      </c>
      <c r="H147" s="162">
        <f t="shared" si="20"/>
        <v>13515</v>
      </c>
      <c r="I147" s="162">
        <f t="shared" si="20"/>
        <v>11476.938</v>
      </c>
      <c r="J147" s="162">
        <f t="shared" si="20"/>
        <v>0</v>
      </c>
      <c r="K147" s="162">
        <f t="shared" si="20"/>
        <v>24991.937999999998</v>
      </c>
    </row>
    <row r="148" spans="1:11" ht="18" customHeight="1">
      <c r="A148" s="151" t="s">
        <v>155</v>
      </c>
      <c r="B148" s="150" t="s">
        <v>70</v>
      </c>
      <c r="F148" s="198" t="s">
        <v>73</v>
      </c>
      <c r="G148" s="198" t="s">
        <v>73</v>
      </c>
      <c r="H148" s="199" t="s">
        <v>73</v>
      </c>
      <c r="I148" s="199" t="s">
        <v>73</v>
      </c>
      <c r="J148" s="199" t="s">
        <v>73</v>
      </c>
      <c r="K148" s="200">
        <f>F111</f>
        <v>9705306</v>
      </c>
    </row>
    <row r="149" spans="1:11" ht="18" customHeight="1">
      <c r="A149" s="151" t="s">
        <v>163</v>
      </c>
      <c r="B149" s="150" t="s">
        <v>71</v>
      </c>
      <c r="F149" s="162">
        <f t="shared" ref="F149:K149" si="21">F137</f>
        <v>0</v>
      </c>
      <c r="G149" s="162">
        <f t="shared" si="21"/>
        <v>0</v>
      </c>
      <c r="H149" s="162">
        <f t="shared" si="21"/>
        <v>0</v>
      </c>
      <c r="I149" s="162">
        <f t="shared" si="21"/>
        <v>0</v>
      </c>
      <c r="J149" s="162">
        <f t="shared" si="21"/>
        <v>0</v>
      </c>
      <c r="K149" s="162">
        <f t="shared" si="21"/>
        <v>0</v>
      </c>
    </row>
    <row r="150" spans="1:11" ht="18" customHeight="1">
      <c r="A150" s="151" t="s">
        <v>185</v>
      </c>
      <c r="B150" s="150" t="s">
        <v>186</v>
      </c>
      <c r="F150" s="198" t="s">
        <v>73</v>
      </c>
      <c r="G150" s="198" t="s">
        <v>73</v>
      </c>
      <c r="H150" s="162">
        <f>H18</f>
        <v>7835600</v>
      </c>
      <c r="I150" s="162">
        <f>I18</f>
        <v>0</v>
      </c>
      <c r="J150" s="162">
        <f>J18</f>
        <v>6700417</v>
      </c>
      <c r="K150" s="162">
        <f>K18</f>
        <v>1135183</v>
      </c>
    </row>
    <row r="151" spans="1:11" ht="18" customHeight="1">
      <c r="B151" s="150"/>
      <c r="F151" s="174"/>
      <c r="G151" s="174"/>
      <c r="H151" s="174"/>
      <c r="I151" s="174"/>
      <c r="J151" s="174"/>
      <c r="K151" s="174"/>
    </row>
    <row r="152" spans="1:11" ht="18" customHeight="1">
      <c r="A152" s="154" t="s">
        <v>165</v>
      </c>
      <c r="B152" s="150" t="s">
        <v>26</v>
      </c>
      <c r="F152" s="201">
        <f t="shared" ref="F152:K152" si="22">SUM(F141:F150)</f>
        <v>269055</v>
      </c>
      <c r="G152" s="201">
        <f t="shared" si="22"/>
        <v>310901</v>
      </c>
      <c r="H152" s="201">
        <f t="shared" si="22"/>
        <v>41178720.379999995</v>
      </c>
      <c r="I152" s="201">
        <f t="shared" si="22"/>
        <v>15068528.249013999</v>
      </c>
      <c r="J152" s="201">
        <f t="shared" si="22"/>
        <v>28998528.41</v>
      </c>
      <c r="K152" s="201">
        <f t="shared" si="22"/>
        <v>36954026.219014004</v>
      </c>
    </row>
    <row r="154" spans="1:11" ht="18" customHeight="1">
      <c r="A154" s="154" t="s">
        <v>168</v>
      </c>
      <c r="B154" s="150" t="s">
        <v>28</v>
      </c>
      <c r="F154" s="53">
        <f>K152/F121</f>
        <v>0.12709112747910278</v>
      </c>
    </row>
    <row r="155" spans="1:11" ht="18" customHeight="1">
      <c r="A155" s="154" t="s">
        <v>169</v>
      </c>
      <c r="B155" s="150" t="s">
        <v>72</v>
      </c>
      <c r="F155" s="53">
        <f>K152/F127</f>
        <v>1.7442136279756491</v>
      </c>
      <c r="G155" s="150"/>
    </row>
    <row r="156" spans="1:11" ht="18" customHeight="1">
      <c r="G156" s="150"/>
    </row>
  </sheetData>
  <sheetProtection algorithmName="SHA-512" hashValue="iVvdvBFvLJrCQayOzWBOnlmmkvSOlg0vsuWfxw4ykvUWsRMIU69Eos4F9LU4n3blGdfrud4L5z60Zw6vfmvLvQ==" saltValue="dNfDTr1s26G+Dg2uXX89nw==" spinCount="100000" sheet="1" objects="1" scenarios="1"/>
  <mergeCells count="28">
    <mergeCell ref="C10:G10"/>
    <mergeCell ref="D2:H2"/>
    <mergeCell ref="C5:G5"/>
    <mergeCell ref="C6:G6"/>
    <mergeCell ref="C7:G7"/>
    <mergeCell ref="C9:G9"/>
    <mergeCell ref="B90:C90"/>
    <mergeCell ref="C11:G11"/>
    <mergeCell ref="B13:H13"/>
    <mergeCell ref="B30:D30"/>
    <mergeCell ref="B31:D31"/>
    <mergeCell ref="B34:D34"/>
    <mergeCell ref="B41:C41"/>
    <mergeCell ref="B44:D44"/>
    <mergeCell ref="B45:D45"/>
    <mergeCell ref="B46:D46"/>
    <mergeCell ref="B47:D47"/>
    <mergeCell ref="B52:C52"/>
    <mergeCell ref="B106:D106"/>
    <mergeCell ref="B133:D133"/>
    <mergeCell ref="B134:D134"/>
    <mergeCell ref="B135:D135"/>
    <mergeCell ref="B94:D94"/>
    <mergeCell ref="B95:D95"/>
    <mergeCell ref="B96:D96"/>
    <mergeCell ref="B103:C103"/>
    <mergeCell ref="B104:D104"/>
    <mergeCell ref="B105:D105"/>
  </mergeCells>
  <printOptions headings="1" gridLines="1"/>
  <pageMargins left="0.17" right="0.16" top="0.35" bottom="0.32" header="0.17" footer="0.17"/>
  <pageSetup scale="59" fitToHeight="3" orientation="landscape" horizontalDpi="1200"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K156"/>
  <sheetViews>
    <sheetView zoomScaleNormal="100" workbookViewId="0">
      <selection activeCell="H18" sqref="H18"/>
    </sheetView>
  </sheetViews>
  <sheetFormatPr defaultRowHeight="18" customHeight="1"/>
  <cols>
    <col min="1" max="1" width="8.28515625" style="420" customWidth="1"/>
    <col min="2" max="2" width="55.42578125" style="418" bestFit="1" customWidth="1"/>
    <col min="3" max="3" width="9.5703125" style="418" customWidth="1"/>
    <col min="4" max="4" width="9.140625" style="418"/>
    <col min="5" max="5" width="12.42578125" style="418" customWidth="1"/>
    <col min="6" max="6" width="18.5703125" style="418" customWidth="1"/>
    <col min="7" max="7" width="23.5703125" style="418" customWidth="1"/>
    <col min="8" max="8" width="17.140625" style="418" customWidth="1"/>
    <col min="9" max="9" width="21.140625" style="418" customWidth="1"/>
    <col min="10" max="10" width="19.85546875" style="418" customWidth="1"/>
    <col min="11" max="11" width="17.5703125" style="418" customWidth="1"/>
    <col min="12" max="16384" width="9.140625" style="418"/>
  </cols>
  <sheetData>
    <row r="1" spans="1:11" ht="18" customHeight="1">
      <c r="C1" s="484"/>
      <c r="D1" s="485"/>
      <c r="E1" s="484"/>
      <c r="F1" s="484"/>
      <c r="G1" s="484"/>
      <c r="H1" s="484"/>
      <c r="I1" s="484"/>
      <c r="J1" s="484"/>
      <c r="K1" s="484"/>
    </row>
    <row r="2" spans="1:11" ht="18" customHeight="1">
      <c r="D2" s="1023" t="s">
        <v>713</v>
      </c>
      <c r="E2" s="997"/>
      <c r="F2" s="997"/>
      <c r="G2" s="997"/>
      <c r="H2" s="997"/>
    </row>
    <row r="3" spans="1:11" ht="18" customHeight="1">
      <c r="B3" s="419" t="s">
        <v>0</v>
      </c>
    </row>
    <row r="5" spans="1:11" ht="18" customHeight="1">
      <c r="B5" s="427" t="s">
        <v>40</v>
      </c>
      <c r="C5" s="1024" t="s">
        <v>807</v>
      </c>
      <c r="D5" s="1025"/>
      <c r="E5" s="1025"/>
      <c r="F5" s="1025"/>
      <c r="G5" s="1026"/>
    </row>
    <row r="6" spans="1:11" ht="18" customHeight="1">
      <c r="B6" s="427" t="s">
        <v>3</v>
      </c>
      <c r="C6" s="1027">
        <v>28</v>
      </c>
      <c r="D6" s="1028"/>
      <c r="E6" s="1028"/>
      <c r="F6" s="1028"/>
      <c r="G6" s="1029"/>
    </row>
    <row r="7" spans="1:11" ht="18" customHeight="1">
      <c r="B7" s="427" t="s">
        <v>4</v>
      </c>
      <c r="C7" s="1030">
        <v>1200</v>
      </c>
      <c r="D7" s="1031"/>
      <c r="E7" s="1031"/>
      <c r="F7" s="1031"/>
      <c r="G7" s="1032"/>
    </row>
    <row r="9" spans="1:11" ht="18" customHeight="1">
      <c r="B9" s="427" t="s">
        <v>1</v>
      </c>
      <c r="C9" s="1024" t="s">
        <v>503</v>
      </c>
      <c r="D9" s="1025"/>
      <c r="E9" s="1025"/>
      <c r="F9" s="1025"/>
      <c r="G9" s="1026"/>
    </row>
    <row r="10" spans="1:11" ht="18" customHeight="1">
      <c r="B10" s="427" t="s">
        <v>2</v>
      </c>
      <c r="C10" s="1083" t="s">
        <v>491</v>
      </c>
      <c r="D10" s="1084"/>
      <c r="E10" s="1084"/>
      <c r="F10" s="1084"/>
      <c r="G10" s="1085"/>
    </row>
    <row r="11" spans="1:11" ht="18" customHeight="1">
      <c r="B11" s="427" t="s">
        <v>32</v>
      </c>
      <c r="C11" s="1086" t="s">
        <v>492</v>
      </c>
      <c r="D11" s="1087"/>
      <c r="E11" s="1087"/>
      <c r="F11" s="1087"/>
      <c r="G11" s="1087"/>
    </row>
    <row r="12" spans="1:11" ht="18" customHeight="1">
      <c r="B12" s="427"/>
      <c r="C12" s="427"/>
      <c r="D12" s="427"/>
      <c r="E12" s="427"/>
      <c r="F12" s="427"/>
      <c r="G12" s="427"/>
    </row>
    <row r="13" spans="1:11" ht="24.6" customHeight="1">
      <c r="B13" s="1034"/>
      <c r="C13" s="1035"/>
      <c r="D13" s="1035"/>
      <c r="E13" s="1035"/>
      <c r="F13" s="1035"/>
      <c r="G13" s="1035"/>
      <c r="H13" s="1036"/>
      <c r="I13" s="484"/>
    </row>
    <row r="14" spans="1:11" ht="18" customHeight="1">
      <c r="B14" s="497"/>
    </row>
    <row r="15" spans="1:11" ht="18" customHeight="1">
      <c r="B15" s="497"/>
    </row>
    <row r="16" spans="1:11" ht="45" customHeight="1">
      <c r="A16" s="485" t="s">
        <v>181</v>
      </c>
      <c r="B16" s="484"/>
      <c r="C16" s="484"/>
      <c r="D16" s="484"/>
      <c r="E16" s="484"/>
      <c r="F16" s="431" t="s">
        <v>9</v>
      </c>
      <c r="G16" s="431" t="s">
        <v>37</v>
      </c>
      <c r="H16" s="431" t="s">
        <v>29</v>
      </c>
      <c r="I16" s="431" t="s">
        <v>30</v>
      </c>
      <c r="J16" s="431" t="s">
        <v>33</v>
      </c>
      <c r="K16" s="431" t="s">
        <v>34</v>
      </c>
    </row>
    <row r="17" spans="1:11" ht="18" customHeight="1">
      <c r="A17" s="422" t="s">
        <v>184</v>
      </c>
      <c r="B17" s="419" t="s">
        <v>182</v>
      </c>
    </row>
    <row r="18" spans="1:11" ht="18" customHeight="1">
      <c r="A18" s="427" t="s">
        <v>185</v>
      </c>
      <c r="B18" s="439" t="s">
        <v>183</v>
      </c>
      <c r="F18" s="435" t="s">
        <v>73</v>
      </c>
      <c r="G18" s="435" t="s">
        <v>73</v>
      </c>
      <c r="H18" s="433">
        <v>3861509</v>
      </c>
      <c r="I18" s="434">
        <v>0</v>
      </c>
      <c r="J18" s="433">
        <v>3302073</v>
      </c>
      <c r="K18" s="432">
        <v>559436</v>
      </c>
    </row>
    <row r="19" spans="1:11" ht="45" customHeight="1">
      <c r="A19" s="485" t="s">
        <v>8</v>
      </c>
      <c r="B19" s="484"/>
      <c r="C19" s="484"/>
      <c r="D19" s="484"/>
      <c r="E19" s="484"/>
      <c r="F19" s="431" t="s">
        <v>9</v>
      </c>
      <c r="G19" s="431" t="s">
        <v>37</v>
      </c>
      <c r="H19" s="431" t="s">
        <v>29</v>
      </c>
      <c r="I19" s="431" t="s">
        <v>30</v>
      </c>
      <c r="J19" s="431" t="s">
        <v>33</v>
      </c>
      <c r="K19" s="431" t="s">
        <v>34</v>
      </c>
    </row>
    <row r="20" spans="1:11" ht="18" customHeight="1">
      <c r="A20" s="422" t="s">
        <v>74</v>
      </c>
      <c r="B20" s="419" t="s">
        <v>41</v>
      </c>
    </row>
    <row r="21" spans="1:11" ht="18" customHeight="1">
      <c r="A21" s="427" t="s">
        <v>75</v>
      </c>
      <c r="B21" s="439" t="s">
        <v>42</v>
      </c>
      <c r="F21" s="435">
        <v>3339</v>
      </c>
      <c r="G21" s="435">
        <v>10493</v>
      </c>
      <c r="H21" s="433">
        <v>143483</v>
      </c>
      <c r="I21" s="434">
        <v>59257</v>
      </c>
      <c r="J21" s="433">
        <v>11057</v>
      </c>
      <c r="K21" s="432">
        <f t="shared" ref="K21:K34" si="0">(H21+I21)-J21</f>
        <v>191683</v>
      </c>
    </row>
    <row r="22" spans="1:11" ht="18" customHeight="1">
      <c r="A22" s="427" t="s">
        <v>76</v>
      </c>
      <c r="B22" s="418" t="s">
        <v>6</v>
      </c>
      <c r="F22" s="435">
        <v>41</v>
      </c>
      <c r="G22" s="435">
        <v>313</v>
      </c>
      <c r="H22" s="433">
        <v>1934</v>
      </c>
      <c r="I22" s="434">
        <v>1078</v>
      </c>
      <c r="J22" s="433">
        <v>0</v>
      </c>
      <c r="K22" s="432">
        <f t="shared" si="0"/>
        <v>3012</v>
      </c>
    </row>
    <row r="23" spans="1:11" ht="18" customHeight="1">
      <c r="A23" s="427" t="s">
        <v>77</v>
      </c>
      <c r="B23" s="418" t="s">
        <v>43</v>
      </c>
      <c r="F23" s="435"/>
      <c r="G23" s="435"/>
      <c r="H23" s="433"/>
      <c r="I23" s="434">
        <f t="shared" ref="I23:I34" si="1">H23*F$114</f>
        <v>0</v>
      </c>
      <c r="J23" s="433"/>
      <c r="K23" s="432">
        <f t="shared" si="0"/>
        <v>0</v>
      </c>
    </row>
    <row r="24" spans="1:11" ht="18" customHeight="1">
      <c r="A24" s="427" t="s">
        <v>78</v>
      </c>
      <c r="B24" s="418" t="s">
        <v>44</v>
      </c>
      <c r="F24" s="435">
        <v>7529</v>
      </c>
      <c r="G24" s="435">
        <v>1952</v>
      </c>
      <c r="H24" s="433">
        <v>307984</v>
      </c>
      <c r="I24" s="434">
        <v>76640</v>
      </c>
      <c r="J24" s="433">
        <v>175583</v>
      </c>
      <c r="K24" s="432">
        <f t="shared" si="0"/>
        <v>209041</v>
      </c>
    </row>
    <row r="25" spans="1:11" ht="18" customHeight="1">
      <c r="A25" s="427" t="s">
        <v>79</v>
      </c>
      <c r="B25" s="418" t="s">
        <v>5</v>
      </c>
      <c r="F25" s="435"/>
      <c r="G25" s="435"/>
      <c r="H25" s="433"/>
      <c r="I25" s="434">
        <f t="shared" si="1"/>
        <v>0</v>
      </c>
      <c r="J25" s="433"/>
      <c r="K25" s="432">
        <f t="shared" si="0"/>
        <v>0</v>
      </c>
    </row>
    <row r="26" spans="1:11" ht="18" customHeight="1">
      <c r="A26" s="427" t="s">
        <v>80</v>
      </c>
      <c r="B26" s="418" t="s">
        <v>45</v>
      </c>
      <c r="F26" s="435"/>
      <c r="G26" s="435"/>
      <c r="H26" s="433"/>
      <c r="I26" s="434">
        <f t="shared" si="1"/>
        <v>0</v>
      </c>
      <c r="J26" s="433"/>
      <c r="K26" s="432">
        <f t="shared" si="0"/>
        <v>0</v>
      </c>
    </row>
    <row r="27" spans="1:11" ht="18" customHeight="1">
      <c r="A27" s="427" t="s">
        <v>81</v>
      </c>
      <c r="B27" s="418" t="s">
        <v>46</v>
      </c>
      <c r="F27" s="435"/>
      <c r="G27" s="435"/>
      <c r="H27" s="433"/>
      <c r="I27" s="434">
        <f t="shared" si="1"/>
        <v>0</v>
      </c>
      <c r="J27" s="433"/>
      <c r="K27" s="432">
        <f t="shared" si="0"/>
        <v>0</v>
      </c>
    </row>
    <row r="28" spans="1:11" ht="18" customHeight="1">
      <c r="A28" s="427" t="s">
        <v>82</v>
      </c>
      <c r="B28" s="418" t="s">
        <v>47</v>
      </c>
      <c r="F28" s="435"/>
      <c r="G28" s="435"/>
      <c r="H28" s="433"/>
      <c r="I28" s="434">
        <f t="shared" si="1"/>
        <v>0</v>
      </c>
      <c r="J28" s="433"/>
      <c r="K28" s="432">
        <f t="shared" si="0"/>
        <v>0</v>
      </c>
    </row>
    <row r="29" spans="1:11" ht="18" customHeight="1">
      <c r="A29" s="427" t="s">
        <v>83</v>
      </c>
      <c r="B29" s="418" t="s">
        <v>48</v>
      </c>
      <c r="F29" s="435">
        <v>10320</v>
      </c>
      <c r="G29" s="435">
        <v>3131</v>
      </c>
      <c r="H29" s="433">
        <v>669911</v>
      </c>
      <c r="I29" s="434">
        <v>392897</v>
      </c>
      <c r="J29" s="433">
        <v>35000</v>
      </c>
      <c r="K29" s="432">
        <f t="shared" si="0"/>
        <v>1027808</v>
      </c>
    </row>
    <row r="30" spans="1:11" ht="18" customHeight="1">
      <c r="A30" s="427" t="s">
        <v>84</v>
      </c>
      <c r="B30" s="1016"/>
      <c r="C30" s="1017"/>
      <c r="D30" s="1018"/>
      <c r="F30" s="435"/>
      <c r="G30" s="435"/>
      <c r="H30" s="433"/>
      <c r="I30" s="434">
        <f t="shared" si="1"/>
        <v>0</v>
      </c>
      <c r="J30" s="433"/>
      <c r="K30" s="432">
        <f t="shared" si="0"/>
        <v>0</v>
      </c>
    </row>
    <row r="31" spans="1:11" ht="18" customHeight="1">
      <c r="A31" s="427" t="s">
        <v>133</v>
      </c>
      <c r="B31" s="1016"/>
      <c r="C31" s="1017"/>
      <c r="D31" s="1018"/>
      <c r="F31" s="435"/>
      <c r="G31" s="435"/>
      <c r="H31" s="433"/>
      <c r="I31" s="434">
        <f t="shared" si="1"/>
        <v>0</v>
      </c>
      <c r="J31" s="433"/>
      <c r="K31" s="432">
        <f t="shared" si="0"/>
        <v>0</v>
      </c>
    </row>
    <row r="32" spans="1:11" ht="18" customHeight="1">
      <c r="A32" s="427" t="s">
        <v>134</v>
      </c>
      <c r="B32" s="483"/>
      <c r="C32" s="482"/>
      <c r="D32" s="481"/>
      <c r="F32" s="435"/>
      <c r="G32" s="480" t="s">
        <v>85</v>
      </c>
      <c r="H32" s="433"/>
      <c r="I32" s="434">
        <f t="shared" si="1"/>
        <v>0</v>
      </c>
      <c r="J32" s="433"/>
      <c r="K32" s="432">
        <f t="shared" si="0"/>
        <v>0</v>
      </c>
    </row>
    <row r="33" spans="1:11" ht="18" customHeight="1">
      <c r="A33" s="427" t="s">
        <v>135</v>
      </c>
      <c r="B33" s="483"/>
      <c r="C33" s="482"/>
      <c r="D33" s="481"/>
      <c r="F33" s="435"/>
      <c r="G33" s="480" t="s">
        <v>85</v>
      </c>
      <c r="H33" s="433"/>
      <c r="I33" s="434">
        <f t="shared" si="1"/>
        <v>0</v>
      </c>
      <c r="J33" s="433"/>
      <c r="K33" s="432">
        <f t="shared" si="0"/>
        <v>0</v>
      </c>
    </row>
    <row r="34" spans="1:11" ht="18" customHeight="1">
      <c r="A34" s="427" t="s">
        <v>136</v>
      </c>
      <c r="B34" s="1016"/>
      <c r="C34" s="1017"/>
      <c r="D34" s="1018"/>
      <c r="F34" s="435"/>
      <c r="G34" s="480" t="s">
        <v>85</v>
      </c>
      <c r="H34" s="433"/>
      <c r="I34" s="434">
        <f t="shared" si="1"/>
        <v>0</v>
      </c>
      <c r="J34" s="433"/>
      <c r="K34" s="432">
        <f t="shared" si="0"/>
        <v>0</v>
      </c>
    </row>
    <row r="35" spans="1:11" ht="18" customHeight="1">
      <c r="K35" s="479"/>
    </row>
    <row r="36" spans="1:11" ht="18" customHeight="1">
      <c r="A36" s="422" t="s">
        <v>137</v>
      </c>
      <c r="B36" s="419" t="s">
        <v>138</v>
      </c>
      <c r="E36" s="419" t="s">
        <v>7</v>
      </c>
      <c r="F36" s="425">
        <f t="shared" ref="F36:K36" si="2">SUM(F21:F34)</f>
        <v>21229</v>
      </c>
      <c r="G36" s="425">
        <f t="shared" si="2"/>
        <v>15889</v>
      </c>
      <c r="H36" s="425">
        <f t="shared" si="2"/>
        <v>1123312</v>
      </c>
      <c r="I36" s="432">
        <f t="shared" si="2"/>
        <v>529872</v>
      </c>
      <c r="J36" s="432">
        <f t="shared" si="2"/>
        <v>221640</v>
      </c>
      <c r="K36" s="432">
        <f t="shared" si="2"/>
        <v>1431544</v>
      </c>
    </row>
    <row r="37" spans="1:11" ht="18" customHeight="1" thickBot="1">
      <c r="B37" s="419"/>
      <c r="F37" s="478"/>
      <c r="G37" s="478"/>
      <c r="H37" s="477"/>
      <c r="I37" s="477"/>
      <c r="J37" s="477"/>
      <c r="K37" s="476"/>
    </row>
    <row r="38" spans="1:11" ht="42.75" customHeight="1">
      <c r="F38" s="431" t="s">
        <v>9</v>
      </c>
      <c r="G38" s="431" t="s">
        <v>37</v>
      </c>
      <c r="H38" s="431" t="s">
        <v>29</v>
      </c>
      <c r="I38" s="431" t="s">
        <v>30</v>
      </c>
      <c r="J38" s="431" t="s">
        <v>33</v>
      </c>
      <c r="K38" s="431" t="s">
        <v>34</v>
      </c>
    </row>
    <row r="39" spans="1:11" ht="18.75" customHeight="1">
      <c r="A39" s="422" t="s">
        <v>86</v>
      </c>
      <c r="B39" s="419" t="s">
        <v>49</v>
      </c>
    </row>
    <row r="40" spans="1:11" ht="18" customHeight="1">
      <c r="A40" s="427" t="s">
        <v>87</v>
      </c>
      <c r="B40" s="418" t="s">
        <v>31</v>
      </c>
      <c r="F40" s="435">
        <v>1095</v>
      </c>
      <c r="G40" s="435">
        <v>834</v>
      </c>
      <c r="H40" s="433">
        <v>119629</v>
      </c>
      <c r="I40" s="434">
        <v>45874</v>
      </c>
      <c r="J40" s="433"/>
      <c r="K40" s="432">
        <f t="shared" ref="K40:K47" si="3">(H40+I40)-J40</f>
        <v>165503</v>
      </c>
    </row>
    <row r="41" spans="1:11" ht="18" customHeight="1">
      <c r="A41" s="427" t="s">
        <v>88</v>
      </c>
      <c r="B41" s="987" t="s">
        <v>50</v>
      </c>
      <c r="C41" s="1019"/>
      <c r="F41" s="435">
        <v>405</v>
      </c>
      <c r="G41" s="435">
        <v>219</v>
      </c>
      <c r="H41" s="433">
        <v>15028</v>
      </c>
      <c r="I41" s="434">
        <v>8851</v>
      </c>
      <c r="J41" s="433"/>
      <c r="K41" s="432">
        <f t="shared" si="3"/>
        <v>23879</v>
      </c>
    </row>
    <row r="42" spans="1:11" ht="18" customHeight="1">
      <c r="A42" s="427" t="s">
        <v>89</v>
      </c>
      <c r="B42" s="439" t="s">
        <v>11</v>
      </c>
      <c r="F42" s="435">
        <v>510</v>
      </c>
      <c r="G42" s="435">
        <v>662</v>
      </c>
      <c r="H42" s="433">
        <v>20070</v>
      </c>
      <c r="I42" s="434">
        <v>11633</v>
      </c>
      <c r="J42" s="433">
        <v>2079</v>
      </c>
      <c r="K42" s="432">
        <f t="shared" si="3"/>
        <v>29624</v>
      </c>
    </row>
    <row r="43" spans="1:11" ht="18" customHeight="1">
      <c r="A43" s="427" t="s">
        <v>90</v>
      </c>
      <c r="B43" s="475" t="s">
        <v>10</v>
      </c>
      <c r="C43" s="442"/>
      <c r="D43" s="442"/>
      <c r="F43" s="435"/>
      <c r="G43" s="435"/>
      <c r="H43" s="433"/>
      <c r="I43" s="434">
        <v>0</v>
      </c>
      <c r="J43" s="433"/>
      <c r="K43" s="432">
        <f t="shared" si="3"/>
        <v>0</v>
      </c>
    </row>
    <row r="44" spans="1:11" ht="18" customHeight="1">
      <c r="A44" s="427" t="s">
        <v>91</v>
      </c>
      <c r="B44" s="1016"/>
      <c r="C44" s="1017"/>
      <c r="D44" s="1018"/>
      <c r="F44" s="473"/>
      <c r="G44" s="473"/>
      <c r="H44" s="473"/>
      <c r="I44" s="474">
        <v>0</v>
      </c>
      <c r="J44" s="473"/>
      <c r="K44" s="472">
        <f t="shared" si="3"/>
        <v>0</v>
      </c>
    </row>
    <row r="45" spans="1:11" ht="18" customHeight="1">
      <c r="A45" s="427" t="s">
        <v>139</v>
      </c>
      <c r="B45" s="1016"/>
      <c r="C45" s="1017"/>
      <c r="D45" s="1018"/>
      <c r="F45" s="435"/>
      <c r="G45" s="435"/>
      <c r="H45" s="433"/>
      <c r="I45" s="434">
        <v>0</v>
      </c>
      <c r="J45" s="433"/>
      <c r="K45" s="432">
        <f t="shared" si="3"/>
        <v>0</v>
      </c>
    </row>
    <row r="46" spans="1:11" ht="18" customHeight="1">
      <c r="A46" s="427" t="s">
        <v>140</v>
      </c>
      <c r="B46" s="1016"/>
      <c r="C46" s="1017"/>
      <c r="D46" s="1018"/>
      <c r="F46" s="435"/>
      <c r="G46" s="435"/>
      <c r="H46" s="433"/>
      <c r="I46" s="434">
        <v>0</v>
      </c>
      <c r="J46" s="433"/>
      <c r="K46" s="432">
        <f t="shared" si="3"/>
        <v>0</v>
      </c>
    </row>
    <row r="47" spans="1:11" ht="18" customHeight="1">
      <c r="A47" s="427" t="s">
        <v>141</v>
      </c>
      <c r="B47" s="1016"/>
      <c r="C47" s="1017"/>
      <c r="D47" s="1018"/>
      <c r="F47" s="435"/>
      <c r="G47" s="435"/>
      <c r="H47" s="433"/>
      <c r="I47" s="434">
        <v>0</v>
      </c>
      <c r="J47" s="433"/>
      <c r="K47" s="432">
        <f t="shared" si="3"/>
        <v>0</v>
      </c>
    </row>
    <row r="49" spans="1:11" ht="18" customHeight="1">
      <c r="A49" s="422" t="s">
        <v>142</v>
      </c>
      <c r="B49" s="419" t="s">
        <v>143</v>
      </c>
      <c r="E49" s="419" t="s">
        <v>7</v>
      </c>
      <c r="F49" s="471">
        <f t="shared" ref="F49:K49" si="4">SUM(F40:F47)</f>
        <v>2010</v>
      </c>
      <c r="G49" s="471">
        <f t="shared" si="4"/>
        <v>1715</v>
      </c>
      <c r="H49" s="432">
        <f t="shared" si="4"/>
        <v>154727</v>
      </c>
      <c r="I49" s="432">
        <f t="shared" si="4"/>
        <v>66358</v>
      </c>
      <c r="J49" s="432">
        <f t="shared" si="4"/>
        <v>2079</v>
      </c>
      <c r="K49" s="432">
        <f t="shared" si="4"/>
        <v>219006</v>
      </c>
    </row>
    <row r="50" spans="1:11" ht="18" customHeight="1" thickBot="1">
      <c r="G50" s="443"/>
      <c r="H50" s="443"/>
      <c r="I50" s="443"/>
      <c r="J50" s="443"/>
      <c r="K50" s="443"/>
    </row>
    <row r="51" spans="1:11" ht="42.75" customHeight="1">
      <c r="F51" s="431" t="s">
        <v>9</v>
      </c>
      <c r="G51" s="431" t="s">
        <v>37</v>
      </c>
      <c r="H51" s="431" t="s">
        <v>29</v>
      </c>
      <c r="I51" s="431" t="s">
        <v>30</v>
      </c>
      <c r="J51" s="431" t="s">
        <v>33</v>
      </c>
      <c r="K51" s="431" t="s">
        <v>34</v>
      </c>
    </row>
    <row r="52" spans="1:11" ht="18" customHeight="1">
      <c r="A52" s="422" t="s">
        <v>92</v>
      </c>
      <c r="B52" s="992" t="s">
        <v>38</v>
      </c>
      <c r="C52" s="1020"/>
    </row>
    <row r="53" spans="1:11" ht="18" customHeight="1">
      <c r="A53" s="427" t="s">
        <v>51</v>
      </c>
      <c r="B53" s="1021" t="s">
        <v>808</v>
      </c>
      <c r="C53" s="1022"/>
      <c r="D53" s="1015"/>
      <c r="F53" s="435"/>
      <c r="G53" s="435"/>
      <c r="H53" s="433">
        <v>1387237</v>
      </c>
      <c r="I53" s="434">
        <v>0</v>
      </c>
      <c r="J53" s="433"/>
      <c r="K53" s="432">
        <f t="shared" ref="K53:K62" si="5">(H53+I53)-J53</f>
        <v>1387237</v>
      </c>
    </row>
    <row r="54" spans="1:11" ht="18" customHeight="1">
      <c r="A54" s="427" t="s">
        <v>93</v>
      </c>
      <c r="B54" s="466"/>
      <c r="C54" s="465"/>
      <c r="D54" s="464"/>
      <c r="F54" s="435"/>
      <c r="G54" s="435"/>
      <c r="H54" s="433"/>
      <c r="I54" s="434">
        <v>0</v>
      </c>
      <c r="J54" s="433"/>
      <c r="K54" s="432">
        <f t="shared" si="5"/>
        <v>0</v>
      </c>
    </row>
    <row r="55" spans="1:11" ht="18" customHeight="1">
      <c r="A55" s="427" t="s">
        <v>94</v>
      </c>
      <c r="B55" s="1013"/>
      <c r="C55" s="1014"/>
      <c r="D55" s="1015"/>
      <c r="F55" s="435"/>
      <c r="G55" s="435"/>
      <c r="H55" s="433">
        <v>3396644</v>
      </c>
      <c r="I55" s="434"/>
      <c r="J55" s="433">
        <v>1773063</v>
      </c>
      <c r="K55" s="432">
        <f t="shared" si="5"/>
        <v>1623581</v>
      </c>
    </row>
    <row r="56" spans="1:11" ht="18" customHeight="1">
      <c r="A56" s="427" t="s">
        <v>95</v>
      </c>
      <c r="B56" s="1013"/>
      <c r="C56" s="1014"/>
      <c r="D56" s="1015"/>
      <c r="F56" s="435"/>
      <c r="G56" s="435"/>
      <c r="H56" s="433"/>
      <c r="I56" s="434">
        <v>0</v>
      </c>
      <c r="J56" s="433"/>
      <c r="K56" s="432">
        <f t="shared" si="5"/>
        <v>0</v>
      </c>
    </row>
    <row r="57" spans="1:11" ht="18" customHeight="1">
      <c r="A57" s="427" t="s">
        <v>96</v>
      </c>
      <c r="B57" s="1013"/>
      <c r="C57" s="1014"/>
      <c r="D57" s="1015"/>
      <c r="F57" s="435"/>
      <c r="G57" s="435"/>
      <c r="H57" s="433"/>
      <c r="I57" s="434">
        <v>0</v>
      </c>
      <c r="J57" s="433"/>
      <c r="K57" s="432">
        <f t="shared" si="5"/>
        <v>0</v>
      </c>
    </row>
    <row r="58" spans="1:11" ht="18" customHeight="1">
      <c r="A58" s="427" t="s">
        <v>97</v>
      </c>
      <c r="B58" s="466"/>
      <c r="C58" s="465"/>
      <c r="D58" s="464"/>
      <c r="F58" s="435"/>
      <c r="G58" s="435"/>
      <c r="H58" s="433"/>
      <c r="I58" s="434">
        <v>0</v>
      </c>
      <c r="J58" s="433"/>
      <c r="K58" s="432">
        <f t="shared" si="5"/>
        <v>0</v>
      </c>
    </row>
    <row r="59" spans="1:11" ht="18" customHeight="1">
      <c r="A59" s="427" t="s">
        <v>98</v>
      </c>
      <c r="B59" s="1013"/>
      <c r="C59" s="1014"/>
      <c r="D59" s="1015"/>
      <c r="F59" s="435"/>
      <c r="G59" s="435"/>
      <c r="H59" s="433">
        <v>3795540</v>
      </c>
      <c r="I59" s="434">
        <v>0</v>
      </c>
      <c r="J59" s="433">
        <v>2466019</v>
      </c>
      <c r="K59" s="432">
        <f t="shared" si="5"/>
        <v>1329521</v>
      </c>
    </row>
    <row r="60" spans="1:11" ht="18" customHeight="1">
      <c r="A60" s="427" t="s">
        <v>99</v>
      </c>
      <c r="B60" s="466"/>
      <c r="C60" s="465"/>
      <c r="D60" s="464"/>
      <c r="F60" s="435"/>
      <c r="G60" s="435"/>
      <c r="H60" s="433">
        <v>545179</v>
      </c>
      <c r="I60" s="434">
        <v>0</v>
      </c>
      <c r="J60" s="433">
        <v>435090</v>
      </c>
      <c r="K60" s="432">
        <f t="shared" si="5"/>
        <v>110089</v>
      </c>
    </row>
    <row r="61" spans="1:11" ht="18" customHeight="1">
      <c r="A61" s="427" t="s">
        <v>100</v>
      </c>
      <c r="B61" s="466"/>
      <c r="C61" s="465"/>
      <c r="D61" s="464"/>
      <c r="F61" s="435"/>
      <c r="G61" s="435"/>
      <c r="H61" s="433"/>
      <c r="I61" s="434">
        <v>0</v>
      </c>
      <c r="J61" s="433"/>
      <c r="K61" s="432">
        <f t="shared" si="5"/>
        <v>0</v>
      </c>
    </row>
    <row r="62" spans="1:11" ht="18" customHeight="1">
      <c r="A62" s="427" t="s">
        <v>101</v>
      </c>
      <c r="B62" s="1013"/>
      <c r="C62" s="1014"/>
      <c r="D62" s="1015"/>
      <c r="F62" s="435"/>
      <c r="G62" s="435"/>
      <c r="H62" s="433"/>
      <c r="I62" s="434">
        <v>0</v>
      </c>
      <c r="J62" s="433"/>
      <c r="K62" s="432">
        <f t="shared" si="5"/>
        <v>0</v>
      </c>
    </row>
    <row r="63" spans="1:11" ht="18" customHeight="1">
      <c r="A63" s="427"/>
      <c r="I63" s="470"/>
    </row>
    <row r="64" spans="1:11" ht="18" customHeight="1">
      <c r="A64" s="427" t="s">
        <v>144</v>
      </c>
      <c r="B64" s="419" t="s">
        <v>145</v>
      </c>
      <c r="E64" s="419" t="s">
        <v>7</v>
      </c>
      <c r="F64" s="425">
        <f t="shared" ref="F64:K64" si="6">SUM(F53:F62)</f>
        <v>0</v>
      </c>
      <c r="G64" s="425">
        <f t="shared" si="6"/>
        <v>0</v>
      </c>
      <c r="H64" s="432">
        <f t="shared" si="6"/>
        <v>9124600</v>
      </c>
      <c r="I64" s="432">
        <f t="shared" si="6"/>
        <v>0</v>
      </c>
      <c r="J64" s="432">
        <f t="shared" si="6"/>
        <v>4674172</v>
      </c>
      <c r="K64" s="432">
        <f t="shared" si="6"/>
        <v>4450428</v>
      </c>
    </row>
    <row r="65" spans="1:11" ht="18" customHeight="1">
      <c r="F65" s="424"/>
      <c r="G65" s="424"/>
      <c r="H65" s="424"/>
      <c r="I65" s="424"/>
      <c r="J65" s="424"/>
      <c r="K65" s="424"/>
    </row>
    <row r="66" spans="1:11" ht="42.75" customHeight="1">
      <c r="F66" s="469" t="s">
        <v>9</v>
      </c>
      <c r="G66" s="469" t="s">
        <v>37</v>
      </c>
      <c r="H66" s="469" t="s">
        <v>29</v>
      </c>
      <c r="I66" s="469" t="s">
        <v>30</v>
      </c>
      <c r="J66" s="469" t="s">
        <v>33</v>
      </c>
      <c r="K66" s="469" t="s">
        <v>34</v>
      </c>
    </row>
    <row r="67" spans="1:11" ht="18" customHeight="1">
      <c r="A67" s="422" t="s">
        <v>102</v>
      </c>
      <c r="B67" s="419" t="s">
        <v>12</v>
      </c>
      <c r="F67" s="468"/>
      <c r="G67" s="468"/>
      <c r="H67" s="468"/>
      <c r="I67" s="457"/>
      <c r="J67" s="468"/>
      <c r="K67" s="455"/>
    </row>
    <row r="68" spans="1:11" ht="18" customHeight="1">
      <c r="A68" s="427" t="s">
        <v>103</v>
      </c>
      <c r="B68" s="418" t="s">
        <v>52</v>
      </c>
      <c r="F68" s="452"/>
      <c r="G68" s="452"/>
      <c r="H68" s="452"/>
      <c r="I68" s="434">
        <v>0</v>
      </c>
      <c r="J68" s="452"/>
      <c r="K68" s="432">
        <f>(H68+I68)-J68</f>
        <v>0</v>
      </c>
    </row>
    <row r="69" spans="1:11" ht="18" customHeight="1">
      <c r="A69" s="427" t="s">
        <v>104</v>
      </c>
      <c r="B69" s="439" t="s">
        <v>53</v>
      </c>
      <c r="F69" s="452"/>
      <c r="G69" s="452"/>
      <c r="H69" s="452"/>
      <c r="I69" s="434">
        <v>0</v>
      </c>
      <c r="J69" s="452"/>
      <c r="K69" s="432">
        <f>(H69+I69)-J69</f>
        <v>0</v>
      </c>
    </row>
    <row r="70" spans="1:11" ht="18" customHeight="1">
      <c r="A70" s="427" t="s">
        <v>178</v>
      </c>
      <c r="B70" s="466"/>
      <c r="C70" s="465"/>
      <c r="D70" s="464"/>
      <c r="E70" s="419"/>
      <c r="F70" s="463"/>
      <c r="G70" s="463"/>
      <c r="H70" s="462"/>
      <c r="I70" s="434">
        <v>0</v>
      </c>
      <c r="J70" s="462"/>
      <c r="K70" s="432">
        <f>(H70+I70)-J70</f>
        <v>0</v>
      </c>
    </row>
    <row r="71" spans="1:11" ht="18" customHeight="1">
      <c r="A71" s="427" t="s">
        <v>179</v>
      </c>
      <c r="B71" s="466"/>
      <c r="C71" s="465"/>
      <c r="D71" s="464"/>
      <c r="E71" s="419"/>
      <c r="F71" s="463"/>
      <c r="G71" s="463"/>
      <c r="H71" s="462"/>
      <c r="I71" s="434">
        <v>0</v>
      </c>
      <c r="J71" s="462"/>
      <c r="K71" s="432">
        <f>(H71+I71)-J71</f>
        <v>0</v>
      </c>
    </row>
    <row r="72" spans="1:11" ht="18" customHeight="1">
      <c r="A72" s="427" t="s">
        <v>180</v>
      </c>
      <c r="B72" s="461"/>
      <c r="C72" s="460"/>
      <c r="D72" s="459"/>
      <c r="E72" s="419"/>
      <c r="F72" s="435"/>
      <c r="G72" s="435"/>
      <c r="H72" s="433"/>
      <c r="I72" s="434">
        <v>0</v>
      </c>
      <c r="J72" s="433"/>
      <c r="K72" s="432">
        <f>(H72+I72)-J72</f>
        <v>0</v>
      </c>
    </row>
    <row r="73" spans="1:11" ht="18" customHeight="1">
      <c r="A73" s="427"/>
      <c r="B73" s="439"/>
      <c r="E73" s="419"/>
      <c r="F73" s="458"/>
      <c r="G73" s="458"/>
      <c r="H73" s="456"/>
      <c r="I73" s="457"/>
      <c r="J73" s="456"/>
      <c r="K73" s="455"/>
    </row>
    <row r="74" spans="1:11" ht="18" customHeight="1">
      <c r="A74" s="422" t="s">
        <v>146</v>
      </c>
      <c r="B74" s="419" t="s">
        <v>147</v>
      </c>
      <c r="E74" s="419" t="s">
        <v>7</v>
      </c>
      <c r="F74" s="450">
        <f t="shared" ref="F74:K74" si="7">SUM(F68:F72)</f>
        <v>0</v>
      </c>
      <c r="G74" s="450">
        <f t="shared" si="7"/>
        <v>0</v>
      </c>
      <c r="H74" s="450">
        <f t="shared" si="7"/>
        <v>0</v>
      </c>
      <c r="I74" s="454">
        <f t="shared" si="7"/>
        <v>0</v>
      </c>
      <c r="J74" s="450">
        <f t="shared" si="7"/>
        <v>0</v>
      </c>
      <c r="K74" s="438">
        <f t="shared" si="7"/>
        <v>0</v>
      </c>
    </row>
    <row r="75" spans="1:11" ht="42.75" customHeight="1">
      <c r="F75" s="431" t="s">
        <v>9</v>
      </c>
      <c r="G75" s="431" t="s">
        <v>37</v>
      </c>
      <c r="H75" s="431" t="s">
        <v>29</v>
      </c>
      <c r="I75" s="431" t="s">
        <v>30</v>
      </c>
      <c r="J75" s="431" t="s">
        <v>33</v>
      </c>
      <c r="K75" s="431" t="s">
        <v>34</v>
      </c>
    </row>
    <row r="76" spans="1:11" ht="18" customHeight="1">
      <c r="A76" s="422" t="s">
        <v>105</v>
      </c>
      <c r="B76" s="419" t="s">
        <v>106</v>
      </c>
    </row>
    <row r="77" spans="1:11" ht="18" customHeight="1">
      <c r="A77" s="427" t="s">
        <v>107</v>
      </c>
      <c r="B77" s="439" t="s">
        <v>54</v>
      </c>
      <c r="F77" s="435"/>
      <c r="G77" s="435"/>
      <c r="H77" s="433">
        <v>21950</v>
      </c>
      <c r="I77" s="434">
        <v>0</v>
      </c>
      <c r="J77" s="433"/>
      <c r="K77" s="432">
        <f>(H77+I77)-J77</f>
        <v>21950</v>
      </c>
    </row>
    <row r="78" spans="1:11" ht="18" customHeight="1">
      <c r="A78" s="427" t="s">
        <v>108</v>
      </c>
      <c r="B78" s="439" t="s">
        <v>55</v>
      </c>
      <c r="F78" s="435"/>
      <c r="G78" s="435"/>
      <c r="H78" s="433">
        <v>4200</v>
      </c>
      <c r="I78" s="434">
        <v>0</v>
      </c>
      <c r="J78" s="433"/>
      <c r="K78" s="432">
        <f>(H78+I78)-J78</f>
        <v>4200</v>
      </c>
    </row>
    <row r="79" spans="1:11" ht="18" customHeight="1">
      <c r="A79" s="427" t="s">
        <v>109</v>
      </c>
      <c r="B79" s="439" t="s">
        <v>13</v>
      </c>
      <c r="F79" s="435">
        <v>2203</v>
      </c>
      <c r="G79" s="435">
        <v>798</v>
      </c>
      <c r="H79" s="433">
        <v>102263</v>
      </c>
      <c r="I79" s="434">
        <v>55979</v>
      </c>
      <c r="J79" s="433"/>
      <c r="K79" s="432">
        <f>(H79+I79)-J79</f>
        <v>158242</v>
      </c>
    </row>
    <row r="80" spans="1:11" ht="18" customHeight="1">
      <c r="A80" s="427" t="s">
        <v>110</v>
      </c>
      <c r="B80" s="439" t="s">
        <v>56</v>
      </c>
      <c r="F80" s="435"/>
      <c r="G80" s="435"/>
      <c r="H80" s="433"/>
      <c r="I80" s="434">
        <v>0</v>
      </c>
      <c r="J80" s="433"/>
      <c r="K80" s="432">
        <f>(H80+I80)-J80</f>
        <v>0</v>
      </c>
    </row>
    <row r="81" spans="1:11" ht="18" customHeight="1">
      <c r="A81" s="427"/>
      <c r="K81" s="451"/>
    </row>
    <row r="82" spans="1:11" ht="18" customHeight="1">
      <c r="A82" s="427" t="s">
        <v>148</v>
      </c>
      <c r="B82" s="419" t="s">
        <v>149</v>
      </c>
      <c r="E82" s="419" t="s">
        <v>7</v>
      </c>
      <c r="F82" s="450">
        <f t="shared" ref="F82:K82" si="8">SUM(F77:F80)</f>
        <v>2203</v>
      </c>
      <c r="G82" s="450">
        <f t="shared" si="8"/>
        <v>798</v>
      </c>
      <c r="H82" s="438">
        <f t="shared" si="8"/>
        <v>128413</v>
      </c>
      <c r="I82" s="438">
        <f t="shared" si="8"/>
        <v>55979</v>
      </c>
      <c r="J82" s="438">
        <f t="shared" si="8"/>
        <v>0</v>
      </c>
      <c r="K82" s="438">
        <f t="shared" si="8"/>
        <v>184392</v>
      </c>
    </row>
    <row r="83" spans="1:11" ht="18" customHeight="1" thickBot="1">
      <c r="A83" s="427"/>
      <c r="F83" s="443"/>
      <c r="G83" s="443"/>
      <c r="H83" s="443"/>
      <c r="I83" s="443"/>
      <c r="J83" s="443"/>
      <c r="K83" s="443"/>
    </row>
    <row r="84" spans="1:11" ht="42.75" customHeight="1">
      <c r="F84" s="431" t="s">
        <v>9</v>
      </c>
      <c r="G84" s="431" t="s">
        <v>37</v>
      </c>
      <c r="H84" s="431" t="s">
        <v>29</v>
      </c>
      <c r="I84" s="431" t="s">
        <v>30</v>
      </c>
      <c r="J84" s="431" t="s">
        <v>33</v>
      </c>
      <c r="K84" s="431" t="s">
        <v>34</v>
      </c>
    </row>
    <row r="85" spans="1:11" ht="18" customHeight="1">
      <c r="A85" s="422" t="s">
        <v>111</v>
      </c>
      <c r="B85" s="419" t="s">
        <v>57</v>
      </c>
    </row>
    <row r="86" spans="1:11" ht="18" customHeight="1">
      <c r="A86" s="427" t="s">
        <v>112</v>
      </c>
      <c r="B86" s="439" t="s">
        <v>113</v>
      </c>
      <c r="F86" s="435"/>
      <c r="G86" s="435"/>
      <c r="H86" s="433"/>
      <c r="I86" s="434">
        <f t="shared" ref="I86:I96" si="9">H86*F$114</f>
        <v>0</v>
      </c>
      <c r="J86" s="433"/>
      <c r="K86" s="432">
        <f t="shared" ref="K86:K96" si="10">(H86+I86)-J86</f>
        <v>0</v>
      </c>
    </row>
    <row r="87" spans="1:11" ht="18" customHeight="1">
      <c r="A87" s="427" t="s">
        <v>114</v>
      </c>
      <c r="B87" s="439" t="s">
        <v>14</v>
      </c>
      <c r="F87" s="435"/>
      <c r="G87" s="435"/>
      <c r="H87" s="433"/>
      <c r="I87" s="434">
        <f t="shared" si="9"/>
        <v>0</v>
      </c>
      <c r="J87" s="433"/>
      <c r="K87" s="432">
        <f t="shared" si="10"/>
        <v>0</v>
      </c>
    </row>
    <row r="88" spans="1:11" ht="18" customHeight="1">
      <c r="A88" s="427" t="s">
        <v>115</v>
      </c>
      <c r="B88" s="439" t="s">
        <v>116</v>
      </c>
      <c r="F88" s="435"/>
      <c r="G88" s="435"/>
      <c r="H88" s="433"/>
      <c r="I88" s="434">
        <f t="shared" si="9"/>
        <v>0</v>
      </c>
      <c r="J88" s="433"/>
      <c r="K88" s="432">
        <f t="shared" si="10"/>
        <v>0</v>
      </c>
    </row>
    <row r="89" spans="1:11" ht="18" customHeight="1">
      <c r="A89" s="427" t="s">
        <v>117</v>
      </c>
      <c r="B89" s="439" t="s">
        <v>58</v>
      </c>
      <c r="F89" s="435"/>
      <c r="G89" s="435"/>
      <c r="H89" s="433"/>
      <c r="I89" s="434">
        <f t="shared" si="9"/>
        <v>0</v>
      </c>
      <c r="J89" s="433"/>
      <c r="K89" s="432">
        <f t="shared" si="10"/>
        <v>0</v>
      </c>
    </row>
    <row r="90" spans="1:11" ht="18" customHeight="1">
      <c r="A90" s="427" t="s">
        <v>118</v>
      </c>
      <c r="B90" s="987" t="s">
        <v>59</v>
      </c>
      <c r="C90" s="1019"/>
      <c r="F90" s="435">
        <v>20</v>
      </c>
      <c r="G90" s="435"/>
      <c r="H90" s="433">
        <v>1436</v>
      </c>
      <c r="I90" s="434">
        <v>0</v>
      </c>
      <c r="J90" s="433"/>
      <c r="K90" s="432">
        <f t="shared" si="10"/>
        <v>1436</v>
      </c>
    </row>
    <row r="91" spans="1:11" ht="18" customHeight="1">
      <c r="A91" s="427" t="s">
        <v>119</v>
      </c>
      <c r="B91" s="439" t="s">
        <v>60</v>
      </c>
      <c r="F91" s="435">
        <v>2295</v>
      </c>
      <c r="G91" s="435">
        <v>2410</v>
      </c>
      <c r="H91" s="433">
        <v>73623</v>
      </c>
      <c r="I91" s="434">
        <v>36120</v>
      </c>
      <c r="J91" s="433">
        <v>71294</v>
      </c>
      <c r="K91" s="432">
        <f t="shared" si="10"/>
        <v>38449</v>
      </c>
    </row>
    <row r="92" spans="1:11" ht="18" customHeight="1">
      <c r="A92" s="427" t="s">
        <v>120</v>
      </c>
      <c r="B92" s="439" t="s">
        <v>121</v>
      </c>
      <c r="F92" s="449"/>
      <c r="G92" s="449"/>
      <c r="H92" s="448">
        <v>29317</v>
      </c>
      <c r="I92" s="434">
        <v>17268</v>
      </c>
      <c r="J92" s="448"/>
      <c r="K92" s="432">
        <f t="shared" si="10"/>
        <v>46585</v>
      </c>
    </row>
    <row r="93" spans="1:11" ht="18" customHeight="1">
      <c r="A93" s="427" t="s">
        <v>122</v>
      </c>
      <c r="B93" s="439" t="s">
        <v>123</v>
      </c>
      <c r="F93" s="435">
        <v>26385</v>
      </c>
      <c r="G93" s="435">
        <v>1014</v>
      </c>
      <c r="H93" s="433">
        <v>281070</v>
      </c>
      <c r="I93" s="434">
        <v>161762</v>
      </c>
      <c r="J93" s="433"/>
      <c r="K93" s="432">
        <f t="shared" si="10"/>
        <v>442832</v>
      </c>
    </row>
    <row r="94" spans="1:11" ht="18" customHeight="1">
      <c r="A94" s="427" t="s">
        <v>124</v>
      </c>
      <c r="B94" s="1013"/>
      <c r="C94" s="1014"/>
      <c r="D94" s="1015"/>
      <c r="F94" s="435"/>
      <c r="G94" s="435"/>
      <c r="H94" s="433"/>
      <c r="I94" s="434">
        <f t="shared" si="9"/>
        <v>0</v>
      </c>
      <c r="J94" s="433"/>
      <c r="K94" s="432">
        <f t="shared" si="10"/>
        <v>0</v>
      </c>
    </row>
    <row r="95" spans="1:11" ht="18" customHeight="1">
      <c r="A95" s="427" t="s">
        <v>125</v>
      </c>
      <c r="B95" s="1013"/>
      <c r="C95" s="1014"/>
      <c r="D95" s="1015"/>
      <c r="F95" s="435"/>
      <c r="G95" s="435"/>
      <c r="H95" s="433"/>
      <c r="I95" s="434">
        <f t="shared" si="9"/>
        <v>0</v>
      </c>
      <c r="J95" s="433"/>
      <c r="K95" s="432">
        <f t="shared" si="10"/>
        <v>0</v>
      </c>
    </row>
    <row r="96" spans="1:11" ht="18" customHeight="1">
      <c r="A96" s="427" t="s">
        <v>126</v>
      </c>
      <c r="B96" s="1013"/>
      <c r="C96" s="1014"/>
      <c r="D96" s="1015"/>
      <c r="F96" s="435"/>
      <c r="G96" s="435"/>
      <c r="H96" s="433"/>
      <c r="I96" s="434">
        <f t="shared" si="9"/>
        <v>0</v>
      </c>
      <c r="J96" s="433"/>
      <c r="K96" s="432">
        <f t="shared" si="10"/>
        <v>0</v>
      </c>
    </row>
    <row r="97" spans="1:11" ht="18" customHeight="1">
      <c r="A97" s="427"/>
      <c r="B97" s="439"/>
    </row>
    <row r="98" spans="1:11" ht="18" customHeight="1">
      <c r="A98" s="422" t="s">
        <v>150</v>
      </c>
      <c r="B98" s="419" t="s">
        <v>151</v>
      </c>
      <c r="E98" s="419" t="s">
        <v>7</v>
      </c>
      <c r="F98" s="425">
        <f t="shared" ref="F98:K98" si="11">SUM(F86:F96)</f>
        <v>28700</v>
      </c>
      <c r="G98" s="425">
        <f t="shared" si="11"/>
        <v>3424</v>
      </c>
      <c r="H98" s="425">
        <f t="shared" si="11"/>
        <v>385446</v>
      </c>
      <c r="I98" s="425">
        <f t="shared" si="11"/>
        <v>215150</v>
      </c>
      <c r="J98" s="425">
        <f t="shared" si="11"/>
        <v>71294</v>
      </c>
      <c r="K98" s="425">
        <f t="shared" si="11"/>
        <v>529302</v>
      </c>
    </row>
    <row r="99" spans="1:11" ht="18" customHeight="1" thickBot="1">
      <c r="B99" s="419"/>
      <c r="F99" s="443"/>
      <c r="G99" s="443"/>
      <c r="H99" s="443"/>
      <c r="I99" s="443"/>
      <c r="J99" s="443"/>
      <c r="K99" s="443"/>
    </row>
    <row r="100" spans="1:11" ht="42.75" customHeight="1">
      <c r="F100" s="431" t="s">
        <v>9</v>
      </c>
      <c r="G100" s="431" t="s">
        <v>37</v>
      </c>
      <c r="H100" s="431" t="s">
        <v>29</v>
      </c>
      <c r="I100" s="431" t="s">
        <v>30</v>
      </c>
      <c r="J100" s="431" t="s">
        <v>33</v>
      </c>
      <c r="K100" s="431" t="s">
        <v>34</v>
      </c>
    </row>
    <row r="101" spans="1:11" ht="18" customHeight="1">
      <c r="A101" s="422" t="s">
        <v>130</v>
      </c>
      <c r="B101" s="419" t="s">
        <v>63</v>
      </c>
    </row>
    <row r="102" spans="1:11" ht="18" customHeight="1">
      <c r="A102" s="427" t="s">
        <v>131</v>
      </c>
      <c r="B102" s="439" t="s">
        <v>152</v>
      </c>
      <c r="F102" s="435">
        <v>8640</v>
      </c>
      <c r="G102" s="435"/>
      <c r="H102" s="433">
        <v>443503</v>
      </c>
      <c r="I102" s="434">
        <v>261224</v>
      </c>
      <c r="J102" s="433"/>
      <c r="K102" s="432">
        <f>(H102+I102)-J102</f>
        <v>704727</v>
      </c>
    </row>
    <row r="103" spans="1:11" ht="18" customHeight="1">
      <c r="A103" s="427" t="s">
        <v>132</v>
      </c>
      <c r="B103" s="987" t="s">
        <v>62</v>
      </c>
      <c r="C103" s="987"/>
      <c r="F103" s="435">
        <v>80</v>
      </c>
      <c r="G103" s="435">
        <v>874</v>
      </c>
      <c r="H103" s="433">
        <v>2969</v>
      </c>
      <c r="I103" s="434">
        <v>1749</v>
      </c>
      <c r="J103" s="433"/>
      <c r="K103" s="432">
        <f>(H103+I103)-J103</f>
        <v>4718</v>
      </c>
    </row>
    <row r="104" spans="1:11" ht="18" customHeight="1">
      <c r="A104" s="427" t="s">
        <v>128</v>
      </c>
      <c r="B104" s="1013"/>
      <c r="C104" s="1014"/>
      <c r="D104" s="1015"/>
      <c r="F104" s="435"/>
      <c r="G104" s="435"/>
      <c r="H104" s="433"/>
      <c r="I104" s="434">
        <f>H104*F$114</f>
        <v>0</v>
      </c>
      <c r="J104" s="433"/>
      <c r="K104" s="432">
        <f>(H104+I104)-J104</f>
        <v>0</v>
      </c>
    </row>
    <row r="105" spans="1:11" ht="18" customHeight="1">
      <c r="A105" s="427" t="s">
        <v>127</v>
      </c>
      <c r="B105" s="1013"/>
      <c r="C105" s="1014"/>
      <c r="D105" s="1015"/>
      <c r="F105" s="435"/>
      <c r="G105" s="435"/>
      <c r="H105" s="433"/>
      <c r="I105" s="434">
        <f>H105*F$114</f>
        <v>0</v>
      </c>
      <c r="J105" s="433"/>
      <c r="K105" s="432">
        <f>(H105+I105)-J105</f>
        <v>0</v>
      </c>
    </row>
    <row r="106" spans="1:11" ht="18" customHeight="1">
      <c r="A106" s="427" t="s">
        <v>129</v>
      </c>
      <c r="B106" s="1013"/>
      <c r="C106" s="1014"/>
      <c r="D106" s="1015"/>
      <c r="F106" s="435"/>
      <c r="G106" s="435"/>
      <c r="H106" s="433"/>
      <c r="I106" s="434">
        <f>H106*F$114</f>
        <v>0</v>
      </c>
      <c r="J106" s="433"/>
      <c r="K106" s="432">
        <f>(H106+I106)-J106</f>
        <v>0</v>
      </c>
    </row>
    <row r="107" spans="1:11" ht="18" customHeight="1">
      <c r="B107" s="419"/>
    </row>
    <row r="108" spans="1:11" s="442" customFormat="1" ht="18" customHeight="1">
      <c r="A108" s="422" t="s">
        <v>153</v>
      </c>
      <c r="B108" s="447" t="s">
        <v>154</v>
      </c>
      <c r="C108" s="418"/>
      <c r="D108" s="418"/>
      <c r="E108" s="419" t="s">
        <v>7</v>
      </c>
      <c r="F108" s="425">
        <f t="shared" ref="F108:K108" si="12">SUM(F102:F106)</f>
        <v>8720</v>
      </c>
      <c r="G108" s="425">
        <f t="shared" si="12"/>
        <v>874</v>
      </c>
      <c r="H108" s="432">
        <f t="shared" si="12"/>
        <v>446472</v>
      </c>
      <c r="I108" s="432">
        <f t="shared" si="12"/>
        <v>262973</v>
      </c>
      <c r="J108" s="432">
        <f t="shared" si="12"/>
        <v>0</v>
      </c>
      <c r="K108" s="432">
        <f t="shared" si="12"/>
        <v>709445</v>
      </c>
    </row>
    <row r="109" spans="1:11" s="442" customFormat="1" ht="18" customHeight="1" thickBot="1">
      <c r="A109" s="446"/>
      <c r="B109" s="445"/>
      <c r="C109" s="444"/>
      <c r="D109" s="444"/>
      <c r="E109" s="444"/>
      <c r="F109" s="443"/>
      <c r="G109" s="443"/>
      <c r="H109" s="443"/>
      <c r="I109" s="443"/>
      <c r="J109" s="443"/>
      <c r="K109" s="443"/>
    </row>
    <row r="110" spans="1:11" s="442" customFormat="1" ht="18" customHeight="1">
      <c r="A110" s="422" t="s">
        <v>156</v>
      </c>
      <c r="B110" s="419" t="s">
        <v>39</v>
      </c>
      <c r="C110" s="418"/>
      <c r="D110" s="418"/>
      <c r="E110" s="418"/>
      <c r="F110" s="418"/>
      <c r="G110" s="418"/>
      <c r="H110" s="418"/>
      <c r="I110" s="418"/>
      <c r="J110" s="418"/>
      <c r="K110" s="418"/>
    </row>
    <row r="111" spans="1:11" ht="18" customHeight="1">
      <c r="A111" s="422" t="s">
        <v>155</v>
      </c>
      <c r="B111" s="419" t="s">
        <v>164</v>
      </c>
      <c r="E111" s="419" t="s">
        <v>7</v>
      </c>
      <c r="F111" s="433">
        <v>1782643</v>
      </c>
    </row>
    <row r="112" spans="1:11" ht="18" customHeight="1">
      <c r="B112" s="419"/>
      <c r="E112" s="419"/>
      <c r="F112" s="441"/>
    </row>
    <row r="113" spans="1:6" ht="15">
      <c r="A113" s="422"/>
      <c r="B113" s="419" t="s">
        <v>15</v>
      </c>
    </row>
    <row r="114" spans="1:6" ht="15">
      <c r="A114" s="427" t="s">
        <v>171</v>
      </c>
      <c r="B114" s="439" t="s">
        <v>35</v>
      </c>
      <c r="F114" s="440">
        <v>0.58909999999999996</v>
      </c>
    </row>
    <row r="115" spans="1:6" ht="15">
      <c r="A115" s="427"/>
      <c r="B115" s="419"/>
    </row>
    <row r="116" spans="1:6" ht="15">
      <c r="A116" s="427" t="s">
        <v>170</v>
      </c>
      <c r="B116" s="419" t="s">
        <v>16</v>
      </c>
    </row>
    <row r="117" spans="1:6" ht="15">
      <c r="A117" s="427" t="s">
        <v>172</v>
      </c>
      <c r="B117" s="439" t="s">
        <v>17</v>
      </c>
      <c r="F117" s="433">
        <v>147788648</v>
      </c>
    </row>
    <row r="118" spans="1:6" ht="15">
      <c r="A118" s="427" t="s">
        <v>173</v>
      </c>
      <c r="B118" s="418" t="s">
        <v>18</v>
      </c>
      <c r="F118" s="433">
        <v>4874032</v>
      </c>
    </row>
    <row r="119" spans="1:6" ht="15">
      <c r="A119" s="427" t="s">
        <v>174</v>
      </c>
      <c r="B119" s="419" t="s">
        <v>19</v>
      </c>
      <c r="F119" s="438">
        <f>SUM(F117:F118)</f>
        <v>152662680</v>
      </c>
    </row>
    <row r="120" spans="1:6" ht="15">
      <c r="A120" s="427"/>
      <c r="B120" s="419"/>
    </row>
    <row r="121" spans="1:6" ht="15">
      <c r="A121" s="427" t="s">
        <v>167</v>
      </c>
      <c r="B121" s="419" t="s">
        <v>36</v>
      </c>
      <c r="F121" s="433">
        <v>139396080</v>
      </c>
    </row>
    <row r="122" spans="1:6" ht="15">
      <c r="A122" s="427"/>
    </row>
    <row r="123" spans="1:6" ht="15">
      <c r="A123" s="427" t="s">
        <v>175</v>
      </c>
      <c r="B123" s="419" t="s">
        <v>20</v>
      </c>
      <c r="F123" s="433">
        <f>F119-F121</f>
        <v>13266600</v>
      </c>
    </row>
    <row r="124" spans="1:6" ht="15">
      <c r="A124" s="427"/>
    </row>
    <row r="125" spans="1:6" ht="15">
      <c r="A125" s="427" t="s">
        <v>176</v>
      </c>
      <c r="B125" s="419" t="s">
        <v>21</v>
      </c>
      <c r="F125" s="433">
        <v>-8804</v>
      </c>
    </row>
    <row r="126" spans="1:6" ht="15">
      <c r="A126" s="427"/>
    </row>
    <row r="127" spans="1:6" ht="15">
      <c r="A127" s="427" t="s">
        <v>177</v>
      </c>
      <c r="B127" s="419" t="s">
        <v>22</v>
      </c>
      <c r="F127" s="433">
        <v>13257796</v>
      </c>
    </row>
    <row r="128" spans="1:6" ht="15">
      <c r="A128" s="427"/>
    </row>
    <row r="129" spans="1:11" ht="42.75" customHeight="1">
      <c r="F129" s="431" t="s">
        <v>9</v>
      </c>
      <c r="G129" s="431" t="s">
        <v>37</v>
      </c>
      <c r="H129" s="431" t="s">
        <v>29</v>
      </c>
      <c r="I129" s="431" t="s">
        <v>30</v>
      </c>
      <c r="J129" s="431" t="s">
        <v>33</v>
      </c>
      <c r="K129" s="431" t="s">
        <v>34</v>
      </c>
    </row>
    <row r="130" spans="1:11" ht="18" customHeight="1">
      <c r="A130" s="422" t="s">
        <v>157</v>
      </c>
      <c r="B130" s="419" t="s">
        <v>23</v>
      </c>
    </row>
    <row r="131" spans="1:11" ht="18" customHeight="1">
      <c r="A131" s="427" t="s">
        <v>158</v>
      </c>
      <c r="B131" s="418" t="s">
        <v>24</v>
      </c>
      <c r="F131" s="435"/>
      <c r="G131" s="435"/>
      <c r="H131" s="433"/>
      <c r="I131" s="434">
        <v>0</v>
      </c>
      <c r="J131" s="433"/>
      <c r="K131" s="432">
        <f>(H131+I131)-J131</f>
        <v>0</v>
      </c>
    </row>
    <row r="132" spans="1:11" ht="18" customHeight="1">
      <c r="A132" s="427" t="s">
        <v>159</v>
      </c>
      <c r="B132" s="418" t="s">
        <v>25</v>
      </c>
      <c r="F132" s="435"/>
      <c r="G132" s="435"/>
      <c r="H132" s="433"/>
      <c r="I132" s="434">
        <v>0</v>
      </c>
      <c r="J132" s="433"/>
      <c r="K132" s="432">
        <f>(H132+I132)-J132</f>
        <v>0</v>
      </c>
    </row>
    <row r="133" spans="1:11" ht="18" customHeight="1">
      <c r="A133" s="427" t="s">
        <v>160</v>
      </c>
      <c r="B133" s="1016"/>
      <c r="C133" s="1017"/>
      <c r="D133" s="1018"/>
      <c r="F133" s="435"/>
      <c r="G133" s="435"/>
      <c r="H133" s="433"/>
      <c r="I133" s="434">
        <v>0</v>
      </c>
      <c r="J133" s="433"/>
      <c r="K133" s="432">
        <f>(H133+I133)-J133</f>
        <v>0</v>
      </c>
    </row>
    <row r="134" spans="1:11" ht="18" customHeight="1">
      <c r="A134" s="427" t="s">
        <v>161</v>
      </c>
      <c r="B134" s="1016"/>
      <c r="C134" s="1017"/>
      <c r="D134" s="1018"/>
      <c r="F134" s="435"/>
      <c r="G134" s="435"/>
      <c r="H134" s="433"/>
      <c r="I134" s="434">
        <v>0</v>
      </c>
      <c r="J134" s="433"/>
      <c r="K134" s="432">
        <f>(H134+I134)-J134</f>
        <v>0</v>
      </c>
    </row>
    <row r="135" spans="1:11" ht="18" customHeight="1">
      <c r="A135" s="427" t="s">
        <v>162</v>
      </c>
      <c r="B135" s="1016"/>
      <c r="C135" s="1017"/>
      <c r="D135" s="1018"/>
      <c r="F135" s="435"/>
      <c r="G135" s="435"/>
      <c r="H135" s="433"/>
      <c r="I135" s="434">
        <v>0</v>
      </c>
      <c r="J135" s="433"/>
      <c r="K135" s="432">
        <f>(H135+I135)-J135</f>
        <v>0</v>
      </c>
    </row>
    <row r="136" spans="1:11" ht="18" customHeight="1">
      <c r="A136" s="422"/>
    </row>
    <row r="137" spans="1:11" ht="18" customHeight="1">
      <c r="A137" s="422" t="s">
        <v>163</v>
      </c>
      <c r="B137" s="419" t="s">
        <v>27</v>
      </c>
      <c r="F137" s="425">
        <f t="shared" ref="F137:K137" si="13">SUM(F131:F135)</f>
        <v>0</v>
      </c>
      <c r="G137" s="425">
        <f t="shared" si="13"/>
        <v>0</v>
      </c>
      <c r="H137" s="432">
        <f t="shared" si="13"/>
        <v>0</v>
      </c>
      <c r="I137" s="432">
        <f t="shared" si="13"/>
        <v>0</v>
      </c>
      <c r="J137" s="432">
        <f t="shared" si="13"/>
        <v>0</v>
      </c>
      <c r="K137" s="432">
        <f t="shared" si="13"/>
        <v>0</v>
      </c>
    </row>
    <row r="138" spans="1:11" ht="18" customHeight="1">
      <c r="A138" s="418"/>
    </row>
    <row r="139" spans="1:11" ht="42.75" customHeight="1">
      <c r="F139" s="431" t="s">
        <v>9</v>
      </c>
      <c r="G139" s="431" t="s">
        <v>37</v>
      </c>
      <c r="H139" s="431" t="s">
        <v>29</v>
      </c>
      <c r="I139" s="431" t="s">
        <v>30</v>
      </c>
      <c r="J139" s="431" t="s">
        <v>33</v>
      </c>
      <c r="K139" s="431" t="s">
        <v>34</v>
      </c>
    </row>
    <row r="140" spans="1:11" ht="18" customHeight="1">
      <c r="A140" s="422" t="s">
        <v>166</v>
      </c>
      <c r="B140" s="419" t="s">
        <v>26</v>
      </c>
    </row>
    <row r="141" spans="1:11" ht="18" customHeight="1">
      <c r="A141" s="427" t="s">
        <v>137</v>
      </c>
      <c r="B141" s="419" t="s">
        <v>64</v>
      </c>
      <c r="F141" s="430">
        <f t="shared" ref="F141:K141" si="14">F36</f>
        <v>21229</v>
      </c>
      <c r="G141" s="430">
        <f t="shared" si="14"/>
        <v>15889</v>
      </c>
      <c r="H141" s="430">
        <f t="shared" si="14"/>
        <v>1123312</v>
      </c>
      <c r="I141" s="430">
        <f t="shared" si="14"/>
        <v>529872</v>
      </c>
      <c r="J141" s="430">
        <f t="shared" si="14"/>
        <v>221640</v>
      </c>
      <c r="K141" s="430">
        <f t="shared" si="14"/>
        <v>1431544</v>
      </c>
    </row>
    <row r="142" spans="1:11" ht="18" customHeight="1">
      <c r="A142" s="427" t="s">
        <v>142</v>
      </c>
      <c r="B142" s="419" t="s">
        <v>65</v>
      </c>
      <c r="F142" s="430">
        <f t="shared" ref="F142:K142" si="15">F49</f>
        <v>2010</v>
      </c>
      <c r="G142" s="430">
        <f t="shared" si="15"/>
        <v>1715</v>
      </c>
      <c r="H142" s="430">
        <f t="shared" si="15"/>
        <v>154727</v>
      </c>
      <c r="I142" s="430">
        <f t="shared" si="15"/>
        <v>66358</v>
      </c>
      <c r="J142" s="430">
        <f t="shared" si="15"/>
        <v>2079</v>
      </c>
      <c r="K142" s="430">
        <f t="shared" si="15"/>
        <v>219006</v>
      </c>
    </row>
    <row r="143" spans="1:11" ht="18" customHeight="1">
      <c r="A143" s="427" t="s">
        <v>144</v>
      </c>
      <c r="B143" s="419" t="s">
        <v>66</v>
      </c>
      <c r="F143" s="430">
        <f t="shared" ref="F143:K143" si="16">F64</f>
        <v>0</v>
      </c>
      <c r="G143" s="430">
        <f t="shared" si="16"/>
        <v>0</v>
      </c>
      <c r="H143" s="430">
        <f t="shared" si="16"/>
        <v>9124600</v>
      </c>
      <c r="I143" s="430">
        <f t="shared" si="16"/>
        <v>0</v>
      </c>
      <c r="J143" s="430">
        <f t="shared" si="16"/>
        <v>4674172</v>
      </c>
      <c r="K143" s="430">
        <f t="shared" si="16"/>
        <v>4450428</v>
      </c>
    </row>
    <row r="144" spans="1:11" ht="18" customHeight="1">
      <c r="A144" s="427" t="s">
        <v>146</v>
      </c>
      <c r="B144" s="419" t="s">
        <v>67</v>
      </c>
      <c r="F144" s="430">
        <f t="shared" ref="F144:K144" si="17">F74</f>
        <v>0</v>
      </c>
      <c r="G144" s="430">
        <f t="shared" si="17"/>
        <v>0</v>
      </c>
      <c r="H144" s="430">
        <f t="shared" si="17"/>
        <v>0</v>
      </c>
      <c r="I144" s="430">
        <f t="shared" si="17"/>
        <v>0</v>
      </c>
      <c r="J144" s="430">
        <f t="shared" si="17"/>
        <v>0</v>
      </c>
      <c r="K144" s="430">
        <f t="shared" si="17"/>
        <v>0</v>
      </c>
    </row>
    <row r="145" spans="1:11" ht="18" customHeight="1">
      <c r="A145" s="427" t="s">
        <v>148</v>
      </c>
      <c r="B145" s="419" t="s">
        <v>68</v>
      </c>
      <c r="F145" s="430">
        <f t="shared" ref="F145:K145" si="18">F82</f>
        <v>2203</v>
      </c>
      <c r="G145" s="430">
        <f t="shared" si="18"/>
        <v>798</v>
      </c>
      <c r="H145" s="430">
        <f t="shared" si="18"/>
        <v>128413</v>
      </c>
      <c r="I145" s="430">
        <f t="shared" si="18"/>
        <v>55979</v>
      </c>
      <c r="J145" s="430">
        <f t="shared" si="18"/>
        <v>0</v>
      </c>
      <c r="K145" s="430">
        <f t="shared" si="18"/>
        <v>184392</v>
      </c>
    </row>
    <row r="146" spans="1:11" ht="18" customHeight="1">
      <c r="A146" s="427" t="s">
        <v>150</v>
      </c>
      <c r="B146" s="419" t="s">
        <v>69</v>
      </c>
      <c r="F146" s="430">
        <f t="shared" ref="F146:K146" si="19">F98</f>
        <v>28700</v>
      </c>
      <c r="G146" s="430">
        <f t="shared" si="19"/>
        <v>3424</v>
      </c>
      <c r="H146" s="430">
        <f t="shared" si="19"/>
        <v>385446</v>
      </c>
      <c r="I146" s="430">
        <f t="shared" si="19"/>
        <v>215150</v>
      </c>
      <c r="J146" s="430">
        <f t="shared" si="19"/>
        <v>71294</v>
      </c>
      <c r="K146" s="430">
        <f t="shared" si="19"/>
        <v>529302</v>
      </c>
    </row>
    <row r="147" spans="1:11" ht="18" customHeight="1">
      <c r="A147" s="427" t="s">
        <v>153</v>
      </c>
      <c r="B147" s="419" t="s">
        <v>61</v>
      </c>
      <c r="F147" s="425">
        <f t="shared" ref="F147:K147" si="20">F108</f>
        <v>8720</v>
      </c>
      <c r="G147" s="425">
        <f t="shared" si="20"/>
        <v>874</v>
      </c>
      <c r="H147" s="425">
        <f t="shared" si="20"/>
        <v>446472</v>
      </c>
      <c r="I147" s="425">
        <f t="shared" si="20"/>
        <v>262973</v>
      </c>
      <c r="J147" s="425">
        <f t="shared" si="20"/>
        <v>0</v>
      </c>
      <c r="K147" s="425">
        <f t="shared" si="20"/>
        <v>709445</v>
      </c>
    </row>
    <row r="148" spans="1:11" ht="18" customHeight="1">
      <c r="A148" s="427" t="s">
        <v>155</v>
      </c>
      <c r="B148" s="419" t="s">
        <v>70</v>
      </c>
      <c r="F148" s="426" t="s">
        <v>73</v>
      </c>
      <c r="G148" s="426" t="s">
        <v>73</v>
      </c>
      <c r="H148" s="429" t="s">
        <v>73</v>
      </c>
      <c r="I148" s="429" t="s">
        <v>73</v>
      </c>
      <c r="J148" s="429" t="s">
        <v>73</v>
      </c>
      <c r="K148" s="428">
        <f>F111</f>
        <v>1782643</v>
      </c>
    </row>
    <row r="149" spans="1:11" ht="18" customHeight="1">
      <c r="A149" s="427" t="s">
        <v>163</v>
      </c>
      <c r="B149" s="419" t="s">
        <v>71</v>
      </c>
      <c r="F149" s="425">
        <f t="shared" ref="F149:K149" si="21">F137</f>
        <v>0</v>
      </c>
      <c r="G149" s="425">
        <f t="shared" si="21"/>
        <v>0</v>
      </c>
      <c r="H149" s="425">
        <f t="shared" si="21"/>
        <v>0</v>
      </c>
      <c r="I149" s="425">
        <f t="shared" si="21"/>
        <v>0</v>
      </c>
      <c r="J149" s="425">
        <f t="shared" si="21"/>
        <v>0</v>
      </c>
      <c r="K149" s="425">
        <f t="shared" si="21"/>
        <v>0</v>
      </c>
    </row>
    <row r="150" spans="1:11" ht="18" customHeight="1">
      <c r="A150" s="427" t="s">
        <v>185</v>
      </c>
      <c r="B150" s="419" t="s">
        <v>186</v>
      </c>
      <c r="F150" s="426" t="s">
        <v>73</v>
      </c>
      <c r="G150" s="426" t="s">
        <v>73</v>
      </c>
      <c r="H150" s="425">
        <f>H18</f>
        <v>3861509</v>
      </c>
      <c r="I150" s="425">
        <f>I18</f>
        <v>0</v>
      </c>
      <c r="J150" s="425">
        <f>J18</f>
        <v>3302073</v>
      </c>
      <c r="K150" s="425">
        <f>K18</f>
        <v>559436</v>
      </c>
    </row>
    <row r="151" spans="1:11" ht="18" customHeight="1">
      <c r="B151" s="419"/>
      <c r="F151" s="424"/>
      <c r="G151" s="424"/>
      <c r="H151" s="424"/>
      <c r="I151" s="424"/>
      <c r="J151" s="424"/>
      <c r="K151" s="424"/>
    </row>
    <row r="152" spans="1:11" ht="18" customHeight="1">
      <c r="A152" s="422" t="s">
        <v>165</v>
      </c>
      <c r="B152" s="419" t="s">
        <v>26</v>
      </c>
      <c r="F152" s="423">
        <f t="shared" ref="F152:K152" si="22">SUM(F141:F150)</f>
        <v>62862</v>
      </c>
      <c r="G152" s="423">
        <f t="shared" si="22"/>
        <v>22700</v>
      </c>
      <c r="H152" s="423">
        <f t="shared" si="22"/>
        <v>15224479</v>
      </c>
      <c r="I152" s="423">
        <f t="shared" si="22"/>
        <v>1130332</v>
      </c>
      <c r="J152" s="423">
        <f t="shared" si="22"/>
        <v>8271258</v>
      </c>
      <c r="K152" s="423">
        <f t="shared" si="22"/>
        <v>9866196</v>
      </c>
    </row>
    <row r="154" spans="1:11" ht="18" customHeight="1">
      <c r="A154" s="422" t="s">
        <v>168</v>
      </c>
      <c r="B154" s="419" t="s">
        <v>28</v>
      </c>
      <c r="F154" s="421">
        <f>K152/F121</f>
        <v>7.0778145267786585E-2</v>
      </c>
      <c r="H154" s="568"/>
      <c r="J154" s="568"/>
    </row>
    <row r="155" spans="1:11" ht="18" customHeight="1">
      <c r="A155" s="422" t="s">
        <v>169</v>
      </c>
      <c r="B155" s="419" t="s">
        <v>72</v>
      </c>
      <c r="F155" s="421">
        <f>K152/F127</f>
        <v>0.74418070695913563</v>
      </c>
      <c r="G155" s="419"/>
      <c r="H155" s="568"/>
    </row>
    <row r="156" spans="1:11" ht="18" customHeight="1">
      <c r="G156" s="419"/>
    </row>
  </sheetData>
  <mergeCells count="34">
    <mergeCell ref="B41:C41"/>
    <mergeCell ref="D2:H2"/>
    <mergeCell ref="C5:G5"/>
    <mergeCell ref="C6:G6"/>
    <mergeCell ref="C7:G7"/>
    <mergeCell ref="C9:G9"/>
    <mergeCell ref="C10:G10"/>
    <mergeCell ref="C11:G11"/>
    <mergeCell ref="B13:H13"/>
    <mergeCell ref="B30:D30"/>
    <mergeCell ref="B31:D31"/>
    <mergeCell ref="B34:D34"/>
    <mergeCell ref="B90:C90"/>
    <mergeCell ref="B44:D44"/>
    <mergeCell ref="B45:D45"/>
    <mergeCell ref="B46:D46"/>
    <mergeCell ref="B47:D47"/>
    <mergeCell ref="B52:C52"/>
    <mergeCell ref="B53:D53"/>
    <mergeCell ref="B55:D55"/>
    <mergeCell ref="B56:D56"/>
    <mergeCell ref="B57:D57"/>
    <mergeCell ref="B59:D59"/>
    <mergeCell ref="B62:D62"/>
    <mergeCell ref="B106:D106"/>
    <mergeCell ref="B133:D133"/>
    <mergeCell ref="B134:D134"/>
    <mergeCell ref="B135:D135"/>
    <mergeCell ref="B94:D94"/>
    <mergeCell ref="B95:D95"/>
    <mergeCell ref="B96:D96"/>
    <mergeCell ref="B103:C103"/>
    <mergeCell ref="B104:D104"/>
    <mergeCell ref="B105:D105"/>
  </mergeCells>
  <hyperlinks>
    <hyperlink ref="C11" r:id="rId1"/>
  </hyperlinks>
  <pageMargins left="0.7" right="0.7" top="0.75" bottom="0.75" header="0.3" footer="0.3"/>
  <pageSetup scale="40" orientation="landscape" r:id="rId2"/>
  <headerFooter>
    <oddFooter>&amp;L&amp;Z&amp;F&amp;A&amp;R&amp;P of &amp;N</oddFooter>
  </headerFooter>
  <rowBreaks count="2" manualBreakCount="2">
    <brk id="65" max="16383" man="1"/>
    <brk id="109"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theme="0"/>
    <pageSetUpPr fitToPage="1"/>
  </sheetPr>
  <dimension ref="A1:K156"/>
  <sheetViews>
    <sheetView zoomScaleNormal="100" workbookViewId="0">
      <pane xSplit="5" ySplit="16" topLeftCell="F17" activePane="bottomRight" state="frozen"/>
      <selection pane="topRight" activeCell="F1" sqref="F1"/>
      <selection pane="bottomLeft" activeCell="A17" sqref="A17"/>
      <selection pane="bottomRight" activeCell="H18" sqref="H18"/>
    </sheetView>
  </sheetViews>
  <sheetFormatPr defaultRowHeight="12.75"/>
  <cols>
    <col min="1" max="1" width="6.85546875" style="585" customWidth="1"/>
    <col min="2" max="2" width="40.7109375" style="585" bestFit="1" customWidth="1"/>
    <col min="3" max="3" width="6.7109375" style="585" customWidth="1"/>
    <col min="4" max="4" width="6.28515625" style="585" customWidth="1"/>
    <col min="5" max="5" width="9.140625" style="585" customWidth="1"/>
    <col min="6" max="6" width="19.28515625" style="585" bestFit="1" customWidth="1"/>
    <col min="7" max="11" width="19.140625" style="585" customWidth="1"/>
    <col min="12" max="16384" width="9.140625" style="585"/>
  </cols>
  <sheetData>
    <row r="1" spans="1:11">
      <c r="A1" s="147"/>
      <c r="B1" s="147"/>
      <c r="C1" s="263"/>
      <c r="D1" s="755"/>
      <c r="E1" s="263"/>
      <c r="F1" s="263"/>
      <c r="G1" s="263"/>
      <c r="H1" s="263"/>
      <c r="I1" s="263"/>
      <c r="J1" s="263"/>
      <c r="K1" s="263"/>
    </row>
    <row r="2" spans="1:11" ht="15.75">
      <c r="A2" s="147"/>
      <c r="B2" s="147"/>
      <c r="C2" s="147"/>
      <c r="D2" s="910" t="s">
        <v>776</v>
      </c>
      <c r="E2" s="910"/>
      <c r="F2" s="910"/>
      <c r="G2" s="910"/>
      <c r="H2" s="910"/>
      <c r="I2" s="147"/>
      <c r="J2" s="147"/>
      <c r="K2" s="147"/>
    </row>
    <row r="3" spans="1:11">
      <c r="A3" s="147"/>
      <c r="B3" s="150" t="s">
        <v>0</v>
      </c>
      <c r="C3" s="147"/>
      <c r="D3" s="147"/>
      <c r="E3" s="147"/>
      <c r="F3" s="147"/>
      <c r="G3" s="147"/>
      <c r="H3" s="147"/>
      <c r="I3" s="147"/>
      <c r="J3" s="147"/>
      <c r="K3" s="147"/>
    </row>
    <row r="5" spans="1:11">
      <c r="A5" s="147"/>
      <c r="B5" s="151" t="s">
        <v>40</v>
      </c>
      <c r="C5" s="912" t="s">
        <v>303</v>
      </c>
      <c r="D5" s="913"/>
      <c r="E5" s="913"/>
      <c r="F5" s="913"/>
      <c r="G5" s="966"/>
      <c r="H5" s="147"/>
      <c r="I5" s="147"/>
      <c r="J5" s="147"/>
      <c r="K5" s="147"/>
    </row>
    <row r="6" spans="1:11">
      <c r="A6" s="147"/>
      <c r="B6" s="151" t="s">
        <v>3</v>
      </c>
      <c r="C6" s="929" t="s">
        <v>445</v>
      </c>
      <c r="D6" s="967"/>
      <c r="E6" s="967"/>
      <c r="F6" s="967"/>
      <c r="G6" s="968"/>
      <c r="H6" s="147"/>
      <c r="I6" s="147"/>
      <c r="J6" s="147"/>
      <c r="K6" s="147"/>
    </row>
    <row r="7" spans="1:11">
      <c r="A7" s="147"/>
      <c r="B7" s="151" t="s">
        <v>4</v>
      </c>
      <c r="C7" s="1095">
        <v>3392</v>
      </c>
      <c r="D7" s="1096"/>
      <c r="E7" s="1096"/>
      <c r="F7" s="1096"/>
      <c r="G7" s="1097"/>
      <c r="H7" s="147"/>
      <c r="I7" s="147"/>
      <c r="J7" s="147"/>
      <c r="K7" s="147"/>
    </row>
    <row r="9" spans="1:11">
      <c r="A9" s="147"/>
      <c r="B9" s="151" t="s">
        <v>1</v>
      </c>
      <c r="C9" s="912" t="s">
        <v>446</v>
      </c>
      <c r="D9" s="913"/>
      <c r="E9" s="913"/>
      <c r="F9" s="913"/>
      <c r="G9" s="966"/>
      <c r="H9" s="147"/>
      <c r="I9" s="147"/>
      <c r="J9" s="147"/>
      <c r="K9" s="147"/>
    </row>
    <row r="10" spans="1:11">
      <c r="A10" s="147"/>
      <c r="B10" s="151" t="s">
        <v>2</v>
      </c>
      <c r="C10" s="926" t="s">
        <v>447</v>
      </c>
      <c r="D10" s="964"/>
      <c r="E10" s="964"/>
      <c r="F10" s="964"/>
      <c r="G10" s="965"/>
      <c r="H10" s="147"/>
      <c r="I10" s="147"/>
      <c r="J10" s="147"/>
      <c r="K10" s="147"/>
    </row>
    <row r="11" spans="1:11">
      <c r="A11" s="147"/>
      <c r="B11" s="151" t="s">
        <v>32</v>
      </c>
      <c r="C11" s="912" t="s">
        <v>448</v>
      </c>
      <c r="D11" s="913"/>
      <c r="E11" s="913"/>
      <c r="F11" s="913"/>
      <c r="G11" s="913"/>
      <c r="H11" s="147"/>
      <c r="I11" s="147"/>
      <c r="J11" s="147"/>
      <c r="K11" s="147"/>
    </row>
    <row r="12" spans="1:11">
      <c r="A12" s="147"/>
      <c r="B12" s="151"/>
      <c r="C12" s="151"/>
      <c r="D12" s="151"/>
      <c r="E12" s="151"/>
      <c r="F12" s="151"/>
      <c r="G12" s="151"/>
      <c r="H12" s="147"/>
      <c r="I12" s="147"/>
      <c r="J12" s="147"/>
      <c r="K12" s="147"/>
    </row>
    <row r="13" spans="1:11">
      <c r="A13" s="147"/>
      <c r="B13" s="914"/>
      <c r="C13" s="914"/>
      <c r="D13" s="914"/>
      <c r="E13" s="914"/>
      <c r="F13" s="914"/>
      <c r="G13" s="914"/>
      <c r="H13" s="914"/>
      <c r="I13" s="263"/>
      <c r="J13" s="147"/>
      <c r="K13" s="147"/>
    </row>
    <row r="14" spans="1:11">
      <c r="A14" s="147"/>
      <c r="B14" s="152"/>
      <c r="C14" s="147"/>
      <c r="D14" s="147"/>
      <c r="E14" s="147"/>
      <c r="F14" s="147"/>
      <c r="G14" s="147"/>
      <c r="H14" s="147"/>
      <c r="I14" s="147"/>
      <c r="J14" s="147"/>
      <c r="K14" s="147"/>
    </row>
    <row r="15" spans="1:11">
      <c r="A15" s="147"/>
      <c r="B15" s="152"/>
      <c r="C15" s="147"/>
      <c r="D15" s="147"/>
      <c r="E15" s="147"/>
      <c r="F15" s="147"/>
      <c r="G15" s="147"/>
      <c r="H15" s="147"/>
      <c r="I15" s="147"/>
      <c r="J15" s="147"/>
      <c r="K15" s="147"/>
    </row>
    <row r="16" spans="1:11" ht="25.5">
      <c r="A16" s="1091" t="s">
        <v>181</v>
      </c>
      <c r="B16" s="1091"/>
      <c r="C16" s="263"/>
      <c r="D16" s="263"/>
      <c r="E16" s="263"/>
      <c r="F16" s="153" t="s">
        <v>9</v>
      </c>
      <c r="G16" s="153" t="s">
        <v>37</v>
      </c>
      <c r="H16" s="153" t="s">
        <v>29</v>
      </c>
      <c r="I16" s="153" t="s">
        <v>30</v>
      </c>
      <c r="J16" s="153" t="s">
        <v>33</v>
      </c>
      <c r="K16" s="153" t="s">
        <v>34</v>
      </c>
    </row>
    <row r="17" spans="1:11">
      <c r="A17" s="154" t="s">
        <v>184</v>
      </c>
      <c r="B17" s="150" t="s">
        <v>182</v>
      </c>
      <c r="C17" s="147"/>
      <c r="D17" s="147"/>
      <c r="E17" s="147"/>
      <c r="F17" s="147"/>
      <c r="G17" s="147"/>
      <c r="H17" s="147"/>
      <c r="I17" s="147"/>
      <c r="J17" s="147"/>
      <c r="K17" s="147"/>
    </row>
    <row r="18" spans="1:11">
      <c r="A18" s="151" t="s">
        <v>185</v>
      </c>
      <c r="B18" s="155" t="s">
        <v>183</v>
      </c>
      <c r="C18" s="147"/>
      <c r="D18" s="147"/>
      <c r="E18" s="147"/>
      <c r="F18" s="156" t="s">
        <v>73</v>
      </c>
      <c r="G18" s="156" t="s">
        <v>73</v>
      </c>
      <c r="H18" s="157">
        <v>14773122</v>
      </c>
      <c r="I18" s="157">
        <v>0</v>
      </c>
      <c r="J18" s="157">
        <v>12632866</v>
      </c>
      <c r="K18" s="157">
        <f>H18-J18</f>
        <v>2140256</v>
      </c>
    </row>
    <row r="19" spans="1:11" ht="42.75" customHeight="1">
      <c r="A19" s="1091" t="s">
        <v>8</v>
      </c>
      <c r="B19" s="1091"/>
      <c r="C19" s="263"/>
      <c r="D19" s="263"/>
      <c r="E19" s="263"/>
      <c r="F19" s="153" t="s">
        <v>9</v>
      </c>
      <c r="G19" s="153" t="s">
        <v>37</v>
      </c>
      <c r="H19" s="153" t="s">
        <v>29</v>
      </c>
      <c r="I19" s="153" t="s">
        <v>30</v>
      </c>
      <c r="J19" s="153" t="s">
        <v>33</v>
      </c>
      <c r="K19" s="153" t="s">
        <v>34</v>
      </c>
    </row>
    <row r="20" spans="1:11">
      <c r="A20" s="154" t="s">
        <v>74</v>
      </c>
      <c r="B20" s="150" t="s">
        <v>41</v>
      </c>
      <c r="C20" s="147"/>
      <c r="D20" s="147"/>
      <c r="E20" s="147"/>
      <c r="F20" s="147"/>
      <c r="G20" s="147"/>
      <c r="H20" s="147"/>
      <c r="I20" s="147"/>
      <c r="J20" s="147"/>
      <c r="K20" s="147"/>
    </row>
    <row r="21" spans="1:11">
      <c r="A21" s="151" t="s">
        <v>75</v>
      </c>
      <c r="B21" s="155" t="s">
        <v>42</v>
      </c>
      <c r="C21" s="147"/>
      <c r="D21" s="147"/>
      <c r="E21" s="147"/>
      <c r="F21" s="156">
        <v>12579</v>
      </c>
      <c r="G21" s="156">
        <v>260813</v>
      </c>
      <c r="H21" s="157">
        <v>1111932</v>
      </c>
      <c r="I21" s="157">
        <v>624590</v>
      </c>
      <c r="J21" s="157">
        <v>235542</v>
      </c>
      <c r="K21" s="157">
        <v>1500980</v>
      </c>
    </row>
    <row r="22" spans="1:11">
      <c r="A22" s="151" t="s">
        <v>76</v>
      </c>
      <c r="B22" s="147" t="s">
        <v>6</v>
      </c>
      <c r="C22" s="147"/>
      <c r="D22" s="147"/>
      <c r="E22" s="147"/>
      <c r="F22" s="156">
        <v>241</v>
      </c>
      <c r="G22" s="156">
        <v>1126</v>
      </c>
      <c r="H22" s="157">
        <v>25495</v>
      </c>
      <c r="I22" s="157">
        <v>14252</v>
      </c>
      <c r="J22" s="157">
        <v>0</v>
      </c>
      <c r="K22" s="157">
        <v>39747</v>
      </c>
    </row>
    <row r="23" spans="1:11">
      <c r="A23" s="151" t="s">
        <v>77</v>
      </c>
      <c r="B23" s="147" t="s">
        <v>43</v>
      </c>
      <c r="C23" s="147"/>
      <c r="D23" s="147"/>
      <c r="E23" s="147"/>
      <c r="F23" s="156">
        <v>0</v>
      </c>
      <c r="G23" s="156">
        <v>0</v>
      </c>
      <c r="H23" s="157">
        <v>0</v>
      </c>
      <c r="I23" s="158">
        <v>0</v>
      </c>
      <c r="J23" s="157">
        <v>0</v>
      </c>
      <c r="K23" s="159">
        <v>0</v>
      </c>
    </row>
    <row r="24" spans="1:11">
      <c r="A24" s="151" t="s">
        <v>78</v>
      </c>
      <c r="B24" s="147" t="s">
        <v>44</v>
      </c>
      <c r="C24" s="147"/>
      <c r="D24" s="147"/>
      <c r="E24" s="147"/>
      <c r="F24" s="156">
        <v>329</v>
      </c>
      <c r="G24" s="156">
        <v>2376</v>
      </c>
      <c r="H24" s="157">
        <v>11234</v>
      </c>
      <c r="I24" s="157">
        <v>6313</v>
      </c>
      <c r="J24" s="157">
        <v>0</v>
      </c>
      <c r="K24" s="157">
        <v>17547</v>
      </c>
    </row>
    <row r="25" spans="1:11">
      <c r="A25" s="151" t="s">
        <v>79</v>
      </c>
      <c r="B25" s="147" t="s">
        <v>5</v>
      </c>
      <c r="C25" s="147"/>
      <c r="D25" s="147"/>
      <c r="E25" s="147"/>
      <c r="F25" s="156">
        <v>0</v>
      </c>
      <c r="G25" s="156">
        <v>0</v>
      </c>
      <c r="H25" s="157">
        <v>0</v>
      </c>
      <c r="I25" s="158">
        <v>0</v>
      </c>
      <c r="J25" s="157">
        <v>0</v>
      </c>
      <c r="K25" s="159">
        <v>0</v>
      </c>
    </row>
    <row r="26" spans="1:11">
      <c r="A26" s="151" t="s">
        <v>80</v>
      </c>
      <c r="B26" s="147" t="s">
        <v>45</v>
      </c>
      <c r="C26" s="147"/>
      <c r="D26" s="147"/>
      <c r="E26" s="147"/>
      <c r="F26" s="156">
        <v>0</v>
      </c>
      <c r="G26" s="156">
        <v>0</v>
      </c>
      <c r="H26" s="157">
        <v>0</v>
      </c>
      <c r="I26" s="158">
        <v>0</v>
      </c>
      <c r="J26" s="157">
        <v>0</v>
      </c>
      <c r="K26" s="159">
        <v>0</v>
      </c>
    </row>
    <row r="27" spans="1:11">
      <c r="A27" s="151" t="s">
        <v>81</v>
      </c>
      <c r="B27" s="147" t="s">
        <v>46</v>
      </c>
      <c r="C27" s="147"/>
      <c r="D27" s="147"/>
      <c r="E27" s="147"/>
      <c r="F27" s="156">
        <v>0</v>
      </c>
      <c r="G27" s="156">
        <v>0</v>
      </c>
      <c r="H27" s="157">
        <v>0</v>
      </c>
      <c r="I27" s="158">
        <v>0</v>
      </c>
      <c r="J27" s="157">
        <v>0</v>
      </c>
      <c r="K27" s="159">
        <v>0</v>
      </c>
    </row>
    <row r="28" spans="1:11">
      <c r="A28" s="151" t="s">
        <v>82</v>
      </c>
      <c r="B28" s="147" t="s">
        <v>47</v>
      </c>
      <c r="C28" s="147"/>
      <c r="D28" s="147"/>
      <c r="E28" s="147"/>
      <c r="F28" s="156">
        <v>6240</v>
      </c>
      <c r="G28" s="156">
        <v>5400</v>
      </c>
      <c r="H28" s="157">
        <v>259706</v>
      </c>
      <c r="I28" s="157">
        <v>44929</v>
      </c>
      <c r="J28" s="157">
        <v>50000</v>
      </c>
      <c r="K28" s="157">
        <v>254635</v>
      </c>
    </row>
    <row r="29" spans="1:11">
      <c r="A29" s="151" t="s">
        <v>83</v>
      </c>
      <c r="B29" s="147" t="s">
        <v>48</v>
      </c>
      <c r="C29" s="147"/>
      <c r="D29" s="147"/>
      <c r="E29" s="147"/>
      <c r="F29" s="156">
        <v>4480</v>
      </c>
      <c r="G29" s="156">
        <v>29712</v>
      </c>
      <c r="H29" s="157">
        <v>1632383</v>
      </c>
      <c r="I29" s="157">
        <v>295622</v>
      </c>
      <c r="J29" s="157">
        <v>0</v>
      </c>
      <c r="K29" s="157">
        <v>1928005</v>
      </c>
    </row>
    <row r="30" spans="1:11">
      <c r="A30" s="151" t="s">
        <v>84</v>
      </c>
      <c r="B30" s="1092" t="s">
        <v>449</v>
      </c>
      <c r="C30" s="1093"/>
      <c r="D30" s="1094"/>
      <c r="E30" s="147"/>
      <c r="F30" s="156">
        <v>1493</v>
      </c>
      <c r="G30" s="156">
        <v>9047</v>
      </c>
      <c r="H30" s="157">
        <v>47923</v>
      </c>
      <c r="I30" s="157">
        <v>26933</v>
      </c>
      <c r="J30" s="157">
        <v>0</v>
      </c>
      <c r="K30" s="157">
        <v>74856</v>
      </c>
    </row>
    <row r="31" spans="1:11">
      <c r="A31" s="151" t="s">
        <v>133</v>
      </c>
      <c r="B31" s="1092"/>
      <c r="C31" s="1093"/>
      <c r="D31" s="1094"/>
      <c r="E31" s="147"/>
      <c r="F31" s="156"/>
      <c r="G31" s="156"/>
      <c r="H31" s="157"/>
      <c r="I31" s="158">
        <v>0</v>
      </c>
      <c r="J31" s="157"/>
      <c r="K31" s="159">
        <v>0</v>
      </c>
    </row>
    <row r="32" spans="1:11">
      <c r="A32" s="151" t="s">
        <v>134</v>
      </c>
      <c r="B32" s="756"/>
      <c r="C32" s="757"/>
      <c r="D32" s="758"/>
      <c r="E32" s="147"/>
      <c r="F32" s="156"/>
      <c r="G32" s="160" t="s">
        <v>85</v>
      </c>
      <c r="H32" s="157"/>
      <c r="I32" s="158">
        <v>0</v>
      </c>
      <c r="J32" s="157"/>
      <c r="K32" s="159">
        <v>0</v>
      </c>
    </row>
    <row r="33" spans="1:11">
      <c r="A33" s="151" t="s">
        <v>135</v>
      </c>
      <c r="B33" s="756"/>
      <c r="C33" s="757"/>
      <c r="D33" s="758"/>
      <c r="E33" s="147"/>
      <c r="F33" s="156"/>
      <c r="G33" s="160" t="s">
        <v>85</v>
      </c>
      <c r="H33" s="157"/>
      <c r="I33" s="158">
        <v>0</v>
      </c>
      <c r="J33" s="157"/>
      <c r="K33" s="159">
        <v>0</v>
      </c>
    </row>
    <row r="34" spans="1:11">
      <c r="A34" s="151" t="s">
        <v>136</v>
      </c>
      <c r="B34" s="1092"/>
      <c r="C34" s="1093"/>
      <c r="D34" s="1094"/>
      <c r="E34" s="147"/>
      <c r="F34" s="156"/>
      <c r="G34" s="160" t="s">
        <v>85</v>
      </c>
      <c r="H34" s="157"/>
      <c r="I34" s="158">
        <v>0</v>
      </c>
      <c r="J34" s="157"/>
      <c r="K34" s="159">
        <v>0</v>
      </c>
    </row>
    <row r="35" spans="1:11">
      <c r="A35" s="147"/>
      <c r="B35" s="147"/>
      <c r="C35" s="147"/>
      <c r="D35" s="147"/>
      <c r="E35" s="147"/>
      <c r="F35" s="147"/>
      <c r="G35" s="147"/>
      <c r="H35" s="147"/>
      <c r="I35" s="147"/>
      <c r="J35" s="147"/>
      <c r="K35" s="161"/>
    </row>
    <row r="36" spans="1:11">
      <c r="A36" s="154" t="s">
        <v>137</v>
      </c>
      <c r="B36" s="150" t="s">
        <v>138</v>
      </c>
      <c r="C36" s="147"/>
      <c r="D36" s="147"/>
      <c r="E36" s="150" t="s">
        <v>7</v>
      </c>
      <c r="F36" s="162">
        <v>25362</v>
      </c>
      <c r="G36" s="162">
        <v>308474</v>
      </c>
      <c r="H36" s="159">
        <v>3088673</v>
      </c>
      <c r="I36" s="159">
        <v>1012639</v>
      </c>
      <c r="J36" s="159">
        <v>285542</v>
      </c>
      <c r="K36" s="159">
        <v>3815770</v>
      </c>
    </row>
    <row r="37" spans="1:11" ht="13.5" thickBot="1">
      <c r="A37" s="147"/>
      <c r="B37" s="150"/>
      <c r="C37" s="147"/>
      <c r="D37" s="147"/>
      <c r="E37" s="147"/>
      <c r="F37" s="163"/>
      <c r="G37" s="163"/>
      <c r="H37" s="164"/>
      <c r="I37" s="164"/>
      <c r="J37" s="164"/>
      <c r="K37" s="165"/>
    </row>
    <row r="38" spans="1:11" ht="25.5">
      <c r="A38" s="147"/>
      <c r="B38" s="147"/>
      <c r="C38" s="147"/>
      <c r="D38" s="147"/>
      <c r="E38" s="147"/>
      <c r="F38" s="153" t="s">
        <v>9</v>
      </c>
      <c r="G38" s="153" t="s">
        <v>37</v>
      </c>
      <c r="H38" s="153" t="s">
        <v>29</v>
      </c>
      <c r="I38" s="153" t="s">
        <v>30</v>
      </c>
      <c r="J38" s="153" t="s">
        <v>33</v>
      </c>
      <c r="K38" s="153" t="s">
        <v>34</v>
      </c>
    </row>
    <row r="39" spans="1:11">
      <c r="A39" s="154" t="s">
        <v>86</v>
      </c>
      <c r="B39" s="150" t="s">
        <v>49</v>
      </c>
      <c r="C39" s="147"/>
      <c r="D39" s="147"/>
      <c r="E39" s="147"/>
      <c r="F39" s="147"/>
      <c r="G39" s="147"/>
      <c r="H39" s="147"/>
      <c r="I39" s="147"/>
      <c r="J39" s="147"/>
      <c r="K39" s="147"/>
    </row>
    <row r="40" spans="1:11">
      <c r="A40" s="151" t="s">
        <v>87</v>
      </c>
      <c r="B40" s="147" t="s">
        <v>31</v>
      </c>
      <c r="C40" s="147"/>
      <c r="D40" s="147"/>
      <c r="E40" s="147"/>
      <c r="F40" s="156">
        <v>148</v>
      </c>
      <c r="G40" s="156">
        <v>216</v>
      </c>
      <c r="H40" s="157">
        <v>22268571</v>
      </c>
      <c r="I40" s="157">
        <v>0</v>
      </c>
      <c r="J40" s="157">
        <v>0</v>
      </c>
      <c r="K40" s="157">
        <v>22268571</v>
      </c>
    </row>
    <row r="41" spans="1:11">
      <c r="A41" s="151" t="s">
        <v>88</v>
      </c>
      <c r="B41" s="904" t="s">
        <v>50</v>
      </c>
      <c r="C41" s="904"/>
      <c r="D41" s="147"/>
      <c r="E41" s="147"/>
      <c r="F41" s="156">
        <v>15304</v>
      </c>
      <c r="G41" s="156">
        <v>1228</v>
      </c>
      <c r="H41" s="157">
        <v>759494</v>
      </c>
      <c r="I41" s="157">
        <v>417014</v>
      </c>
      <c r="J41" s="157">
        <v>0</v>
      </c>
      <c r="K41" s="157">
        <v>1176508</v>
      </c>
    </row>
    <row r="42" spans="1:11">
      <c r="A42" s="151" t="s">
        <v>89</v>
      </c>
      <c r="B42" s="155" t="s">
        <v>11</v>
      </c>
      <c r="C42" s="147"/>
      <c r="D42" s="147"/>
      <c r="E42" s="147"/>
      <c r="F42" s="156">
        <v>25766.75</v>
      </c>
      <c r="G42" s="156">
        <v>1811</v>
      </c>
      <c r="H42" s="157">
        <v>1430531</v>
      </c>
      <c r="I42" s="157">
        <v>183553</v>
      </c>
      <c r="J42" s="157">
        <v>7800</v>
      </c>
      <c r="K42" s="157">
        <v>1606284</v>
      </c>
    </row>
    <row r="43" spans="1:11">
      <c r="A43" s="151" t="s">
        <v>90</v>
      </c>
      <c r="B43" s="166" t="s">
        <v>10</v>
      </c>
      <c r="C43" s="167"/>
      <c r="D43" s="167"/>
      <c r="E43" s="147"/>
      <c r="F43" s="156">
        <v>1702</v>
      </c>
      <c r="G43" s="156">
        <v>60</v>
      </c>
      <c r="H43" s="157">
        <v>131185</v>
      </c>
      <c r="I43" s="157">
        <v>5611</v>
      </c>
      <c r="J43" s="157">
        <v>0</v>
      </c>
      <c r="K43" s="157">
        <v>136796</v>
      </c>
    </row>
    <row r="49" spans="1:11">
      <c r="A49" s="154" t="s">
        <v>142</v>
      </c>
      <c r="B49" s="150" t="s">
        <v>143</v>
      </c>
      <c r="C49" s="147"/>
      <c r="D49" s="147"/>
      <c r="E49" s="150" t="s">
        <v>7</v>
      </c>
      <c r="F49" s="586">
        <v>42920.75</v>
      </c>
      <c r="G49" s="586">
        <v>3315</v>
      </c>
      <c r="H49" s="159">
        <v>24589781</v>
      </c>
      <c r="I49" s="159">
        <v>606178</v>
      </c>
      <c r="J49" s="159">
        <v>7800</v>
      </c>
      <c r="K49" s="159">
        <v>25188159</v>
      </c>
    </row>
    <row r="50" spans="1:11" ht="13.5" thickBot="1">
      <c r="A50" s="147"/>
      <c r="B50" s="147"/>
      <c r="C50" s="147"/>
      <c r="D50" s="147"/>
      <c r="E50" s="147"/>
      <c r="F50" s="147"/>
      <c r="G50" s="172"/>
      <c r="H50" s="172"/>
      <c r="I50" s="172"/>
      <c r="J50" s="172"/>
      <c r="K50" s="172"/>
    </row>
    <row r="51" spans="1:11" ht="25.5">
      <c r="A51" s="147"/>
      <c r="B51" s="147"/>
      <c r="C51" s="147"/>
      <c r="D51" s="147"/>
      <c r="E51" s="147"/>
      <c r="F51" s="153" t="s">
        <v>9</v>
      </c>
      <c r="G51" s="153" t="s">
        <v>37</v>
      </c>
      <c r="H51" s="153" t="s">
        <v>29</v>
      </c>
      <c r="I51" s="153" t="s">
        <v>30</v>
      </c>
      <c r="J51" s="153" t="s">
        <v>33</v>
      </c>
      <c r="K51" s="153" t="s">
        <v>34</v>
      </c>
    </row>
    <row r="52" spans="1:11" ht="15.75" customHeight="1">
      <c r="A52" s="154" t="s">
        <v>92</v>
      </c>
      <c r="B52" s="905" t="s">
        <v>38</v>
      </c>
      <c r="C52" s="905"/>
      <c r="D52" s="147"/>
      <c r="E52" s="147"/>
      <c r="F52" s="147"/>
      <c r="G52" s="147"/>
      <c r="H52" s="147"/>
      <c r="I52" s="147"/>
      <c r="J52" s="147"/>
      <c r="K52" s="147"/>
    </row>
    <row r="53" spans="1:11" ht="15">
      <c r="A53" s="151" t="s">
        <v>51</v>
      </c>
      <c r="B53" s="587" t="s">
        <v>450</v>
      </c>
      <c r="C53" s="588"/>
      <c r="D53" s="589"/>
      <c r="E53" s="147"/>
      <c r="F53" s="156">
        <v>0</v>
      </c>
      <c r="G53" s="156">
        <v>0</v>
      </c>
      <c r="H53" s="157">
        <v>1470708</v>
      </c>
      <c r="I53" s="157">
        <v>0</v>
      </c>
      <c r="J53" s="157">
        <v>857278</v>
      </c>
      <c r="K53" s="157">
        <v>613430</v>
      </c>
    </row>
    <row r="54" spans="1:11" ht="15">
      <c r="A54" s="151" t="s">
        <v>93</v>
      </c>
      <c r="B54" s="590" t="s">
        <v>451</v>
      </c>
      <c r="C54" s="591"/>
      <c r="D54" s="592"/>
      <c r="E54" s="147"/>
      <c r="F54" s="156">
        <v>0</v>
      </c>
      <c r="G54" s="156">
        <v>0</v>
      </c>
      <c r="H54" s="157">
        <v>392212</v>
      </c>
      <c r="I54" s="157">
        <v>0</v>
      </c>
      <c r="J54" s="157">
        <v>0</v>
      </c>
      <c r="K54" s="157">
        <v>392212</v>
      </c>
    </row>
    <row r="55" spans="1:11" ht="15">
      <c r="A55" s="151" t="s">
        <v>94</v>
      </c>
      <c r="B55" s="587" t="s">
        <v>452</v>
      </c>
      <c r="C55" s="588"/>
      <c r="D55" s="589"/>
      <c r="E55" s="147"/>
      <c r="F55" s="156">
        <v>0</v>
      </c>
      <c r="G55" s="156">
        <v>0</v>
      </c>
      <c r="H55" s="157">
        <v>272705</v>
      </c>
      <c r="I55" s="157">
        <v>0</v>
      </c>
      <c r="J55" s="157">
        <v>0</v>
      </c>
      <c r="K55" s="157">
        <v>272705</v>
      </c>
    </row>
    <row r="56" spans="1:11" ht="15">
      <c r="A56" s="151" t="s">
        <v>95</v>
      </c>
      <c r="B56" s="587" t="s">
        <v>453</v>
      </c>
      <c r="C56" s="588"/>
      <c r="D56" s="589"/>
      <c r="E56" s="147"/>
      <c r="F56" s="156">
        <v>0</v>
      </c>
      <c r="G56" s="156">
        <v>0</v>
      </c>
      <c r="H56" s="157">
        <v>416100</v>
      </c>
      <c r="I56" s="157">
        <v>0</v>
      </c>
      <c r="J56" s="157">
        <v>0</v>
      </c>
      <c r="K56" s="157">
        <v>416100</v>
      </c>
    </row>
    <row r="57" spans="1:11" ht="15">
      <c r="A57" s="151" t="s">
        <v>96</v>
      </c>
      <c r="B57" s="590" t="s">
        <v>454</v>
      </c>
      <c r="C57" s="591"/>
      <c r="D57" s="592"/>
      <c r="E57" s="147"/>
      <c r="F57" s="156">
        <v>0</v>
      </c>
      <c r="G57" s="156">
        <v>0</v>
      </c>
      <c r="H57" s="157">
        <v>75000</v>
      </c>
      <c r="I57" s="157">
        <v>0</v>
      </c>
      <c r="J57" s="157">
        <v>0</v>
      </c>
      <c r="K57" s="157">
        <v>75000</v>
      </c>
    </row>
    <row r="58" spans="1:11">
      <c r="A58" s="151" t="s">
        <v>97</v>
      </c>
      <c r="B58" s="736" t="s">
        <v>455</v>
      </c>
      <c r="C58" s="737"/>
      <c r="D58" s="738"/>
      <c r="E58" s="147"/>
      <c r="F58" s="156">
        <v>0</v>
      </c>
      <c r="G58" s="156">
        <v>0</v>
      </c>
      <c r="H58" s="157">
        <v>97534</v>
      </c>
      <c r="I58" s="157">
        <v>0</v>
      </c>
      <c r="J58" s="157">
        <v>0</v>
      </c>
      <c r="K58" s="157">
        <v>97534</v>
      </c>
    </row>
    <row r="59" spans="1:11">
      <c r="A59" s="151" t="s">
        <v>98</v>
      </c>
      <c r="B59" s="736" t="s">
        <v>456</v>
      </c>
      <c r="C59" s="737"/>
      <c r="D59" s="738"/>
      <c r="E59" s="147"/>
      <c r="F59" s="156">
        <v>393</v>
      </c>
      <c r="G59" s="156">
        <v>0</v>
      </c>
      <c r="H59" s="157">
        <v>36925</v>
      </c>
      <c r="I59" s="157">
        <v>0</v>
      </c>
      <c r="J59" s="157">
        <v>0</v>
      </c>
      <c r="K59" s="157">
        <v>36925</v>
      </c>
    </row>
    <row r="60" spans="1:11">
      <c r="A60" s="151" t="s">
        <v>99</v>
      </c>
      <c r="B60" s="901" t="s">
        <v>457</v>
      </c>
      <c r="C60" s="902"/>
      <c r="D60" s="903"/>
      <c r="E60" s="147"/>
      <c r="F60" s="156">
        <v>83</v>
      </c>
      <c r="G60" s="156">
        <v>0</v>
      </c>
      <c r="H60" s="157">
        <v>80092</v>
      </c>
      <c r="I60" s="157">
        <v>0</v>
      </c>
      <c r="J60" s="157">
        <v>0</v>
      </c>
      <c r="K60" s="157">
        <v>80092</v>
      </c>
    </row>
    <row r="61" spans="1:11">
      <c r="A61" s="151" t="s">
        <v>100</v>
      </c>
      <c r="B61" s="901" t="s">
        <v>458</v>
      </c>
      <c r="C61" s="902"/>
      <c r="D61" s="903"/>
      <c r="E61" s="147"/>
      <c r="F61" s="156">
        <v>0</v>
      </c>
      <c r="G61" s="156">
        <v>0</v>
      </c>
      <c r="H61" s="157">
        <v>1378764</v>
      </c>
      <c r="I61" s="157">
        <v>0</v>
      </c>
      <c r="J61" s="157">
        <v>0</v>
      </c>
      <c r="K61" s="157">
        <v>1378764</v>
      </c>
    </row>
    <row r="62" spans="1:11">
      <c r="A62" s="151"/>
      <c r="B62" s="147"/>
      <c r="C62" s="147"/>
      <c r="D62" s="147"/>
      <c r="E62" s="147"/>
      <c r="F62" s="147"/>
      <c r="G62" s="147"/>
      <c r="H62" s="147"/>
      <c r="I62" s="173"/>
      <c r="J62" s="147"/>
      <c r="K62" s="147"/>
    </row>
    <row r="63" spans="1:11">
      <c r="A63" s="151"/>
      <c r="B63" s="147"/>
      <c r="C63" s="147"/>
      <c r="D63" s="147"/>
      <c r="E63" s="147"/>
      <c r="F63" s="147"/>
      <c r="G63" s="147"/>
      <c r="H63" s="147"/>
      <c r="I63" s="173"/>
      <c r="J63" s="147"/>
      <c r="K63" s="147"/>
    </row>
    <row r="64" spans="1:11">
      <c r="A64" s="151" t="s">
        <v>144</v>
      </c>
      <c r="B64" s="150" t="s">
        <v>145</v>
      </c>
      <c r="C64" s="147"/>
      <c r="D64" s="147"/>
      <c r="E64" s="150" t="s">
        <v>7</v>
      </c>
      <c r="F64" s="162">
        <v>476</v>
      </c>
      <c r="G64" s="162">
        <v>0</v>
      </c>
      <c r="H64" s="159">
        <v>4220040</v>
      </c>
      <c r="I64" s="159">
        <v>0</v>
      </c>
      <c r="J64" s="159">
        <v>857278</v>
      </c>
      <c r="K64" s="159">
        <v>3362762</v>
      </c>
    </row>
    <row r="65" spans="1:11">
      <c r="A65" s="147"/>
      <c r="B65" s="147"/>
      <c r="C65" s="147"/>
      <c r="D65" s="147"/>
      <c r="E65" s="147"/>
      <c r="F65" s="174"/>
      <c r="G65" s="174"/>
      <c r="H65" s="174"/>
      <c r="I65" s="174"/>
      <c r="J65" s="174"/>
      <c r="K65" s="174"/>
    </row>
    <row r="66" spans="1:11" ht="25.5">
      <c r="A66" s="147"/>
      <c r="B66" s="147"/>
      <c r="C66" s="147"/>
      <c r="D66" s="147"/>
      <c r="E66" s="147"/>
      <c r="F66" s="175" t="s">
        <v>9</v>
      </c>
      <c r="G66" s="175" t="s">
        <v>37</v>
      </c>
      <c r="H66" s="175" t="s">
        <v>29</v>
      </c>
      <c r="I66" s="175" t="s">
        <v>30</v>
      </c>
      <c r="J66" s="175" t="s">
        <v>33</v>
      </c>
      <c r="K66" s="175" t="s">
        <v>34</v>
      </c>
    </row>
    <row r="67" spans="1:11">
      <c r="A67" s="154" t="s">
        <v>102</v>
      </c>
      <c r="B67" s="150" t="s">
        <v>12</v>
      </c>
      <c r="C67" s="147"/>
      <c r="D67" s="147"/>
      <c r="E67" s="147"/>
      <c r="F67" s="176"/>
      <c r="G67" s="176"/>
      <c r="H67" s="176"/>
      <c r="I67" s="177"/>
      <c r="J67" s="176"/>
      <c r="K67" s="178"/>
    </row>
    <row r="68" spans="1:11">
      <c r="A68" s="151" t="s">
        <v>103</v>
      </c>
      <c r="B68" s="147" t="s">
        <v>52</v>
      </c>
      <c r="C68" s="147"/>
      <c r="D68" s="147"/>
      <c r="E68" s="147"/>
      <c r="F68" s="156">
        <v>0</v>
      </c>
      <c r="G68" s="156">
        <v>0</v>
      </c>
      <c r="H68" s="157">
        <v>26137</v>
      </c>
      <c r="I68" s="157">
        <v>0</v>
      </c>
      <c r="J68" s="157">
        <v>0</v>
      </c>
      <c r="K68" s="157">
        <v>26137</v>
      </c>
    </row>
    <row r="69" spans="1:11">
      <c r="A69" s="151" t="s">
        <v>104</v>
      </c>
      <c r="B69" s="155" t="s">
        <v>53</v>
      </c>
      <c r="C69" s="147"/>
      <c r="D69" s="147"/>
      <c r="E69" s="147"/>
      <c r="F69" s="156">
        <v>0</v>
      </c>
      <c r="G69" s="156">
        <v>0</v>
      </c>
      <c r="H69" s="157">
        <v>0</v>
      </c>
      <c r="I69" s="158">
        <v>0</v>
      </c>
      <c r="J69" s="157">
        <v>0</v>
      </c>
      <c r="K69" s="159">
        <v>0</v>
      </c>
    </row>
    <row r="70" spans="1:11">
      <c r="A70" s="151" t="s">
        <v>178</v>
      </c>
      <c r="B70" s="736" t="s">
        <v>459</v>
      </c>
      <c r="C70" s="737"/>
      <c r="D70" s="738"/>
      <c r="E70" s="150"/>
      <c r="F70" s="180">
        <v>4160</v>
      </c>
      <c r="G70" s="180">
        <v>0</v>
      </c>
      <c r="H70" s="181">
        <v>167628</v>
      </c>
      <c r="I70" s="181">
        <v>0</v>
      </c>
      <c r="J70" s="181">
        <v>0</v>
      </c>
      <c r="K70" s="181">
        <v>167628</v>
      </c>
    </row>
    <row r="71" spans="1:11">
      <c r="A71" s="151" t="s">
        <v>179</v>
      </c>
      <c r="B71" s="736"/>
      <c r="C71" s="737"/>
      <c r="D71" s="738"/>
      <c r="E71" s="150"/>
      <c r="F71" s="180"/>
      <c r="G71" s="180"/>
      <c r="H71" s="181"/>
      <c r="I71" s="158"/>
      <c r="J71" s="181"/>
      <c r="K71" s="159"/>
    </row>
    <row r="72" spans="1:11">
      <c r="A72" s="151" t="s">
        <v>180</v>
      </c>
      <c r="B72" s="739"/>
      <c r="C72" s="740"/>
      <c r="D72" s="182"/>
      <c r="E72" s="150"/>
      <c r="F72" s="156"/>
      <c r="G72" s="156"/>
      <c r="H72" s="157"/>
      <c r="I72" s="158"/>
      <c r="J72" s="157"/>
      <c r="K72" s="159"/>
    </row>
    <row r="73" spans="1:11">
      <c r="A73" s="151"/>
      <c r="B73" s="155"/>
      <c r="C73" s="147"/>
      <c r="D73" s="147"/>
      <c r="E73" s="150"/>
      <c r="F73" s="183"/>
      <c r="G73" s="183"/>
      <c r="H73" s="184"/>
      <c r="I73" s="177"/>
      <c r="J73" s="184"/>
      <c r="K73" s="178"/>
    </row>
    <row r="74" spans="1:11">
      <c r="A74" s="154" t="s">
        <v>146</v>
      </c>
      <c r="B74" s="150" t="s">
        <v>147</v>
      </c>
      <c r="C74" s="147"/>
      <c r="D74" s="147"/>
      <c r="E74" s="150" t="s">
        <v>7</v>
      </c>
      <c r="F74" s="264">
        <v>4160</v>
      </c>
      <c r="G74" s="264">
        <v>0</v>
      </c>
      <c r="H74" s="186">
        <v>193765</v>
      </c>
      <c r="I74" s="186">
        <v>0</v>
      </c>
      <c r="J74" s="186">
        <v>0</v>
      </c>
      <c r="K74" s="186">
        <v>193765</v>
      </c>
    </row>
    <row r="75" spans="1:11" ht="41.25" customHeight="1">
      <c r="A75" s="147"/>
      <c r="B75" s="147"/>
      <c r="C75" s="147"/>
      <c r="D75" s="147"/>
      <c r="E75" s="147"/>
      <c r="F75" s="153" t="s">
        <v>9</v>
      </c>
      <c r="G75" s="153" t="s">
        <v>37</v>
      </c>
      <c r="H75" s="153" t="s">
        <v>29</v>
      </c>
      <c r="I75" s="153" t="s">
        <v>30</v>
      </c>
      <c r="J75" s="153" t="s">
        <v>33</v>
      </c>
      <c r="K75" s="153" t="s">
        <v>34</v>
      </c>
    </row>
    <row r="76" spans="1:11">
      <c r="A76" s="154" t="s">
        <v>105</v>
      </c>
      <c r="B76" s="150" t="s">
        <v>106</v>
      </c>
      <c r="C76" s="147"/>
      <c r="D76" s="147"/>
      <c r="E76" s="147"/>
      <c r="F76" s="147"/>
      <c r="G76" s="147"/>
      <c r="H76" s="147"/>
      <c r="I76" s="147"/>
      <c r="J76" s="147"/>
      <c r="K76" s="147"/>
    </row>
    <row r="77" spans="1:11">
      <c r="A77" s="151" t="s">
        <v>107</v>
      </c>
      <c r="B77" s="155" t="s">
        <v>54</v>
      </c>
      <c r="C77" s="147"/>
      <c r="D77" s="147"/>
      <c r="E77" s="147"/>
      <c r="F77" s="156">
        <v>31</v>
      </c>
      <c r="G77" s="156">
        <v>26</v>
      </c>
      <c r="H77" s="157">
        <v>125911</v>
      </c>
      <c r="I77" s="157">
        <v>0</v>
      </c>
      <c r="J77" s="157">
        <v>0</v>
      </c>
      <c r="K77" s="157">
        <v>125911</v>
      </c>
    </row>
    <row r="78" spans="1:11">
      <c r="A78" s="151" t="s">
        <v>108</v>
      </c>
      <c r="B78" s="155" t="s">
        <v>55</v>
      </c>
      <c r="C78" s="147"/>
      <c r="D78" s="147"/>
      <c r="E78" s="147"/>
      <c r="F78" s="156">
        <v>0</v>
      </c>
      <c r="G78" s="156">
        <v>0</v>
      </c>
      <c r="H78" s="157">
        <v>0</v>
      </c>
      <c r="I78" s="158">
        <v>0</v>
      </c>
      <c r="J78" s="157">
        <v>0</v>
      </c>
      <c r="K78" s="159">
        <v>0</v>
      </c>
    </row>
    <row r="79" spans="1:11">
      <c r="A79" s="151" t="s">
        <v>109</v>
      </c>
      <c r="B79" s="155" t="s">
        <v>13</v>
      </c>
      <c r="C79" s="147"/>
      <c r="D79" s="147"/>
      <c r="E79" s="147"/>
      <c r="F79" s="156">
        <v>4810.75</v>
      </c>
      <c r="G79" s="156">
        <v>24807</v>
      </c>
      <c r="H79" s="157">
        <v>1757288</v>
      </c>
      <c r="I79" s="157">
        <v>5508</v>
      </c>
      <c r="J79" s="157">
        <v>1750</v>
      </c>
      <c r="K79" s="157">
        <v>1761046</v>
      </c>
    </row>
    <row r="80" spans="1:11">
      <c r="A80" s="151" t="s">
        <v>110</v>
      </c>
      <c r="B80" s="155" t="s">
        <v>56</v>
      </c>
      <c r="C80" s="147"/>
      <c r="D80" s="147"/>
      <c r="E80" s="147"/>
      <c r="F80" s="156">
        <v>0</v>
      </c>
      <c r="G80" s="156">
        <v>0</v>
      </c>
      <c r="H80" s="157">
        <v>0</v>
      </c>
      <c r="I80" s="158">
        <v>0</v>
      </c>
      <c r="J80" s="157">
        <v>0</v>
      </c>
      <c r="K80" s="159">
        <v>0</v>
      </c>
    </row>
    <row r="81" spans="1:11">
      <c r="A81" s="151"/>
      <c r="B81" s="147"/>
      <c r="C81" s="147"/>
      <c r="D81" s="147"/>
      <c r="E81" s="147"/>
      <c r="F81" s="147"/>
      <c r="G81" s="147"/>
      <c r="H81" s="147"/>
      <c r="I81" s="147"/>
      <c r="J81" s="147"/>
      <c r="K81" s="188"/>
    </row>
    <row r="82" spans="1:11">
      <c r="A82" s="151" t="s">
        <v>148</v>
      </c>
      <c r="B82" s="150" t="s">
        <v>149</v>
      </c>
      <c r="C82" s="147"/>
      <c r="D82" s="147"/>
      <c r="E82" s="150" t="s">
        <v>7</v>
      </c>
      <c r="F82" s="264">
        <v>4841.75</v>
      </c>
      <c r="G82" s="264">
        <v>24833</v>
      </c>
      <c r="H82" s="187">
        <v>1883199</v>
      </c>
      <c r="I82" s="187">
        <v>5508</v>
      </c>
      <c r="J82" s="187">
        <v>1750</v>
      </c>
      <c r="K82" s="187">
        <v>1886957</v>
      </c>
    </row>
    <row r="83" spans="1:11" ht="13.5" thickBot="1">
      <c r="A83" s="151"/>
      <c r="B83" s="147"/>
      <c r="C83" s="147"/>
      <c r="D83" s="147"/>
      <c r="E83" s="147"/>
      <c r="F83" s="172"/>
      <c r="G83" s="172"/>
      <c r="H83" s="172"/>
      <c r="I83" s="172"/>
      <c r="J83" s="172"/>
      <c r="K83" s="172"/>
    </row>
    <row r="84" spans="1:11" ht="45.75" customHeight="1">
      <c r="A84" s="147"/>
      <c r="B84" s="147"/>
      <c r="C84" s="147"/>
      <c r="D84" s="147"/>
      <c r="E84" s="147"/>
      <c r="F84" s="153" t="s">
        <v>9</v>
      </c>
      <c r="G84" s="153" t="s">
        <v>37</v>
      </c>
      <c r="H84" s="153" t="s">
        <v>29</v>
      </c>
      <c r="I84" s="153" t="s">
        <v>30</v>
      </c>
      <c r="J84" s="153" t="s">
        <v>33</v>
      </c>
      <c r="K84" s="153" t="s">
        <v>34</v>
      </c>
    </row>
    <row r="85" spans="1:11">
      <c r="A85" s="154" t="s">
        <v>111</v>
      </c>
      <c r="B85" s="150" t="s">
        <v>57</v>
      </c>
      <c r="C85" s="147"/>
      <c r="D85" s="147"/>
      <c r="E85" s="147"/>
      <c r="F85" s="147"/>
      <c r="G85" s="147"/>
      <c r="H85" s="147"/>
      <c r="I85" s="147"/>
      <c r="J85" s="147"/>
      <c r="K85" s="147"/>
    </row>
    <row r="86" spans="1:11">
      <c r="A86" s="151" t="s">
        <v>112</v>
      </c>
      <c r="B86" s="155" t="s">
        <v>113</v>
      </c>
      <c r="C86" s="147"/>
      <c r="D86" s="147"/>
      <c r="E86" s="147"/>
      <c r="F86" s="156">
        <v>0</v>
      </c>
      <c r="G86" s="156">
        <v>0</v>
      </c>
      <c r="H86" s="157">
        <v>30575</v>
      </c>
      <c r="I86" s="157">
        <v>17183</v>
      </c>
      <c r="J86" s="157">
        <v>0</v>
      </c>
      <c r="K86" s="187">
        <f t="shared" ref="K86:K93" si="0">H86+I86-J86</f>
        <v>47758</v>
      </c>
    </row>
    <row r="87" spans="1:11">
      <c r="A87" s="151" t="s">
        <v>114</v>
      </c>
      <c r="B87" s="155" t="s">
        <v>14</v>
      </c>
      <c r="C87" s="147"/>
      <c r="D87" s="147"/>
      <c r="E87" s="147"/>
      <c r="F87" s="156">
        <v>0</v>
      </c>
      <c r="G87" s="156">
        <v>0</v>
      </c>
      <c r="H87" s="157">
        <v>0</v>
      </c>
      <c r="I87" s="158">
        <v>0</v>
      </c>
      <c r="J87" s="157">
        <v>0</v>
      </c>
      <c r="K87" s="187">
        <f t="shared" si="0"/>
        <v>0</v>
      </c>
    </row>
    <row r="88" spans="1:11">
      <c r="A88" s="151" t="s">
        <v>115</v>
      </c>
      <c r="B88" s="155" t="s">
        <v>116</v>
      </c>
      <c r="C88" s="147"/>
      <c r="D88" s="147"/>
      <c r="E88" s="147"/>
      <c r="F88" s="156">
        <v>81.5</v>
      </c>
      <c r="G88" s="156">
        <v>5</v>
      </c>
      <c r="H88" s="157">
        <v>317589</v>
      </c>
      <c r="I88" s="157">
        <v>64718</v>
      </c>
      <c r="J88" s="157">
        <v>113717</v>
      </c>
      <c r="K88" s="187">
        <f>H88+I88-J88</f>
        <v>268590</v>
      </c>
    </row>
    <row r="89" spans="1:11">
      <c r="A89" s="151" t="s">
        <v>117</v>
      </c>
      <c r="B89" s="155" t="s">
        <v>58</v>
      </c>
      <c r="C89" s="147"/>
      <c r="D89" s="147"/>
      <c r="E89" s="147"/>
      <c r="F89" s="156">
        <v>0</v>
      </c>
      <c r="G89" s="156">
        <v>0</v>
      </c>
      <c r="H89" s="157">
        <v>0</v>
      </c>
      <c r="I89" s="158">
        <v>0</v>
      </c>
      <c r="J89" s="157">
        <v>0</v>
      </c>
      <c r="K89" s="187">
        <f t="shared" si="0"/>
        <v>0</v>
      </c>
    </row>
    <row r="90" spans="1:11">
      <c r="A90" s="151" t="s">
        <v>118</v>
      </c>
      <c r="B90" s="904" t="s">
        <v>59</v>
      </c>
      <c r="C90" s="904"/>
      <c r="D90" s="147"/>
      <c r="E90" s="147"/>
      <c r="F90" s="156">
        <v>0</v>
      </c>
      <c r="G90" s="156">
        <v>0</v>
      </c>
      <c r="H90" s="157">
        <v>0</v>
      </c>
      <c r="I90" s="158">
        <v>0</v>
      </c>
      <c r="J90" s="157">
        <v>0</v>
      </c>
      <c r="K90" s="187">
        <f t="shared" si="0"/>
        <v>0</v>
      </c>
    </row>
    <row r="91" spans="1:11">
      <c r="A91" s="151" t="s">
        <v>119</v>
      </c>
      <c r="B91" s="155" t="s">
        <v>60</v>
      </c>
      <c r="C91" s="147"/>
      <c r="D91" s="147"/>
      <c r="E91" s="147"/>
      <c r="F91" s="156">
        <v>0</v>
      </c>
      <c r="G91" s="156">
        <v>0</v>
      </c>
      <c r="H91" s="157">
        <v>0</v>
      </c>
      <c r="I91" s="158">
        <v>0</v>
      </c>
      <c r="J91" s="157">
        <v>0</v>
      </c>
      <c r="K91" s="187">
        <f t="shared" si="0"/>
        <v>0</v>
      </c>
    </row>
    <row r="92" spans="1:11">
      <c r="A92" s="151" t="s">
        <v>120</v>
      </c>
      <c r="B92" s="155" t="s">
        <v>121</v>
      </c>
      <c r="C92" s="147"/>
      <c r="D92" s="147"/>
      <c r="E92" s="147"/>
      <c r="F92" s="156">
        <v>0</v>
      </c>
      <c r="G92" s="156">
        <v>0</v>
      </c>
      <c r="H92" s="157">
        <v>0</v>
      </c>
      <c r="I92" s="158">
        <v>0</v>
      </c>
      <c r="J92" s="157">
        <v>0</v>
      </c>
      <c r="K92" s="187">
        <f t="shared" si="0"/>
        <v>0</v>
      </c>
    </row>
    <row r="93" spans="1:11">
      <c r="A93" s="151" t="s">
        <v>122</v>
      </c>
      <c r="B93" s="155" t="s">
        <v>123</v>
      </c>
      <c r="C93" s="147"/>
      <c r="D93" s="147"/>
      <c r="E93" s="147"/>
      <c r="F93" s="156">
        <v>165.5</v>
      </c>
      <c r="G93" s="156">
        <v>219</v>
      </c>
      <c r="H93" s="157">
        <v>7967</v>
      </c>
      <c r="I93" s="157">
        <v>4478</v>
      </c>
      <c r="J93" s="157">
        <v>0</v>
      </c>
      <c r="K93" s="187">
        <f t="shared" si="0"/>
        <v>12445</v>
      </c>
    </row>
    <row r="94" spans="1:11">
      <c r="A94" s="151" t="s">
        <v>124</v>
      </c>
      <c r="B94" s="901"/>
      <c r="C94" s="902"/>
      <c r="D94" s="903"/>
      <c r="E94" s="147"/>
      <c r="F94" s="156"/>
      <c r="G94" s="156"/>
      <c r="H94" s="157"/>
      <c r="I94" s="158"/>
      <c r="J94" s="157"/>
      <c r="K94" s="159"/>
    </row>
    <row r="95" spans="1:11">
      <c r="A95" s="151" t="s">
        <v>125</v>
      </c>
      <c r="B95" s="901"/>
      <c r="C95" s="902"/>
      <c r="D95" s="903"/>
      <c r="E95" s="147"/>
      <c r="F95" s="156"/>
      <c r="G95" s="156"/>
      <c r="H95" s="157"/>
      <c r="I95" s="158"/>
      <c r="J95" s="157"/>
      <c r="K95" s="159"/>
    </row>
    <row r="96" spans="1:11">
      <c r="A96" s="151" t="s">
        <v>126</v>
      </c>
      <c r="B96" s="901"/>
      <c r="C96" s="902"/>
      <c r="D96" s="903"/>
      <c r="E96" s="147"/>
      <c r="F96" s="156"/>
      <c r="G96" s="156"/>
      <c r="H96" s="157"/>
      <c r="I96" s="158"/>
      <c r="J96" s="157"/>
      <c r="K96" s="159"/>
    </row>
    <row r="97" spans="1:11">
      <c r="A97" s="151"/>
      <c r="B97" s="155"/>
      <c r="C97" s="147"/>
      <c r="D97" s="147"/>
      <c r="E97" s="147"/>
      <c r="F97" s="147"/>
      <c r="G97" s="147"/>
      <c r="H97" s="147"/>
      <c r="I97" s="147"/>
      <c r="J97" s="147"/>
      <c r="K97" s="147"/>
    </row>
    <row r="98" spans="1:11">
      <c r="A98" s="154" t="s">
        <v>150</v>
      </c>
      <c r="B98" s="150" t="s">
        <v>151</v>
      </c>
      <c r="C98" s="147"/>
      <c r="D98" s="147"/>
      <c r="E98" s="150" t="s">
        <v>7</v>
      </c>
      <c r="F98" s="162">
        <v>247</v>
      </c>
      <c r="G98" s="162">
        <v>224</v>
      </c>
      <c r="H98" s="157">
        <v>356131</v>
      </c>
      <c r="I98" s="157">
        <v>86379</v>
      </c>
      <c r="J98" s="157">
        <v>113717</v>
      </c>
      <c r="K98" s="157">
        <v>328793</v>
      </c>
    </row>
    <row r="99" spans="1:11" ht="13.5" thickBot="1">
      <c r="A99" s="147"/>
      <c r="B99" s="150"/>
      <c r="C99" s="147"/>
      <c r="D99" s="147"/>
      <c r="E99" s="147"/>
      <c r="F99" s="172"/>
      <c r="G99" s="172"/>
      <c r="H99" s="172"/>
      <c r="I99" s="172"/>
      <c r="J99" s="172"/>
      <c r="K99" s="172"/>
    </row>
    <row r="100" spans="1:11" ht="25.5">
      <c r="A100" s="147"/>
      <c r="B100" s="147"/>
      <c r="C100" s="147"/>
      <c r="D100" s="147"/>
      <c r="E100" s="147"/>
      <c r="F100" s="153" t="s">
        <v>9</v>
      </c>
      <c r="G100" s="153" t="s">
        <v>37</v>
      </c>
      <c r="H100" s="153" t="s">
        <v>29</v>
      </c>
      <c r="I100" s="153" t="s">
        <v>30</v>
      </c>
      <c r="J100" s="153" t="s">
        <v>33</v>
      </c>
      <c r="K100" s="153" t="s">
        <v>34</v>
      </c>
    </row>
    <row r="101" spans="1:11">
      <c r="A101" s="154" t="s">
        <v>130</v>
      </c>
      <c r="B101" s="150" t="s">
        <v>63</v>
      </c>
      <c r="C101" s="147"/>
      <c r="D101" s="147"/>
      <c r="E101" s="147"/>
      <c r="F101" s="147"/>
      <c r="G101" s="147"/>
      <c r="H101" s="147"/>
      <c r="I101" s="147"/>
      <c r="J101" s="147"/>
      <c r="K101" s="147"/>
    </row>
    <row r="102" spans="1:11">
      <c r="A102" s="151" t="s">
        <v>131</v>
      </c>
      <c r="B102" s="155" t="s">
        <v>152</v>
      </c>
      <c r="C102" s="147"/>
      <c r="D102" s="147"/>
      <c r="E102" s="147"/>
      <c r="F102" s="156">
        <v>1025</v>
      </c>
      <c r="G102" s="156">
        <v>0</v>
      </c>
      <c r="H102" s="157">
        <v>77339</v>
      </c>
      <c r="I102" s="157">
        <v>41457</v>
      </c>
      <c r="J102" s="157">
        <v>0</v>
      </c>
      <c r="K102" s="157">
        <v>118796</v>
      </c>
    </row>
    <row r="103" spans="1:11">
      <c r="A103" s="151" t="s">
        <v>132</v>
      </c>
      <c r="B103" s="958" t="s">
        <v>62</v>
      </c>
      <c r="C103" s="958"/>
      <c r="D103" s="147"/>
      <c r="E103" s="147"/>
      <c r="F103" s="156">
        <v>0</v>
      </c>
      <c r="G103" s="156">
        <v>0</v>
      </c>
      <c r="H103" s="157">
        <v>0</v>
      </c>
      <c r="I103" s="158">
        <v>0</v>
      </c>
      <c r="J103" s="157">
        <v>0</v>
      </c>
      <c r="K103" s="159">
        <v>0</v>
      </c>
    </row>
    <row r="104" spans="1:11">
      <c r="A104" s="151" t="s">
        <v>128</v>
      </c>
      <c r="B104" s="901"/>
      <c r="C104" s="902"/>
      <c r="D104" s="903"/>
      <c r="E104" s="147"/>
      <c r="F104" s="156"/>
      <c r="G104" s="156"/>
      <c r="H104" s="157"/>
      <c r="I104" s="158"/>
      <c r="J104" s="157"/>
      <c r="K104" s="159"/>
    </row>
    <row r="105" spans="1:11">
      <c r="A105" s="151" t="s">
        <v>127</v>
      </c>
      <c r="B105" s="901"/>
      <c r="C105" s="902"/>
      <c r="D105" s="903"/>
      <c r="E105" s="147"/>
      <c r="F105" s="156"/>
      <c r="G105" s="156"/>
      <c r="H105" s="157"/>
      <c r="I105" s="158"/>
      <c r="J105" s="157"/>
      <c r="K105" s="159"/>
    </row>
    <row r="106" spans="1:11">
      <c r="A106" s="151" t="s">
        <v>129</v>
      </c>
      <c r="B106" s="901"/>
      <c r="C106" s="902"/>
      <c r="D106" s="903"/>
      <c r="E106" s="147"/>
      <c r="F106" s="156"/>
      <c r="G106" s="156"/>
      <c r="H106" s="157"/>
      <c r="I106" s="158"/>
      <c r="J106" s="157"/>
      <c r="K106" s="159"/>
    </row>
    <row r="107" spans="1:11">
      <c r="A107" s="147"/>
      <c r="B107" s="150"/>
      <c r="C107" s="147"/>
      <c r="D107" s="147"/>
      <c r="E107" s="147"/>
      <c r="F107" s="147"/>
      <c r="G107" s="147"/>
      <c r="H107" s="147"/>
      <c r="I107" s="147"/>
      <c r="J107" s="147"/>
      <c r="K107" s="147"/>
    </row>
    <row r="108" spans="1:11">
      <c r="A108" s="154" t="s">
        <v>153</v>
      </c>
      <c r="B108" s="191" t="s">
        <v>154</v>
      </c>
      <c r="C108" s="147"/>
      <c r="D108" s="147"/>
      <c r="E108" s="150" t="s">
        <v>7</v>
      </c>
      <c r="F108" s="162">
        <v>1025</v>
      </c>
      <c r="G108" s="162">
        <v>0</v>
      </c>
      <c r="H108" s="159">
        <v>77339</v>
      </c>
      <c r="I108" s="159">
        <v>41457</v>
      </c>
      <c r="J108" s="159">
        <v>0</v>
      </c>
      <c r="K108" s="159">
        <v>118796</v>
      </c>
    </row>
    <row r="109" spans="1:11" ht="13.5" thickBot="1">
      <c r="A109" s="192"/>
      <c r="B109" s="193"/>
      <c r="C109" s="194"/>
      <c r="D109" s="194"/>
      <c r="E109" s="194"/>
      <c r="F109" s="172"/>
      <c r="G109" s="172"/>
      <c r="H109" s="172"/>
      <c r="I109" s="172"/>
      <c r="J109" s="172"/>
      <c r="K109" s="172"/>
    </row>
    <row r="110" spans="1:11">
      <c r="A110" s="154" t="s">
        <v>156</v>
      </c>
      <c r="B110" s="150" t="s">
        <v>39</v>
      </c>
      <c r="C110" s="147"/>
      <c r="D110" s="147"/>
      <c r="E110" s="147"/>
      <c r="F110" s="147"/>
      <c r="G110" s="147"/>
      <c r="H110" s="147"/>
      <c r="I110" s="147"/>
      <c r="J110" s="147"/>
      <c r="K110" s="147"/>
    </row>
    <row r="111" spans="1:11">
      <c r="A111" s="154" t="s">
        <v>155</v>
      </c>
      <c r="B111" s="150" t="s">
        <v>164</v>
      </c>
      <c r="C111" s="147"/>
      <c r="D111" s="147"/>
      <c r="E111" s="150" t="s">
        <v>7</v>
      </c>
      <c r="F111" s="157">
        <v>16531000</v>
      </c>
      <c r="G111" s="147"/>
      <c r="H111" s="147"/>
      <c r="I111" s="147"/>
      <c r="J111" s="147"/>
      <c r="K111" s="147"/>
    </row>
    <row r="112" spans="1:11">
      <c r="A112" s="147"/>
      <c r="B112" s="150"/>
      <c r="C112" s="147"/>
      <c r="D112" s="147"/>
      <c r="E112" s="150"/>
      <c r="F112" s="195"/>
      <c r="G112" s="147"/>
      <c r="H112" s="147"/>
      <c r="I112" s="147"/>
      <c r="J112" s="147"/>
      <c r="K112" s="147"/>
    </row>
    <row r="113" spans="1:6">
      <c r="A113" s="154" t="s">
        <v>170</v>
      </c>
      <c r="B113" s="150" t="s">
        <v>15</v>
      </c>
      <c r="C113" s="147"/>
      <c r="D113" s="147"/>
      <c r="E113" s="147"/>
      <c r="F113" s="147"/>
    </row>
    <row r="114" spans="1:6">
      <c r="A114" s="151" t="s">
        <v>171</v>
      </c>
      <c r="B114" s="155" t="s">
        <v>35</v>
      </c>
      <c r="C114" s="147"/>
      <c r="D114" s="147"/>
      <c r="E114" s="147"/>
      <c r="F114" s="196">
        <v>0.56179999999999997</v>
      </c>
    </row>
    <row r="115" spans="1:6">
      <c r="A115" s="151"/>
      <c r="B115" s="150"/>
      <c r="C115" s="147"/>
      <c r="D115" s="147"/>
      <c r="E115" s="147"/>
      <c r="F115" s="147"/>
    </row>
    <row r="116" spans="1:6">
      <c r="A116" s="151"/>
      <c r="B116" s="150" t="s">
        <v>16</v>
      </c>
      <c r="C116" s="147"/>
      <c r="D116" s="147"/>
      <c r="E116" s="147"/>
      <c r="F116" s="147"/>
    </row>
    <row r="117" spans="1:6">
      <c r="A117" s="151" t="s">
        <v>172</v>
      </c>
      <c r="B117" s="155" t="s">
        <v>17</v>
      </c>
      <c r="C117" s="147"/>
      <c r="D117" s="147"/>
      <c r="E117" s="147"/>
      <c r="F117" s="157">
        <v>515836000</v>
      </c>
    </row>
    <row r="118" spans="1:6">
      <c r="A118" s="151" t="s">
        <v>173</v>
      </c>
      <c r="B118" s="147" t="s">
        <v>18</v>
      </c>
      <c r="C118" s="147"/>
      <c r="D118" s="147"/>
      <c r="E118" s="147"/>
      <c r="F118" s="157">
        <v>61068000</v>
      </c>
    </row>
    <row r="119" spans="1:6">
      <c r="A119" s="151" t="s">
        <v>174</v>
      </c>
      <c r="B119" s="150" t="s">
        <v>19</v>
      </c>
      <c r="C119" s="147"/>
      <c r="D119" s="147"/>
      <c r="E119" s="147"/>
      <c r="F119" s="187">
        <v>576904000</v>
      </c>
    </row>
    <row r="120" spans="1:6">
      <c r="A120" s="151"/>
      <c r="B120" s="150"/>
      <c r="C120" s="147"/>
      <c r="D120" s="147"/>
      <c r="E120" s="147"/>
      <c r="F120" s="147"/>
    </row>
    <row r="121" spans="1:6">
      <c r="A121" s="151" t="s">
        <v>167</v>
      </c>
      <c r="B121" s="150" t="s">
        <v>36</v>
      </c>
      <c r="C121" s="147"/>
      <c r="D121" s="147"/>
      <c r="E121" s="147"/>
      <c r="F121" s="157">
        <v>563029000</v>
      </c>
    </row>
    <row r="122" spans="1:6">
      <c r="A122" s="151"/>
      <c r="B122" s="147"/>
      <c r="C122" s="147"/>
      <c r="D122" s="147"/>
      <c r="E122" s="147"/>
      <c r="F122" s="147"/>
    </row>
    <row r="123" spans="1:6">
      <c r="A123" s="151" t="s">
        <v>175</v>
      </c>
      <c r="B123" s="150" t="s">
        <v>20</v>
      </c>
      <c r="C123" s="147"/>
      <c r="D123" s="147"/>
      <c r="E123" s="147"/>
      <c r="F123" s="157">
        <v>13875000</v>
      </c>
    </row>
    <row r="124" spans="1:6">
      <c r="A124" s="151"/>
      <c r="B124" s="147"/>
      <c r="C124" s="147"/>
      <c r="D124" s="147"/>
      <c r="E124" s="147"/>
      <c r="F124" s="147"/>
    </row>
    <row r="125" spans="1:6">
      <c r="A125" s="151" t="s">
        <v>176</v>
      </c>
      <c r="B125" s="150" t="s">
        <v>21</v>
      </c>
      <c r="C125" s="147"/>
      <c r="D125" s="147"/>
      <c r="E125" s="147"/>
      <c r="F125" s="157">
        <v>253000</v>
      </c>
    </row>
    <row r="126" spans="1:6">
      <c r="A126" s="151"/>
      <c r="B126" s="147"/>
      <c r="C126" s="147"/>
      <c r="D126" s="147"/>
      <c r="E126" s="147"/>
      <c r="F126" s="147"/>
    </row>
    <row r="127" spans="1:6">
      <c r="A127" s="151" t="s">
        <v>177</v>
      </c>
      <c r="B127" s="150" t="s">
        <v>22</v>
      </c>
      <c r="C127" s="147"/>
      <c r="D127" s="147"/>
      <c r="E127" s="147"/>
      <c r="F127" s="157">
        <v>13622000</v>
      </c>
    </row>
    <row r="128" spans="1:6">
      <c r="A128" s="151"/>
      <c r="B128" s="147"/>
      <c r="C128" s="147"/>
      <c r="D128" s="147"/>
      <c r="E128" s="147"/>
      <c r="F128" s="147"/>
    </row>
    <row r="129" spans="1:11" ht="25.5">
      <c r="A129" s="147"/>
      <c r="B129" s="147"/>
      <c r="C129" s="147"/>
      <c r="D129" s="147"/>
      <c r="E129" s="147"/>
      <c r="F129" s="153" t="s">
        <v>9</v>
      </c>
      <c r="G129" s="153" t="s">
        <v>37</v>
      </c>
      <c r="H129" s="153" t="s">
        <v>29</v>
      </c>
      <c r="I129" s="153" t="s">
        <v>30</v>
      </c>
      <c r="J129" s="153" t="s">
        <v>33</v>
      </c>
      <c r="K129" s="153" t="s">
        <v>34</v>
      </c>
    </row>
    <row r="130" spans="1:11">
      <c r="A130" s="154" t="s">
        <v>157</v>
      </c>
      <c r="B130" s="150" t="s">
        <v>23</v>
      </c>
      <c r="C130" s="147"/>
      <c r="D130" s="147"/>
      <c r="E130" s="147"/>
      <c r="F130" s="147"/>
      <c r="G130" s="147"/>
      <c r="H130" s="147"/>
      <c r="I130" s="147"/>
      <c r="J130" s="147"/>
      <c r="K130" s="147"/>
    </row>
    <row r="131" spans="1:11">
      <c r="A131" s="151" t="s">
        <v>158</v>
      </c>
      <c r="B131" s="147" t="s">
        <v>24</v>
      </c>
      <c r="C131" s="147"/>
      <c r="D131" s="147"/>
      <c r="E131" s="147"/>
      <c r="F131" s="156"/>
      <c r="G131" s="156"/>
      <c r="H131" s="157"/>
      <c r="I131" s="158">
        <v>0</v>
      </c>
      <c r="J131" s="157"/>
      <c r="K131" s="159">
        <v>0</v>
      </c>
    </row>
    <row r="132" spans="1:11">
      <c r="A132" s="151" t="s">
        <v>159</v>
      </c>
      <c r="B132" s="147" t="s">
        <v>25</v>
      </c>
      <c r="C132" s="147"/>
      <c r="D132" s="147"/>
      <c r="E132" s="147"/>
      <c r="F132" s="156"/>
      <c r="G132" s="156"/>
      <c r="H132" s="157"/>
      <c r="I132" s="158">
        <v>0</v>
      </c>
      <c r="J132" s="157"/>
      <c r="K132" s="159">
        <v>0</v>
      </c>
    </row>
    <row r="133" spans="1:11">
      <c r="A133" s="151" t="s">
        <v>160</v>
      </c>
      <c r="B133" s="898"/>
      <c r="C133" s="899"/>
      <c r="D133" s="900"/>
      <c r="E133" s="147"/>
      <c r="F133" s="156"/>
      <c r="G133" s="156"/>
      <c r="H133" s="157"/>
      <c r="I133" s="158">
        <v>0</v>
      </c>
      <c r="J133" s="157"/>
      <c r="K133" s="159">
        <v>0</v>
      </c>
    </row>
    <row r="134" spans="1:11">
      <c r="A134" s="151" t="s">
        <v>161</v>
      </c>
      <c r="B134" s="898"/>
      <c r="C134" s="899"/>
      <c r="D134" s="900"/>
      <c r="E134" s="147"/>
      <c r="F134" s="156"/>
      <c r="G134" s="156"/>
      <c r="H134" s="157"/>
      <c r="I134" s="158">
        <v>0</v>
      </c>
      <c r="J134" s="157"/>
      <c r="K134" s="159">
        <v>0</v>
      </c>
    </row>
    <row r="135" spans="1:11">
      <c r="A135" s="151" t="s">
        <v>162</v>
      </c>
      <c r="B135" s="898"/>
      <c r="C135" s="899"/>
      <c r="D135" s="900"/>
      <c r="E135" s="147"/>
      <c r="F135" s="156"/>
      <c r="G135" s="156"/>
      <c r="H135" s="157"/>
      <c r="I135" s="158">
        <v>0</v>
      </c>
      <c r="J135" s="157"/>
      <c r="K135" s="159">
        <v>0</v>
      </c>
    </row>
    <row r="136" spans="1:11">
      <c r="A136" s="154"/>
      <c r="B136" s="147"/>
      <c r="C136" s="147"/>
      <c r="D136" s="147"/>
      <c r="E136" s="147"/>
      <c r="F136" s="147"/>
      <c r="G136" s="147"/>
      <c r="H136" s="147"/>
      <c r="I136" s="147"/>
      <c r="J136" s="147"/>
      <c r="K136" s="147"/>
    </row>
    <row r="137" spans="1:11">
      <c r="A137" s="154" t="s">
        <v>163</v>
      </c>
      <c r="B137" s="150" t="s">
        <v>27</v>
      </c>
      <c r="C137" s="147"/>
      <c r="D137" s="147"/>
      <c r="E137" s="147"/>
      <c r="F137" s="162">
        <v>0</v>
      </c>
      <c r="G137" s="162">
        <v>0</v>
      </c>
      <c r="H137" s="159">
        <v>0</v>
      </c>
      <c r="I137" s="159">
        <v>0</v>
      </c>
      <c r="J137" s="159">
        <v>0</v>
      </c>
      <c r="K137" s="159">
        <v>0</v>
      </c>
    </row>
    <row r="138" spans="1:11">
      <c r="A138" s="147"/>
      <c r="B138" s="147"/>
      <c r="C138" s="147"/>
      <c r="D138" s="147"/>
      <c r="E138" s="147"/>
      <c r="F138" s="147"/>
      <c r="G138" s="147"/>
      <c r="H138" s="147"/>
      <c r="I138" s="147"/>
      <c r="J138" s="147"/>
      <c r="K138" s="147"/>
    </row>
    <row r="139" spans="1:11" ht="25.5">
      <c r="A139" s="147"/>
      <c r="B139" s="147"/>
      <c r="C139" s="147"/>
      <c r="D139" s="147"/>
      <c r="E139" s="147"/>
      <c r="F139" s="153" t="s">
        <v>9</v>
      </c>
      <c r="G139" s="153" t="s">
        <v>37</v>
      </c>
      <c r="H139" s="153" t="s">
        <v>29</v>
      </c>
      <c r="I139" s="153" t="s">
        <v>30</v>
      </c>
      <c r="J139" s="153" t="s">
        <v>33</v>
      </c>
      <c r="K139" s="153" t="s">
        <v>34</v>
      </c>
    </row>
    <row r="140" spans="1:11">
      <c r="A140" s="154" t="s">
        <v>166</v>
      </c>
      <c r="B140" s="150" t="s">
        <v>26</v>
      </c>
      <c r="C140" s="147"/>
      <c r="D140" s="147"/>
      <c r="E140" s="147"/>
      <c r="F140" s="147"/>
      <c r="G140" s="147"/>
      <c r="H140" s="147"/>
      <c r="I140" s="147"/>
      <c r="J140" s="147"/>
      <c r="K140" s="147"/>
    </row>
    <row r="141" spans="1:11">
      <c r="A141" s="151" t="s">
        <v>137</v>
      </c>
      <c r="B141" s="150" t="s">
        <v>64</v>
      </c>
      <c r="C141" s="147"/>
      <c r="D141" s="147"/>
      <c r="E141" s="147"/>
      <c r="F141" s="197">
        <v>25362</v>
      </c>
      <c r="G141" s="197">
        <v>308474</v>
      </c>
      <c r="H141" s="265">
        <v>3088673</v>
      </c>
      <c r="I141" s="265">
        <v>1012639</v>
      </c>
      <c r="J141" s="265">
        <v>285542</v>
      </c>
      <c r="K141" s="265">
        <v>3815770</v>
      </c>
    </row>
    <row r="142" spans="1:11">
      <c r="A142" s="151" t="s">
        <v>142</v>
      </c>
      <c r="B142" s="150" t="s">
        <v>65</v>
      </c>
      <c r="C142" s="147"/>
      <c r="D142" s="147"/>
      <c r="E142" s="147"/>
      <c r="F142" s="197">
        <v>42920.75</v>
      </c>
      <c r="G142" s="197">
        <v>3315</v>
      </c>
      <c r="H142" s="265">
        <v>24589781</v>
      </c>
      <c r="I142" s="265">
        <v>606178</v>
      </c>
      <c r="J142" s="265">
        <v>7800</v>
      </c>
      <c r="K142" s="265">
        <v>25188159</v>
      </c>
    </row>
    <row r="143" spans="1:11">
      <c r="A143" s="151" t="s">
        <v>144</v>
      </c>
      <c r="B143" s="150" t="s">
        <v>66</v>
      </c>
      <c r="C143" s="147"/>
      <c r="D143" s="147"/>
      <c r="E143" s="147"/>
      <c r="F143" s="197">
        <v>476</v>
      </c>
      <c r="G143" s="197">
        <v>0</v>
      </c>
      <c r="H143" s="265">
        <v>4220040</v>
      </c>
      <c r="I143" s="265">
        <v>0</v>
      </c>
      <c r="J143" s="265">
        <v>857278</v>
      </c>
      <c r="K143" s="265">
        <v>3362762</v>
      </c>
    </row>
    <row r="144" spans="1:11">
      <c r="A144" s="151" t="s">
        <v>146</v>
      </c>
      <c r="B144" s="150" t="s">
        <v>67</v>
      </c>
      <c r="C144" s="147"/>
      <c r="D144" s="147"/>
      <c r="E144" s="147"/>
      <c r="F144" s="197">
        <v>4160</v>
      </c>
      <c r="G144" s="197">
        <v>0</v>
      </c>
      <c r="H144" s="265">
        <v>193765</v>
      </c>
      <c r="I144" s="265">
        <v>0</v>
      </c>
      <c r="J144" s="265">
        <v>0</v>
      </c>
      <c r="K144" s="265">
        <v>193765</v>
      </c>
    </row>
    <row r="145" spans="1:11">
      <c r="A145" s="151" t="s">
        <v>148</v>
      </c>
      <c r="B145" s="150" t="s">
        <v>68</v>
      </c>
      <c r="C145" s="147"/>
      <c r="D145" s="147"/>
      <c r="E145" s="147"/>
      <c r="F145" s="197">
        <v>4841.75</v>
      </c>
      <c r="G145" s="197">
        <v>24833</v>
      </c>
      <c r="H145" s="265">
        <v>1883199</v>
      </c>
      <c r="I145" s="265">
        <v>5508</v>
      </c>
      <c r="J145" s="265">
        <v>1750</v>
      </c>
      <c r="K145" s="265">
        <v>1886957</v>
      </c>
    </row>
    <row r="146" spans="1:11">
      <c r="A146" s="151" t="s">
        <v>150</v>
      </c>
      <c r="B146" s="150" t="s">
        <v>69</v>
      </c>
      <c r="C146" s="147"/>
      <c r="D146" s="147"/>
      <c r="E146" s="147"/>
      <c r="F146" s="197">
        <v>247</v>
      </c>
      <c r="G146" s="197">
        <v>224</v>
      </c>
      <c r="H146" s="265">
        <v>356131</v>
      </c>
      <c r="I146" s="265">
        <v>86379</v>
      </c>
      <c r="J146" s="265">
        <v>113717</v>
      </c>
      <c r="K146" s="265">
        <v>328793</v>
      </c>
    </row>
    <row r="147" spans="1:11">
      <c r="A147" s="151" t="s">
        <v>153</v>
      </c>
      <c r="B147" s="150" t="s">
        <v>61</v>
      </c>
      <c r="C147" s="147"/>
      <c r="D147" s="147"/>
      <c r="E147" s="147"/>
      <c r="F147" s="162">
        <v>1025</v>
      </c>
      <c r="G147" s="162">
        <v>0</v>
      </c>
      <c r="H147" s="266">
        <v>77339</v>
      </c>
      <c r="I147" s="266">
        <v>41457</v>
      </c>
      <c r="J147" s="266">
        <v>0</v>
      </c>
      <c r="K147" s="266">
        <v>118796</v>
      </c>
    </row>
    <row r="148" spans="1:11">
      <c r="A148" s="151" t="s">
        <v>155</v>
      </c>
      <c r="B148" s="150" t="s">
        <v>70</v>
      </c>
      <c r="C148" s="147"/>
      <c r="D148" s="147"/>
      <c r="E148" s="147"/>
      <c r="F148" s="198" t="s">
        <v>73</v>
      </c>
      <c r="G148" s="198" t="s">
        <v>73</v>
      </c>
      <c r="H148" s="199" t="s">
        <v>73</v>
      </c>
      <c r="I148" s="199" t="s">
        <v>73</v>
      </c>
      <c r="J148" s="199" t="s">
        <v>73</v>
      </c>
      <c r="K148" s="200">
        <v>16531000</v>
      </c>
    </row>
    <row r="149" spans="1:11">
      <c r="A149" s="151" t="s">
        <v>163</v>
      </c>
      <c r="B149" s="150" t="s">
        <v>71</v>
      </c>
      <c r="C149" s="147"/>
      <c r="D149" s="147"/>
      <c r="E149" s="147"/>
      <c r="F149" s="162">
        <v>0</v>
      </c>
      <c r="G149" s="162">
        <v>0</v>
      </c>
      <c r="H149" s="162">
        <v>0</v>
      </c>
      <c r="I149" s="162">
        <v>0</v>
      </c>
      <c r="J149" s="162">
        <v>0</v>
      </c>
      <c r="K149" s="162">
        <v>0</v>
      </c>
    </row>
    <row r="150" spans="1:11">
      <c r="A150" s="151" t="s">
        <v>185</v>
      </c>
      <c r="B150" s="150" t="s">
        <v>183</v>
      </c>
      <c r="C150" s="147"/>
      <c r="D150" s="147"/>
      <c r="E150" s="147"/>
      <c r="F150" s="198" t="s">
        <v>73</v>
      </c>
      <c r="G150" s="198" t="s">
        <v>73</v>
      </c>
      <c r="H150" s="162">
        <v>2140256</v>
      </c>
      <c r="I150" s="162">
        <v>0</v>
      </c>
      <c r="J150" s="162">
        <v>0</v>
      </c>
      <c r="K150" s="162">
        <v>2140256</v>
      </c>
    </row>
    <row r="151" spans="1:11">
      <c r="A151" s="147"/>
      <c r="B151" s="150"/>
      <c r="C151" s="147"/>
      <c r="D151" s="147"/>
      <c r="E151" s="147"/>
      <c r="F151" s="174"/>
      <c r="G151" s="174"/>
      <c r="H151" s="174"/>
      <c r="I151" s="174"/>
      <c r="J151" s="174"/>
      <c r="K151" s="174"/>
    </row>
    <row r="152" spans="1:11">
      <c r="A152" s="154" t="s">
        <v>165</v>
      </c>
      <c r="B152" s="150" t="s">
        <v>26</v>
      </c>
      <c r="C152" s="147"/>
      <c r="D152" s="147"/>
      <c r="E152" s="147"/>
      <c r="F152" s="201">
        <v>79032.5</v>
      </c>
      <c r="G152" s="201">
        <v>336846</v>
      </c>
      <c r="H152" s="266">
        <v>36549184</v>
      </c>
      <c r="I152" s="266">
        <v>1752161</v>
      </c>
      <c r="J152" s="266">
        <v>1266087</v>
      </c>
      <c r="K152" s="266">
        <v>53566258</v>
      </c>
    </row>
    <row r="154" spans="1:11">
      <c r="A154" s="154" t="s">
        <v>168</v>
      </c>
      <c r="B154" s="150" t="s">
        <v>28</v>
      </c>
      <c r="C154" s="147"/>
      <c r="D154" s="147"/>
      <c r="E154" s="147"/>
      <c r="F154" s="267">
        <v>9.5139429762942943E-2</v>
      </c>
      <c r="G154" s="147"/>
      <c r="H154" s="147"/>
      <c r="I154" s="147"/>
      <c r="J154" s="147"/>
      <c r="K154" s="147"/>
    </row>
    <row r="155" spans="1:11">
      <c r="A155" s="154" t="s">
        <v>169</v>
      </c>
      <c r="B155" s="150" t="s">
        <v>72</v>
      </c>
      <c r="C155" s="147"/>
      <c r="D155" s="147"/>
      <c r="E155" s="147"/>
      <c r="F155" s="267">
        <v>3.9323343121421233</v>
      </c>
      <c r="G155" s="150"/>
      <c r="H155" s="147"/>
      <c r="I155" s="147"/>
      <c r="J155" s="147"/>
      <c r="K155" s="147"/>
    </row>
    <row r="156" spans="1:11">
      <c r="A156" s="147"/>
      <c r="B156" s="147"/>
      <c r="C156" s="147"/>
      <c r="D156" s="147"/>
      <c r="E156" s="147"/>
      <c r="F156" s="147"/>
      <c r="G156" s="150"/>
      <c r="H156" s="147"/>
      <c r="I156" s="147"/>
      <c r="J156" s="147"/>
      <c r="K156" s="147"/>
    </row>
  </sheetData>
  <mergeCells count="28">
    <mergeCell ref="C10:G10"/>
    <mergeCell ref="D2:H2"/>
    <mergeCell ref="C5:G5"/>
    <mergeCell ref="C6:G6"/>
    <mergeCell ref="C7:G7"/>
    <mergeCell ref="C9:G9"/>
    <mergeCell ref="B90:C90"/>
    <mergeCell ref="C11:G11"/>
    <mergeCell ref="B13:H13"/>
    <mergeCell ref="A16:B16"/>
    <mergeCell ref="A19:B19"/>
    <mergeCell ref="B30:D30"/>
    <mergeCell ref="B31:D31"/>
    <mergeCell ref="B34:D34"/>
    <mergeCell ref="B41:C41"/>
    <mergeCell ref="B52:C52"/>
    <mergeCell ref="B60:D60"/>
    <mergeCell ref="B61:D61"/>
    <mergeCell ref="B106:D106"/>
    <mergeCell ref="B133:D133"/>
    <mergeCell ref="B134:D134"/>
    <mergeCell ref="B135:D135"/>
    <mergeCell ref="B94:D94"/>
    <mergeCell ref="B95:D95"/>
    <mergeCell ref="B96:D96"/>
    <mergeCell ref="B103:C103"/>
    <mergeCell ref="B104:D104"/>
    <mergeCell ref="B105:D105"/>
  </mergeCells>
  <pageMargins left="0.7" right="0.7" top="0.75" bottom="0.75" header="0.3" footer="0.3"/>
  <pageSetup scale="69" fitToHeight="0" orientation="landscape"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K166"/>
  <sheetViews>
    <sheetView zoomScaleNormal="100" workbookViewId="0">
      <selection activeCell="H18" sqref="H18"/>
    </sheetView>
  </sheetViews>
  <sheetFormatPr defaultRowHeight="18" customHeight="1"/>
  <cols>
    <col min="1" max="1" width="8.28515625" style="146" customWidth="1"/>
    <col min="2" max="2" width="55.42578125" style="147" bestFit="1" customWidth="1"/>
    <col min="3" max="3" width="6.5703125" style="147" customWidth="1"/>
    <col min="4" max="4" width="4.7109375" style="147" customWidth="1"/>
    <col min="5" max="5" width="12.42578125" style="147" customWidth="1"/>
    <col min="6" max="6" width="18.5703125" style="147" customWidth="1"/>
    <col min="7" max="7" width="23.5703125" style="147" customWidth="1"/>
    <col min="8" max="8" width="17.140625" style="612" customWidth="1"/>
    <col min="9" max="9" width="21.140625" style="612" customWidth="1"/>
    <col min="10" max="10" width="19.85546875" style="612" customWidth="1"/>
    <col min="11" max="11" width="17.5703125" style="147" customWidth="1"/>
    <col min="12" max="16384" width="9.140625" style="147"/>
  </cols>
  <sheetData>
    <row r="1" spans="1:11" ht="18" customHeight="1">
      <c r="C1" s="148"/>
      <c r="D1" s="149"/>
      <c r="E1" s="148"/>
      <c r="F1" s="148"/>
      <c r="G1" s="148"/>
      <c r="H1" s="611"/>
      <c r="I1" s="611"/>
      <c r="J1" s="611"/>
      <c r="K1" s="148"/>
    </row>
    <row r="2" spans="1:11" ht="18" customHeight="1">
      <c r="D2" s="212" t="s">
        <v>776</v>
      </c>
      <c r="E2" s="212"/>
      <c r="F2" s="212"/>
      <c r="G2" s="212"/>
      <c r="H2" s="212"/>
    </row>
    <row r="3" spans="1:11" ht="18" customHeight="1">
      <c r="B3" s="150" t="s">
        <v>0</v>
      </c>
    </row>
    <row r="5" spans="1:11" ht="18" customHeight="1">
      <c r="B5" s="151" t="s">
        <v>40</v>
      </c>
      <c r="C5" s="1098" t="s">
        <v>581</v>
      </c>
      <c r="D5" s="1099"/>
      <c r="E5" s="1099"/>
      <c r="F5" s="1099"/>
      <c r="G5" s="1100"/>
    </row>
    <row r="6" spans="1:11" ht="18" customHeight="1">
      <c r="B6" s="151" t="s">
        <v>3</v>
      </c>
      <c r="C6" s="1101">
        <v>210030</v>
      </c>
      <c r="D6" s="1099"/>
      <c r="E6" s="1099"/>
      <c r="F6" s="1099"/>
      <c r="G6" s="1100"/>
    </row>
    <row r="7" spans="1:11" ht="18" customHeight="1">
      <c r="B7" s="151" t="s">
        <v>4</v>
      </c>
      <c r="C7" s="1102">
        <f>+'[26]CRH 15'!D20</f>
        <v>330</v>
      </c>
      <c r="D7" s="1103"/>
      <c r="E7" s="1103"/>
      <c r="F7" s="1103"/>
      <c r="G7" s="1103"/>
    </row>
    <row r="9" spans="1:11" ht="18" customHeight="1">
      <c r="B9" s="151" t="s">
        <v>1</v>
      </c>
      <c r="C9" s="1104" t="s">
        <v>561</v>
      </c>
      <c r="D9" s="1105"/>
      <c r="E9" s="1105"/>
      <c r="F9" s="1105"/>
      <c r="G9" s="1105"/>
    </row>
    <row r="10" spans="1:11" ht="18" customHeight="1">
      <c r="B10" s="151" t="s">
        <v>2</v>
      </c>
      <c r="C10" s="1104" t="s">
        <v>562</v>
      </c>
      <c r="D10" s="1105"/>
      <c r="E10" s="1105"/>
      <c r="F10" s="1105"/>
      <c r="G10" s="1105"/>
    </row>
    <row r="11" spans="1:11" ht="18" customHeight="1">
      <c r="B11" s="151" t="s">
        <v>32</v>
      </c>
      <c r="C11" s="1104" t="s">
        <v>870</v>
      </c>
      <c r="D11" s="1105"/>
      <c r="E11" s="1105"/>
      <c r="F11" s="1105"/>
      <c r="G11" s="1105"/>
    </row>
    <row r="12" spans="1:11" ht="18" customHeight="1">
      <c r="B12" s="151"/>
      <c r="C12" s="151"/>
      <c r="D12" s="151"/>
      <c r="E12" s="151"/>
      <c r="F12" s="151"/>
      <c r="G12" s="151"/>
    </row>
    <row r="13" spans="1:11" ht="24.6" customHeight="1">
      <c r="B13" s="914"/>
      <c r="C13" s="915"/>
      <c r="D13" s="915"/>
      <c r="E13" s="915"/>
      <c r="F13" s="915"/>
      <c r="G13" s="915"/>
      <c r="H13" s="916"/>
      <c r="I13" s="611"/>
    </row>
    <row r="14" spans="1:11" ht="18" customHeight="1">
      <c r="B14" s="152"/>
    </row>
    <row r="15" spans="1:11" ht="18" customHeight="1">
      <c r="B15" s="152"/>
    </row>
    <row r="16" spans="1:11" ht="45.2" customHeight="1">
      <c r="A16" s="149" t="s">
        <v>181</v>
      </c>
      <c r="B16" s="148"/>
      <c r="C16" s="148"/>
      <c r="D16" s="148"/>
      <c r="E16" s="148"/>
      <c r="F16" s="153" t="s">
        <v>9</v>
      </c>
      <c r="G16" s="153" t="s">
        <v>37</v>
      </c>
      <c r="H16" s="613" t="s">
        <v>29</v>
      </c>
      <c r="I16" s="613" t="s">
        <v>30</v>
      </c>
      <c r="J16" s="613" t="s">
        <v>33</v>
      </c>
      <c r="K16" s="153" t="s">
        <v>34</v>
      </c>
    </row>
    <row r="17" spans="1:11" ht="18" customHeight="1">
      <c r="A17" s="154" t="s">
        <v>184</v>
      </c>
      <c r="B17" s="150" t="s">
        <v>182</v>
      </c>
    </row>
    <row r="18" spans="1:11" ht="18" customHeight="1">
      <c r="A18" s="151" t="s">
        <v>185</v>
      </c>
      <c r="B18" s="155" t="s">
        <v>183</v>
      </c>
      <c r="F18" s="156" t="s">
        <v>73</v>
      </c>
      <c r="G18" s="156" t="s">
        <v>73</v>
      </c>
      <c r="H18" s="614">
        <v>1429947</v>
      </c>
      <c r="I18" s="615">
        <v>0</v>
      </c>
      <c r="J18" s="614">
        <v>1222784</v>
      </c>
      <c r="K18" s="159">
        <f>(H18+I18)-J18</f>
        <v>207163</v>
      </c>
    </row>
    <row r="19" spans="1:11" ht="45.2" customHeight="1">
      <c r="A19" s="149" t="s">
        <v>8</v>
      </c>
      <c r="B19" s="148"/>
      <c r="C19" s="148"/>
      <c r="D19" s="148"/>
      <c r="E19" s="148"/>
      <c r="F19" s="153" t="s">
        <v>9</v>
      </c>
      <c r="G19" s="153" t="s">
        <v>37</v>
      </c>
      <c r="H19" s="613" t="s">
        <v>29</v>
      </c>
      <c r="I19" s="613" t="s">
        <v>30</v>
      </c>
      <c r="J19" s="613" t="s">
        <v>33</v>
      </c>
      <c r="K19" s="153" t="s">
        <v>34</v>
      </c>
    </row>
    <row r="20" spans="1:11" ht="18" customHeight="1">
      <c r="A20" s="154" t="s">
        <v>74</v>
      </c>
      <c r="B20" s="150" t="s">
        <v>41</v>
      </c>
    </row>
    <row r="21" spans="1:11" ht="18" customHeight="1">
      <c r="A21" s="151" t="s">
        <v>75</v>
      </c>
      <c r="B21" s="155" t="s">
        <v>42</v>
      </c>
      <c r="F21" s="156">
        <f>+'[26]CRH CBR INITIATIVES 2015'!E306</f>
        <v>81</v>
      </c>
      <c r="G21" s="156">
        <f>+'[26]CRH CBR INITIATIVES 2015'!F306</f>
        <v>4600</v>
      </c>
      <c r="H21" s="156">
        <f>+'[26]CRH CBR INITIATIVES 2015'!G306</f>
        <v>2183.0925575949432</v>
      </c>
      <c r="I21" s="156">
        <f>+'[26]CRH CBR INITIATIVES 2015'!H306</f>
        <v>1472.3611172641993</v>
      </c>
      <c r="J21" s="156">
        <f>+'[26]CRH CBR INITIATIVES 2015'!I306</f>
        <v>0</v>
      </c>
      <c r="K21" s="159">
        <f t="shared" ref="K21:K34" si="0">(H21+I21)-J21</f>
        <v>3655.4536748591427</v>
      </c>
    </row>
    <row r="22" spans="1:11" ht="18" customHeight="1">
      <c r="A22" s="151" t="s">
        <v>76</v>
      </c>
      <c r="B22" s="147" t="s">
        <v>6</v>
      </c>
      <c r="F22" s="156">
        <f>+'[26]CRH CBR INITIATIVES 2015'!E314</f>
        <v>137</v>
      </c>
      <c r="G22" s="156">
        <f>+'[26]CRH CBR INITIATIVES 2015'!F314</f>
        <v>400</v>
      </c>
      <c r="H22" s="156">
        <f>+'[26]CRH CBR INITIATIVES 2015'!G314</f>
        <v>4442.3911159321869</v>
      </c>
      <c r="I22" s="156">
        <f>+'[26]CRH CBR INITIATIVES 2015'!H314</f>
        <v>2996.1184760687852</v>
      </c>
      <c r="J22" s="156">
        <f>+'[26]CRH CBR INITIATIVES 2015'!I314</f>
        <v>0</v>
      </c>
      <c r="K22" s="159">
        <f t="shared" si="0"/>
        <v>7438.5095920009717</v>
      </c>
    </row>
    <row r="23" spans="1:11" ht="18" customHeight="1">
      <c r="A23" s="151" t="s">
        <v>77</v>
      </c>
      <c r="B23" s="147" t="s">
        <v>43</v>
      </c>
      <c r="F23" s="156"/>
      <c r="G23" s="156"/>
      <c r="H23" s="156"/>
      <c r="I23" s="156"/>
      <c r="J23" s="156"/>
      <c r="K23" s="159">
        <f t="shared" si="0"/>
        <v>0</v>
      </c>
    </row>
    <row r="24" spans="1:11" ht="18" customHeight="1">
      <c r="A24" s="151" t="s">
        <v>78</v>
      </c>
      <c r="B24" s="147" t="s">
        <v>44</v>
      </c>
      <c r="F24" s="156">
        <f>+'[26]CRH CBR INITIATIVES 2015'!E316</f>
        <v>120</v>
      </c>
      <c r="G24" s="156">
        <f>+'[26]CRH CBR INITIATIVES 2015'!F316</f>
        <v>68</v>
      </c>
      <c r="H24" s="156">
        <f>+'[26]CRH CBR INITIATIVES 2015'!G316</f>
        <v>3234.2111964369524</v>
      </c>
      <c r="I24" s="156">
        <f>+'[26]CRH CBR INITIATIVES 2015'!H316</f>
        <v>2181.2757292802949</v>
      </c>
      <c r="J24" s="156">
        <f>+'[26]CRH 15'!B264</f>
        <v>0.1</v>
      </c>
      <c r="K24" s="159">
        <f t="shared" si="0"/>
        <v>5415.3869257172464</v>
      </c>
    </row>
    <row r="25" spans="1:11" ht="18" customHeight="1">
      <c r="A25" s="151" t="s">
        <v>79</v>
      </c>
      <c r="B25" s="147" t="s">
        <v>5</v>
      </c>
      <c r="F25" s="156"/>
      <c r="G25" s="156"/>
      <c r="H25" s="156"/>
      <c r="I25" s="156"/>
      <c r="J25" s="156"/>
      <c r="K25" s="159">
        <f t="shared" si="0"/>
        <v>0</v>
      </c>
    </row>
    <row r="26" spans="1:11" ht="18" customHeight="1">
      <c r="A26" s="151" t="s">
        <v>80</v>
      </c>
      <c r="B26" s="147" t="s">
        <v>45</v>
      </c>
      <c r="F26" s="156"/>
      <c r="G26" s="156"/>
      <c r="H26" s="156"/>
      <c r="I26" s="156"/>
      <c r="J26" s="156"/>
      <c r="K26" s="159">
        <f t="shared" si="0"/>
        <v>0</v>
      </c>
    </row>
    <row r="27" spans="1:11" ht="18" customHeight="1">
      <c r="A27" s="151" t="s">
        <v>81</v>
      </c>
      <c r="B27" s="147" t="s">
        <v>46</v>
      </c>
      <c r="F27" s="156"/>
      <c r="G27" s="156"/>
      <c r="H27" s="156"/>
      <c r="I27" s="156"/>
      <c r="J27" s="156"/>
      <c r="K27" s="159">
        <f t="shared" si="0"/>
        <v>0</v>
      </c>
    </row>
    <row r="28" spans="1:11" ht="18" customHeight="1">
      <c r="A28" s="151" t="s">
        <v>82</v>
      </c>
      <c r="B28" s="147" t="s">
        <v>47</v>
      </c>
      <c r="F28" s="156"/>
      <c r="G28" s="156"/>
      <c r="H28" s="156"/>
      <c r="I28" s="156"/>
      <c r="J28" s="156"/>
      <c r="K28" s="159">
        <f t="shared" si="0"/>
        <v>0</v>
      </c>
    </row>
    <row r="29" spans="1:11" ht="18" customHeight="1">
      <c r="A29" s="151" t="s">
        <v>83</v>
      </c>
      <c r="B29" s="147" t="s">
        <v>48</v>
      </c>
      <c r="F29" s="156"/>
      <c r="G29" s="156"/>
      <c r="H29" s="156"/>
      <c r="I29" s="156"/>
      <c r="J29" s="156"/>
      <c r="K29" s="159">
        <f t="shared" si="0"/>
        <v>0</v>
      </c>
    </row>
    <row r="30" spans="1:11" ht="18" customHeight="1">
      <c r="A30" s="151" t="s">
        <v>84</v>
      </c>
      <c r="B30" s="898"/>
      <c r="C30" s="899"/>
      <c r="D30" s="900"/>
      <c r="F30" s="156"/>
      <c r="G30" s="156"/>
      <c r="H30" s="156"/>
      <c r="I30" s="156"/>
      <c r="J30" s="156"/>
      <c r="K30" s="159">
        <f t="shared" si="0"/>
        <v>0</v>
      </c>
    </row>
    <row r="31" spans="1:11" ht="18" customHeight="1">
      <c r="A31" s="151" t="s">
        <v>133</v>
      </c>
      <c r="B31" s="898"/>
      <c r="C31" s="899"/>
      <c r="D31" s="900"/>
      <c r="F31" s="156"/>
      <c r="G31" s="156"/>
      <c r="H31" s="156"/>
      <c r="I31" s="156"/>
      <c r="J31" s="156"/>
      <c r="K31" s="159">
        <f t="shared" si="0"/>
        <v>0</v>
      </c>
    </row>
    <row r="32" spans="1:11" ht="18" customHeight="1">
      <c r="A32" s="151" t="s">
        <v>134</v>
      </c>
      <c r="B32" s="408"/>
      <c r="C32" s="409"/>
      <c r="D32" s="410"/>
      <c r="F32" s="156"/>
      <c r="G32" s="156"/>
      <c r="H32" s="156"/>
      <c r="I32" s="156"/>
      <c r="J32" s="156"/>
      <c r="K32" s="159">
        <f t="shared" si="0"/>
        <v>0</v>
      </c>
    </row>
    <row r="33" spans="1:11" ht="18" customHeight="1">
      <c r="A33" s="151" t="s">
        <v>135</v>
      </c>
      <c r="B33" s="408"/>
      <c r="C33" s="409"/>
      <c r="D33" s="410"/>
      <c r="F33" s="156"/>
      <c r="G33" s="156"/>
      <c r="H33" s="156"/>
      <c r="I33" s="156"/>
      <c r="J33" s="156"/>
      <c r="K33" s="159">
        <f t="shared" si="0"/>
        <v>0</v>
      </c>
    </row>
    <row r="34" spans="1:11" ht="18" customHeight="1">
      <c r="A34" s="151" t="s">
        <v>136</v>
      </c>
      <c r="B34" s="898"/>
      <c r="C34" s="899"/>
      <c r="D34" s="900"/>
      <c r="F34" s="156"/>
      <c r="G34" s="160" t="s">
        <v>85</v>
      </c>
      <c r="H34" s="614"/>
      <c r="I34" s="615">
        <f>H34*F$114</f>
        <v>0</v>
      </c>
      <c r="J34" s="614"/>
      <c r="K34" s="159">
        <f t="shared" si="0"/>
        <v>0</v>
      </c>
    </row>
    <row r="35" spans="1:11" ht="18" customHeight="1">
      <c r="K35" s="161"/>
    </row>
    <row r="36" spans="1:11" ht="18" customHeight="1">
      <c r="A36" s="154" t="s">
        <v>137</v>
      </c>
      <c r="B36" s="150" t="s">
        <v>138</v>
      </c>
      <c r="E36" s="150" t="s">
        <v>7</v>
      </c>
      <c r="F36" s="162">
        <f t="shared" ref="F36:K36" si="1">SUM(F21:F34)</f>
        <v>338</v>
      </c>
      <c r="G36" s="162">
        <f t="shared" si="1"/>
        <v>5068</v>
      </c>
      <c r="H36" s="616">
        <f t="shared" si="1"/>
        <v>9859.6948699640816</v>
      </c>
      <c r="I36" s="616">
        <f t="shared" si="1"/>
        <v>6649.7553226132786</v>
      </c>
      <c r="J36" s="616">
        <f t="shared" si="1"/>
        <v>0.1</v>
      </c>
      <c r="K36" s="159">
        <f t="shared" si="1"/>
        <v>16509.35019257736</v>
      </c>
    </row>
    <row r="37" spans="1:11" ht="18" customHeight="1" thickBot="1">
      <c r="B37" s="150"/>
      <c r="F37" s="163"/>
      <c r="G37" s="163"/>
      <c r="H37" s="617"/>
      <c r="I37" s="617"/>
      <c r="J37" s="617"/>
      <c r="K37" s="165"/>
    </row>
    <row r="38" spans="1:11" ht="42.75" customHeight="1">
      <c r="F38" s="153" t="s">
        <v>9</v>
      </c>
      <c r="G38" s="153" t="s">
        <v>37</v>
      </c>
      <c r="H38" s="613" t="s">
        <v>29</v>
      </c>
      <c r="I38" s="613" t="s">
        <v>30</v>
      </c>
      <c r="J38" s="613" t="s">
        <v>33</v>
      </c>
      <c r="K38" s="153" t="s">
        <v>34</v>
      </c>
    </row>
    <row r="39" spans="1:11" ht="18.75" customHeight="1">
      <c r="A39" s="154" t="s">
        <v>86</v>
      </c>
      <c r="B39" s="150" t="s">
        <v>49</v>
      </c>
    </row>
    <row r="40" spans="1:11" ht="18" customHeight="1">
      <c r="A40" s="151" t="s">
        <v>87</v>
      </c>
      <c r="B40" s="147" t="s">
        <v>31</v>
      </c>
      <c r="F40" s="156"/>
      <c r="G40" s="156"/>
      <c r="H40" s="614"/>
      <c r="I40" s="615">
        <v>0</v>
      </c>
      <c r="J40" s="614"/>
      <c r="K40" s="159">
        <f t="shared" ref="K40:K47" si="2">(H40+I40)-J40</f>
        <v>0</v>
      </c>
    </row>
    <row r="41" spans="1:11" ht="18" customHeight="1">
      <c r="A41" s="151" t="s">
        <v>88</v>
      </c>
      <c r="B41" s="904" t="s">
        <v>50</v>
      </c>
      <c r="C41" s="907"/>
      <c r="F41" s="156">
        <f>+'[26]CRH 15'!H28</f>
        <v>0</v>
      </c>
      <c r="G41" s="156">
        <f>+'[26]CRH 15'!H29</f>
        <v>0</v>
      </c>
      <c r="H41" s="614">
        <f>+'[26]CRH 15'!F28</f>
        <v>0</v>
      </c>
      <c r="I41" s="615">
        <f>+'[26]CRH 15'!E32</f>
        <v>0</v>
      </c>
      <c r="J41" s="614">
        <f>+'[26]CRH 15'!H78</f>
        <v>0</v>
      </c>
      <c r="K41" s="159">
        <f t="shared" si="2"/>
        <v>0</v>
      </c>
    </row>
    <row r="42" spans="1:11" ht="18" customHeight="1">
      <c r="A42" s="151" t="s">
        <v>89</v>
      </c>
      <c r="B42" s="155" t="s">
        <v>11</v>
      </c>
      <c r="F42" s="156"/>
      <c r="G42" s="156"/>
      <c r="H42" s="614"/>
      <c r="I42" s="615"/>
      <c r="J42" s="614"/>
      <c r="K42" s="159">
        <f t="shared" si="2"/>
        <v>0</v>
      </c>
    </row>
    <row r="43" spans="1:11" ht="18" customHeight="1">
      <c r="A43" s="151" t="s">
        <v>90</v>
      </c>
      <c r="B43" s="166" t="s">
        <v>10</v>
      </c>
      <c r="C43" s="167"/>
      <c r="D43" s="167"/>
      <c r="F43" s="156">
        <f>+'[26]CRH CBR INITIATIVES 2015'!E318</f>
        <v>0</v>
      </c>
      <c r="G43" s="156">
        <f>+'[26]CRH CBR INITIATIVES 2015'!F318</f>
        <v>0</v>
      </c>
      <c r="H43" s="156">
        <f>+'[26]CRH CBR INITIATIVES 2015'!G318</f>
        <v>0</v>
      </c>
      <c r="I43" s="156">
        <f>+'[26]CRH CBR INITIATIVES 2015'!H318</f>
        <v>0</v>
      </c>
      <c r="J43" s="156">
        <f>+'[26]CRH CBR INITIATIVES 2015'!I318</f>
        <v>0</v>
      </c>
      <c r="K43" s="159">
        <f t="shared" si="2"/>
        <v>0</v>
      </c>
    </row>
    <row r="44" spans="1:11" ht="18" customHeight="1">
      <c r="A44" s="151" t="s">
        <v>91</v>
      </c>
      <c r="B44" s="898"/>
      <c r="C44" s="899"/>
      <c r="D44" s="900"/>
      <c r="F44" s="156"/>
      <c r="G44" s="156"/>
      <c r="H44" s="156"/>
      <c r="I44" s="156"/>
      <c r="J44" s="156"/>
      <c r="K44" s="187">
        <f t="shared" si="2"/>
        <v>0</v>
      </c>
    </row>
    <row r="45" spans="1:11" ht="18" customHeight="1">
      <c r="A45" s="151" t="s">
        <v>139</v>
      </c>
      <c r="B45" s="898"/>
      <c r="C45" s="899"/>
      <c r="D45" s="900"/>
      <c r="F45" s="156"/>
      <c r="G45" s="156"/>
      <c r="H45" s="614"/>
      <c r="I45" s="615">
        <v>0</v>
      </c>
      <c r="J45" s="614"/>
      <c r="K45" s="159">
        <f t="shared" si="2"/>
        <v>0</v>
      </c>
    </row>
    <row r="46" spans="1:11" ht="18" customHeight="1">
      <c r="A46" s="151" t="s">
        <v>140</v>
      </c>
      <c r="B46" s="898"/>
      <c r="C46" s="899"/>
      <c r="D46" s="900"/>
      <c r="F46" s="156"/>
      <c r="G46" s="156"/>
      <c r="H46" s="614"/>
      <c r="I46" s="615">
        <v>0</v>
      </c>
      <c r="J46" s="614"/>
      <c r="K46" s="159">
        <f t="shared" si="2"/>
        <v>0</v>
      </c>
    </row>
    <row r="47" spans="1:11" ht="18" customHeight="1">
      <c r="A47" s="151" t="s">
        <v>141</v>
      </c>
      <c r="B47" s="898"/>
      <c r="C47" s="899"/>
      <c r="D47" s="900"/>
      <c r="F47" s="156"/>
      <c r="G47" s="156"/>
      <c r="H47" s="614"/>
      <c r="I47" s="615">
        <v>0</v>
      </c>
      <c r="J47" s="614"/>
      <c r="K47" s="159">
        <f t="shared" si="2"/>
        <v>0</v>
      </c>
    </row>
    <row r="49" spans="1:11" ht="18" customHeight="1">
      <c r="A49" s="154" t="s">
        <v>142</v>
      </c>
      <c r="B49" s="150" t="s">
        <v>143</v>
      </c>
      <c r="E49" s="150" t="s">
        <v>7</v>
      </c>
      <c r="F49" s="171">
        <f t="shared" ref="F49:K49" si="3">SUM(F40:F47)</f>
        <v>0</v>
      </c>
      <c r="G49" s="171">
        <f t="shared" si="3"/>
        <v>0</v>
      </c>
      <c r="H49" s="616">
        <f t="shared" si="3"/>
        <v>0</v>
      </c>
      <c r="I49" s="616">
        <f t="shared" si="3"/>
        <v>0</v>
      </c>
      <c r="J49" s="616">
        <f t="shared" si="3"/>
        <v>0</v>
      </c>
      <c r="K49" s="159">
        <f t="shared" si="3"/>
        <v>0</v>
      </c>
    </row>
    <row r="50" spans="1:11" ht="18" customHeight="1" thickBot="1">
      <c r="G50" s="172"/>
      <c r="H50" s="618"/>
      <c r="I50" s="618"/>
      <c r="J50" s="618"/>
      <c r="K50" s="172"/>
    </row>
    <row r="51" spans="1:11" ht="42.75" customHeight="1">
      <c r="F51" s="153" t="s">
        <v>9</v>
      </c>
      <c r="G51" s="153" t="s">
        <v>37</v>
      </c>
      <c r="H51" s="613" t="s">
        <v>29</v>
      </c>
      <c r="I51" s="613" t="s">
        <v>30</v>
      </c>
      <c r="J51" s="613" t="s">
        <v>33</v>
      </c>
      <c r="K51" s="153" t="s">
        <v>34</v>
      </c>
    </row>
    <row r="52" spans="1:11" ht="18" customHeight="1">
      <c r="A52" s="154" t="s">
        <v>92</v>
      </c>
      <c r="B52" s="905" t="s">
        <v>38</v>
      </c>
      <c r="C52" s="906"/>
    </row>
    <row r="53" spans="1:11" ht="18" customHeight="1">
      <c r="A53" s="151" t="s">
        <v>51</v>
      </c>
      <c r="B53" s="416" t="s">
        <v>582</v>
      </c>
      <c r="C53" s="412"/>
      <c r="D53" s="413"/>
      <c r="F53" s="156">
        <f>+'[26]CRH CBR INITIATIVES 2015'!E321</f>
        <v>1664</v>
      </c>
      <c r="G53" s="156">
        <f>+'[26]CRH CBR INITIATIVES 2015'!F321</f>
        <v>275</v>
      </c>
      <c r="H53" s="156">
        <f>+'[26]CRH CBR INITIATIVES 2015'!G321</f>
        <v>89635.910071919949</v>
      </c>
      <c r="I53" s="156">
        <f>+'[26]CRH CBR INITIATIVES 2015'!H321</f>
        <v>60453.886044062361</v>
      </c>
      <c r="J53" s="156">
        <f>+'[26]CRH CBR INITIATIVES 2015'!I321</f>
        <v>0</v>
      </c>
      <c r="K53" s="159">
        <f t="shared" ref="K53:K62" si="4">(H53+I53)-J53</f>
        <v>150089.79611598232</v>
      </c>
    </row>
    <row r="54" spans="1:11" ht="18" customHeight="1">
      <c r="A54" s="151" t="s">
        <v>93</v>
      </c>
      <c r="B54" s="411" t="s">
        <v>583</v>
      </c>
      <c r="C54" s="412"/>
      <c r="D54" s="413"/>
      <c r="F54" s="156"/>
      <c r="G54" s="156">
        <v>9624</v>
      </c>
      <c r="H54" s="614">
        <f>+'[26]CRH 15'!I105</f>
        <v>692597.27</v>
      </c>
      <c r="I54" s="615">
        <f>+H54*F114</f>
        <v>467114.08855461911</v>
      </c>
      <c r="J54" s="614"/>
      <c r="K54" s="159">
        <f t="shared" si="4"/>
        <v>1159711.3585546191</v>
      </c>
    </row>
    <row r="55" spans="1:11" ht="18" customHeight="1">
      <c r="A55" s="151" t="s">
        <v>94</v>
      </c>
      <c r="B55" s="411" t="s">
        <v>584</v>
      </c>
      <c r="C55" s="412"/>
      <c r="D55" s="413"/>
      <c r="F55" s="156">
        <f>+'[26]CRH 15'!N96+'[26]CRH 15'!N98</f>
        <v>10950</v>
      </c>
      <c r="G55" s="156">
        <f>+'[26]CRH 15'!N95+'[26]CRH 15'!N97</f>
        <v>15062</v>
      </c>
      <c r="H55" s="614">
        <f>+'[26]CRH 15'!K94+'[26]CRH 15'!K93</f>
        <v>2860077.08</v>
      </c>
      <c r="I55" s="615">
        <f t="shared" ref="I55:I62" si="5">H55*F$114</f>
        <v>1928945.371702312</v>
      </c>
      <c r="J55" s="614">
        <f>+'[26]CRH 15'!I100</f>
        <v>1571039</v>
      </c>
      <c r="K55" s="159">
        <f t="shared" si="4"/>
        <v>3217983.4517023116</v>
      </c>
    </row>
    <row r="56" spans="1:11" ht="18" customHeight="1">
      <c r="A56" s="151" t="s">
        <v>95</v>
      </c>
      <c r="B56" s="416" t="s">
        <v>585</v>
      </c>
      <c r="C56" s="412"/>
      <c r="D56" s="413"/>
      <c r="F56" s="156"/>
      <c r="G56" s="156"/>
      <c r="H56" s="614">
        <f>+'[26]CRH 15'!I114</f>
        <v>359937.69</v>
      </c>
      <c r="I56" s="615">
        <f t="shared" si="5"/>
        <v>242755.74462025391</v>
      </c>
      <c r="J56" s="614"/>
      <c r="K56" s="159">
        <f t="shared" si="4"/>
        <v>602693.43462025397</v>
      </c>
    </row>
    <row r="57" spans="1:11" ht="18" customHeight="1">
      <c r="A57" s="151" t="s">
        <v>96</v>
      </c>
      <c r="B57" s="898"/>
      <c r="C57" s="899"/>
      <c r="D57" s="900"/>
      <c r="F57" s="156"/>
      <c r="G57" s="156"/>
      <c r="H57" s="614">
        <f>+'[26]CRH 15'!I107</f>
        <v>0</v>
      </c>
      <c r="I57" s="615">
        <f t="shared" si="5"/>
        <v>0</v>
      </c>
      <c r="J57" s="614"/>
      <c r="K57" s="159">
        <f t="shared" si="4"/>
        <v>0</v>
      </c>
    </row>
    <row r="58" spans="1:11" ht="18" customHeight="1">
      <c r="A58" s="151" t="s">
        <v>97</v>
      </c>
      <c r="B58" s="898"/>
      <c r="C58" s="899"/>
      <c r="D58" s="900"/>
      <c r="F58" s="156"/>
      <c r="G58" s="156"/>
      <c r="H58" s="614">
        <f>+'[26]CRH 15'!I108</f>
        <v>0</v>
      </c>
      <c r="I58" s="615">
        <f t="shared" si="5"/>
        <v>0</v>
      </c>
      <c r="J58" s="614"/>
      <c r="K58" s="159">
        <f t="shared" si="4"/>
        <v>0</v>
      </c>
    </row>
    <row r="59" spans="1:11" ht="18" customHeight="1">
      <c r="A59" s="151" t="s">
        <v>98</v>
      </c>
      <c r="B59" s="898"/>
      <c r="C59" s="899"/>
      <c r="D59" s="900"/>
      <c r="F59" s="156"/>
      <c r="G59" s="156"/>
      <c r="H59" s="156"/>
      <c r="I59" s="615">
        <f t="shared" si="5"/>
        <v>0</v>
      </c>
      <c r="J59" s="156"/>
      <c r="K59" s="159">
        <f t="shared" si="4"/>
        <v>0</v>
      </c>
    </row>
    <row r="60" spans="1:11" ht="18" customHeight="1">
      <c r="A60" s="151" t="s">
        <v>99</v>
      </c>
      <c r="B60" s="416" t="s">
        <v>586</v>
      </c>
      <c r="C60" s="412"/>
      <c r="D60" s="413"/>
      <c r="F60" s="156">
        <f>+'[26]CRH 15'!N91</f>
        <v>1088.1780991735536</v>
      </c>
      <c r="G60" s="156">
        <f>+'[26]CRH 15'!N90</f>
        <v>1450.9041322314049</v>
      </c>
      <c r="H60" s="156">
        <f>+'[26]CRH 15'!L90</f>
        <v>877797</v>
      </c>
      <c r="I60" s="615">
        <f t="shared" si="5"/>
        <v>592019.86977364065</v>
      </c>
      <c r="J60" s="614"/>
      <c r="K60" s="159">
        <f t="shared" si="4"/>
        <v>1469816.8697736408</v>
      </c>
    </row>
    <row r="61" spans="1:11" ht="18" customHeight="1">
      <c r="A61" s="151" t="s">
        <v>100</v>
      </c>
      <c r="B61" s="1092"/>
      <c r="C61" s="902"/>
      <c r="D61" s="903"/>
      <c r="F61" s="156"/>
      <c r="G61" s="156"/>
      <c r="H61" s="614">
        <f>+'[26]CRH 15'!I115</f>
        <v>0</v>
      </c>
      <c r="I61" s="615">
        <f t="shared" si="5"/>
        <v>0</v>
      </c>
      <c r="J61" s="614"/>
      <c r="K61" s="159">
        <f t="shared" si="4"/>
        <v>0</v>
      </c>
    </row>
    <row r="62" spans="1:11" ht="18" customHeight="1">
      <c r="A62" s="151" t="s">
        <v>101</v>
      </c>
      <c r="B62" s="1092"/>
      <c r="C62" s="902"/>
      <c r="D62" s="903"/>
      <c r="F62" s="156"/>
      <c r="G62" s="156"/>
      <c r="H62" s="156"/>
      <c r="I62" s="615">
        <f t="shared" si="5"/>
        <v>0</v>
      </c>
      <c r="J62" s="156"/>
      <c r="K62" s="159">
        <f t="shared" si="4"/>
        <v>0</v>
      </c>
    </row>
    <row r="63" spans="1:11" ht="18" customHeight="1">
      <c r="A63" s="151"/>
      <c r="I63" s="619"/>
    </row>
    <row r="64" spans="1:11" ht="18" customHeight="1">
      <c r="A64" s="151" t="s">
        <v>144</v>
      </c>
      <c r="B64" s="150" t="s">
        <v>145</v>
      </c>
      <c r="E64" s="150" t="s">
        <v>7</v>
      </c>
      <c r="F64" s="162">
        <f t="shared" ref="F64:K64" si="6">SUM(F53:F62)</f>
        <v>13702.178099173554</v>
      </c>
      <c r="G64" s="162">
        <f t="shared" si="6"/>
        <v>26411.904132231404</v>
      </c>
      <c r="H64" s="616">
        <f t="shared" si="6"/>
        <v>4880044.9500719197</v>
      </c>
      <c r="I64" s="616">
        <f t="shared" si="6"/>
        <v>3291288.9606948881</v>
      </c>
      <c r="J64" s="616">
        <f t="shared" si="6"/>
        <v>1571039</v>
      </c>
      <c r="K64" s="159">
        <f t="shared" si="6"/>
        <v>6600294.9107668083</v>
      </c>
    </row>
    <row r="65" spans="1:11" ht="18" customHeight="1">
      <c r="F65" s="174"/>
      <c r="G65" s="174"/>
      <c r="H65" s="620"/>
      <c r="I65" s="620"/>
      <c r="J65" s="620"/>
      <c r="K65" s="174"/>
    </row>
    <row r="66" spans="1:11" ht="42.75" customHeight="1">
      <c r="F66" s="175" t="s">
        <v>9</v>
      </c>
      <c r="G66" s="175" t="s">
        <v>37</v>
      </c>
      <c r="H66" s="621" t="s">
        <v>29</v>
      </c>
      <c r="I66" s="621" t="s">
        <v>30</v>
      </c>
      <c r="J66" s="621" t="s">
        <v>33</v>
      </c>
      <c r="K66" s="175" t="s">
        <v>34</v>
      </c>
    </row>
    <row r="67" spans="1:11" ht="18" customHeight="1">
      <c r="A67" s="154" t="s">
        <v>102</v>
      </c>
      <c r="B67" s="150" t="s">
        <v>12</v>
      </c>
      <c r="F67" s="176"/>
      <c r="G67" s="176"/>
      <c r="H67" s="622"/>
      <c r="I67" s="623"/>
      <c r="J67" s="622"/>
      <c r="K67" s="178"/>
    </row>
    <row r="68" spans="1:11" ht="18" customHeight="1">
      <c r="A68" s="151" t="s">
        <v>103</v>
      </c>
      <c r="B68" s="147" t="s">
        <v>52</v>
      </c>
      <c r="F68" s="179"/>
      <c r="G68" s="179"/>
      <c r="H68" s="614"/>
      <c r="I68" s="615">
        <v>0</v>
      </c>
      <c r="J68" s="614"/>
      <c r="K68" s="159">
        <f>(H68+I68)-J68</f>
        <v>0</v>
      </c>
    </row>
    <row r="69" spans="1:11" ht="18" customHeight="1">
      <c r="A69" s="151" t="s">
        <v>104</v>
      </c>
      <c r="B69" s="155" t="s">
        <v>53</v>
      </c>
      <c r="F69" s="179"/>
      <c r="G69" s="179"/>
      <c r="H69" s="614"/>
      <c r="I69" s="615">
        <v>0</v>
      </c>
      <c r="J69" s="614"/>
      <c r="K69" s="159">
        <f>(H69+I69)-J69</f>
        <v>0</v>
      </c>
    </row>
    <row r="70" spans="1:11" ht="18" customHeight="1">
      <c r="A70" s="151" t="s">
        <v>178</v>
      </c>
      <c r="B70" s="411"/>
      <c r="C70" s="412"/>
      <c r="D70" s="413"/>
      <c r="E70" s="150"/>
      <c r="F70" s="180"/>
      <c r="G70" s="180"/>
      <c r="H70" s="624"/>
      <c r="I70" s="615">
        <v>0</v>
      </c>
      <c r="J70" s="624"/>
      <c r="K70" s="159">
        <f>(H70+I70)-J70</f>
        <v>0</v>
      </c>
    </row>
    <row r="71" spans="1:11" ht="18" customHeight="1">
      <c r="A71" s="151" t="s">
        <v>179</v>
      </c>
      <c r="B71" s="411"/>
      <c r="C71" s="412"/>
      <c r="D71" s="413"/>
      <c r="E71" s="150"/>
      <c r="F71" s="180"/>
      <c r="G71" s="180"/>
      <c r="H71" s="624"/>
      <c r="I71" s="615">
        <v>0</v>
      </c>
      <c r="J71" s="624"/>
      <c r="K71" s="159">
        <f>(H71+I71)-J71</f>
        <v>0</v>
      </c>
    </row>
    <row r="72" spans="1:11" ht="18" customHeight="1">
      <c r="A72" s="151" t="s">
        <v>180</v>
      </c>
      <c r="B72" s="414"/>
      <c r="C72" s="415"/>
      <c r="D72" s="182"/>
      <c r="E72" s="150"/>
      <c r="F72" s="156"/>
      <c r="G72" s="156"/>
      <c r="H72" s="614"/>
      <c r="I72" s="615">
        <v>0</v>
      </c>
      <c r="J72" s="614"/>
      <c r="K72" s="159">
        <f>(H72+I72)-J72</f>
        <v>0</v>
      </c>
    </row>
    <row r="73" spans="1:11" ht="18" customHeight="1">
      <c r="A73" s="151"/>
      <c r="B73" s="155"/>
      <c r="E73" s="150"/>
      <c r="F73" s="183"/>
      <c r="G73" s="183"/>
      <c r="H73" s="625"/>
      <c r="I73" s="623"/>
      <c r="J73" s="625"/>
      <c r="K73" s="178"/>
    </row>
    <row r="74" spans="1:11" ht="18" customHeight="1">
      <c r="A74" s="154" t="s">
        <v>146</v>
      </c>
      <c r="B74" s="150" t="s">
        <v>147</v>
      </c>
      <c r="E74" s="150" t="s">
        <v>7</v>
      </c>
      <c r="F74" s="185">
        <f t="shared" ref="F74:K74" si="7">SUM(F68:F72)</f>
        <v>0</v>
      </c>
      <c r="G74" s="185">
        <f t="shared" si="7"/>
        <v>0</v>
      </c>
      <c r="H74" s="626">
        <f t="shared" si="7"/>
        <v>0</v>
      </c>
      <c r="I74" s="627">
        <f t="shared" si="7"/>
        <v>0</v>
      </c>
      <c r="J74" s="626">
        <f t="shared" si="7"/>
        <v>0</v>
      </c>
      <c r="K74" s="187">
        <f t="shared" si="7"/>
        <v>0</v>
      </c>
    </row>
    <row r="75" spans="1:11" ht="42.75" customHeight="1">
      <c r="F75" s="153" t="s">
        <v>9</v>
      </c>
      <c r="G75" s="153" t="s">
        <v>37</v>
      </c>
      <c r="H75" s="613" t="s">
        <v>29</v>
      </c>
      <c r="I75" s="613" t="s">
        <v>30</v>
      </c>
      <c r="J75" s="613" t="s">
        <v>33</v>
      </c>
      <c r="K75" s="153" t="s">
        <v>34</v>
      </c>
    </row>
    <row r="76" spans="1:11" ht="18" customHeight="1">
      <c r="A76" s="154" t="s">
        <v>105</v>
      </c>
      <c r="B76" s="150" t="s">
        <v>106</v>
      </c>
    </row>
    <row r="77" spans="1:11" ht="18" customHeight="1">
      <c r="A77" s="151" t="s">
        <v>107</v>
      </c>
      <c r="B77" s="155" t="s">
        <v>54</v>
      </c>
      <c r="F77" s="156">
        <f>+'[26]CRH CBR INITIATIVES 2015'!E325</f>
        <v>0</v>
      </c>
      <c r="G77" s="156">
        <f>+'[26]CRH CBR INITIATIVES 2015'!F325</f>
        <v>0</v>
      </c>
      <c r="H77" s="156">
        <f>+'[26]CRH CBR INITIATIVES 2015'!G325</f>
        <v>6000</v>
      </c>
      <c r="I77" s="156">
        <f>+'[26]CRH CBR INITIATIVES 2015'!H325</f>
        <v>4046.6294811235898</v>
      </c>
      <c r="J77" s="156">
        <f>+'[26]CRH CBR INITIATIVES 2015'!I325</f>
        <v>0</v>
      </c>
      <c r="K77" s="159">
        <f>(H77+I77)-J77</f>
        <v>10046.629481123589</v>
      </c>
    </row>
    <row r="78" spans="1:11" ht="18" customHeight="1">
      <c r="A78" s="151" t="s">
        <v>108</v>
      </c>
      <c r="B78" s="155" t="s">
        <v>55</v>
      </c>
      <c r="F78" s="156"/>
      <c r="G78" s="156"/>
      <c r="H78" s="156"/>
      <c r="I78" s="156"/>
      <c r="J78" s="156"/>
      <c r="K78" s="159">
        <f>(H78+I78)-J78</f>
        <v>0</v>
      </c>
    </row>
    <row r="79" spans="1:11" ht="18" customHeight="1">
      <c r="A79" s="151" t="s">
        <v>109</v>
      </c>
      <c r="B79" s="155" t="s">
        <v>13</v>
      </c>
      <c r="F79" s="156">
        <f>+'[26]CRH CBR INITIATIVES 2015'!E327</f>
        <v>0</v>
      </c>
      <c r="G79" s="156">
        <f>+'[26]CRH CBR INITIATIVES 2015'!F327</f>
        <v>2500</v>
      </c>
      <c r="H79" s="156">
        <f>+'[26]CRH CBR INITIATIVES 2015'!G327</f>
        <v>46055</v>
      </c>
      <c r="I79" s="156">
        <f>+'[26]CRH CBR INITIATIVES 2015'!H327</f>
        <v>31061.25345885782</v>
      </c>
      <c r="J79" s="156">
        <f>+'[26]CRH CBR INITIATIVES 2015'!I327</f>
        <v>0</v>
      </c>
      <c r="K79" s="159">
        <f>(H79+I79)-J79</f>
        <v>77116.253458857827</v>
      </c>
    </row>
    <row r="80" spans="1:11" ht="18" customHeight="1">
      <c r="A80" s="151" t="s">
        <v>110</v>
      </c>
      <c r="B80" s="155" t="s">
        <v>56</v>
      </c>
      <c r="F80" s="156"/>
      <c r="G80" s="156"/>
      <c r="H80" s="614"/>
      <c r="I80" s="615">
        <v>0</v>
      </c>
      <c r="J80" s="614"/>
      <c r="K80" s="159">
        <f>(H80+I80)-J80</f>
        <v>0</v>
      </c>
    </row>
    <row r="81" spans="1:11" ht="18" customHeight="1">
      <c r="A81" s="151"/>
      <c r="K81" s="188"/>
    </row>
    <row r="82" spans="1:11" ht="18" customHeight="1">
      <c r="A82" s="151" t="s">
        <v>148</v>
      </c>
      <c r="B82" s="150" t="s">
        <v>149</v>
      </c>
      <c r="E82" s="150" t="s">
        <v>7</v>
      </c>
      <c r="F82" s="185">
        <f t="shared" ref="F82:K82" si="8">SUM(F77:F80)</f>
        <v>0</v>
      </c>
      <c r="G82" s="185">
        <f t="shared" si="8"/>
        <v>2500</v>
      </c>
      <c r="H82" s="626">
        <f t="shared" si="8"/>
        <v>52055</v>
      </c>
      <c r="I82" s="626">
        <f t="shared" si="8"/>
        <v>35107.882939981413</v>
      </c>
      <c r="J82" s="626">
        <f t="shared" si="8"/>
        <v>0</v>
      </c>
      <c r="K82" s="187">
        <f t="shared" si="8"/>
        <v>87162.882939981413</v>
      </c>
    </row>
    <row r="83" spans="1:11" ht="18" customHeight="1" thickBot="1">
      <c r="A83" s="151"/>
      <c r="F83" s="172"/>
      <c r="G83" s="172"/>
      <c r="H83" s="618"/>
      <c r="I83" s="618"/>
      <c r="J83" s="618"/>
      <c r="K83" s="172"/>
    </row>
    <row r="84" spans="1:11" ht="42.75" customHeight="1">
      <c r="F84" s="153" t="s">
        <v>9</v>
      </c>
      <c r="G84" s="153" t="s">
        <v>37</v>
      </c>
      <c r="H84" s="613" t="s">
        <v>29</v>
      </c>
      <c r="I84" s="613" t="s">
        <v>30</v>
      </c>
      <c r="J84" s="613" t="s">
        <v>33</v>
      </c>
      <c r="K84" s="153" t="s">
        <v>34</v>
      </c>
    </row>
    <row r="85" spans="1:11" ht="18" customHeight="1">
      <c r="A85" s="154" t="s">
        <v>111</v>
      </c>
      <c r="B85" s="150" t="s">
        <v>57</v>
      </c>
    </row>
    <row r="86" spans="1:11" ht="18" customHeight="1">
      <c r="A86" s="151" t="s">
        <v>112</v>
      </c>
      <c r="B86" s="155" t="s">
        <v>113</v>
      </c>
      <c r="F86" s="156"/>
      <c r="G86" s="156"/>
      <c r="H86" s="614"/>
      <c r="I86" s="615">
        <f>H86*F$114</f>
        <v>0</v>
      </c>
      <c r="J86" s="614"/>
      <c r="K86" s="159">
        <f t="shared" ref="K86:K96" si="9">(H86+I86)-J86</f>
        <v>0</v>
      </c>
    </row>
    <row r="87" spans="1:11" ht="18" customHeight="1">
      <c r="A87" s="151" t="s">
        <v>114</v>
      </c>
      <c r="B87" s="155" t="s">
        <v>14</v>
      </c>
      <c r="F87" s="156">
        <f>+'[26]CRH CBR INITIATIVES 2015'!E329</f>
        <v>18</v>
      </c>
      <c r="G87" s="156">
        <f>+'[26]CRH CBR INITIATIVES 2015'!F329</f>
        <v>0</v>
      </c>
      <c r="H87" s="156">
        <f>+'[26]CRH CBR INITIATIVES 2015'!G329</f>
        <v>485.1316794655429</v>
      </c>
      <c r="I87" s="156">
        <f>+'[26]CRH CBR INITIATIVES 2015'!H329</f>
        <v>327.19135939204426</v>
      </c>
      <c r="J87" s="156">
        <f>+'[26]CRH CBR INITIATIVES 2015'!I329</f>
        <v>0</v>
      </c>
      <c r="K87" s="159">
        <f t="shared" si="9"/>
        <v>812.32303885758711</v>
      </c>
    </row>
    <row r="88" spans="1:11" ht="18" customHeight="1">
      <c r="A88" s="151" t="s">
        <v>115</v>
      </c>
      <c r="B88" s="155" t="s">
        <v>116</v>
      </c>
      <c r="F88" s="156">
        <f>+'[26]CRH CBR INITIATIVES 2015'!E335</f>
        <v>256</v>
      </c>
      <c r="G88" s="156">
        <f>+'[26]CRH CBR INITIATIVES 2015'!F335</f>
        <v>0</v>
      </c>
      <c r="H88" s="156">
        <f>+'[26]CRH CBR INITIATIVES 2015'!G335</f>
        <v>6899.6505523988326</v>
      </c>
      <c r="I88" s="156">
        <f>+'[26]CRH CBR INITIATIVES 2015'!H335</f>
        <v>4653.3882224646295</v>
      </c>
      <c r="J88" s="156">
        <f>+'[26]CRH CBR INITIATIVES 2015'!I335</f>
        <v>0</v>
      </c>
      <c r="K88" s="159">
        <f t="shared" si="9"/>
        <v>11553.038774863462</v>
      </c>
    </row>
    <row r="89" spans="1:11" ht="18" customHeight="1">
      <c r="A89" s="151" t="s">
        <v>117</v>
      </c>
      <c r="B89" s="155" t="s">
        <v>58</v>
      </c>
      <c r="F89" s="156"/>
      <c r="G89" s="156"/>
      <c r="H89" s="156"/>
      <c r="I89" s="156"/>
      <c r="J89" s="156"/>
      <c r="K89" s="159">
        <f t="shared" si="9"/>
        <v>0</v>
      </c>
    </row>
    <row r="90" spans="1:11" ht="18" customHeight="1">
      <c r="A90" s="151" t="s">
        <v>118</v>
      </c>
      <c r="B90" s="904" t="s">
        <v>59</v>
      </c>
      <c r="C90" s="907"/>
      <c r="F90" s="156"/>
      <c r="G90" s="156"/>
      <c r="H90" s="156"/>
      <c r="I90" s="156"/>
      <c r="J90" s="156"/>
      <c r="K90" s="159">
        <f t="shared" si="9"/>
        <v>0</v>
      </c>
    </row>
    <row r="91" spans="1:11" ht="18" customHeight="1">
      <c r="A91" s="151" t="s">
        <v>119</v>
      </c>
      <c r="B91" s="155" t="s">
        <v>60</v>
      </c>
      <c r="F91" s="156">
        <f>+'[26]CRH CBR INITIATIVES 2015'!E340</f>
        <v>56</v>
      </c>
      <c r="G91" s="156">
        <f>+'[26]CRH CBR INITIATIVES 2015'!F340</f>
        <v>0</v>
      </c>
      <c r="H91" s="156">
        <f>+'[26]CRH CBR INITIATIVES 2015'!G340</f>
        <v>1509.2985583372447</v>
      </c>
      <c r="I91" s="156">
        <f>+'[26]CRH CBR INITIATIVES 2015'!H340</f>
        <v>1017.9286736641377</v>
      </c>
      <c r="J91" s="156">
        <f>+'[26]CRH CBR INITIATIVES 2015'!I340</f>
        <v>0</v>
      </c>
      <c r="K91" s="159">
        <f t="shared" si="9"/>
        <v>2527.2272320013826</v>
      </c>
    </row>
    <row r="92" spans="1:11" ht="18" customHeight="1">
      <c r="A92" s="151" t="s">
        <v>120</v>
      </c>
      <c r="B92" s="155" t="s">
        <v>121</v>
      </c>
      <c r="F92" s="189">
        <f>+'[26]CRH CBR INITIATIVES 2015'!E343</f>
        <v>124</v>
      </c>
      <c r="G92" s="189">
        <f>+'[26]CRH CBR INITIATIVES 2015'!F343</f>
        <v>0</v>
      </c>
      <c r="H92" s="189">
        <f>+'[26]CRH CBR INITIATIVES 2015'!G343</f>
        <v>3342.0182363181839</v>
      </c>
      <c r="I92" s="189">
        <f>+'[26]CRH CBR INITIATIVES 2015'!H343</f>
        <v>2253.9849202563046</v>
      </c>
      <c r="J92" s="189">
        <f>+'[26]CRH CBR INITIATIVES 2015'!I343</f>
        <v>0</v>
      </c>
      <c r="K92" s="159">
        <f t="shared" si="9"/>
        <v>5596.0031565744885</v>
      </c>
    </row>
    <row r="93" spans="1:11" ht="18" customHeight="1">
      <c r="A93" s="151" t="s">
        <v>122</v>
      </c>
      <c r="B93" s="155" t="s">
        <v>123</v>
      </c>
      <c r="F93" s="156">
        <v>0</v>
      </c>
      <c r="G93" s="156">
        <v>0</v>
      </c>
      <c r="H93" s="156">
        <v>0</v>
      </c>
      <c r="I93" s="156">
        <v>0</v>
      </c>
      <c r="J93" s="156">
        <v>0</v>
      </c>
      <c r="K93" s="159">
        <f t="shared" si="9"/>
        <v>0</v>
      </c>
    </row>
    <row r="94" spans="1:11" ht="18" customHeight="1">
      <c r="A94" s="151" t="s">
        <v>124</v>
      </c>
      <c r="B94" s="901"/>
      <c r="C94" s="902"/>
      <c r="D94" s="903"/>
      <c r="F94" s="156"/>
      <c r="G94" s="156"/>
      <c r="H94" s="614"/>
      <c r="I94" s="615">
        <f>H94*F$114</f>
        <v>0</v>
      </c>
      <c r="J94" s="614"/>
      <c r="K94" s="159">
        <f t="shared" si="9"/>
        <v>0</v>
      </c>
    </row>
    <row r="95" spans="1:11" ht="18" customHeight="1">
      <c r="A95" s="151" t="s">
        <v>125</v>
      </c>
      <c r="B95" s="901"/>
      <c r="C95" s="902"/>
      <c r="D95" s="903"/>
      <c r="F95" s="156"/>
      <c r="G95" s="156"/>
      <c r="H95" s="614"/>
      <c r="I95" s="615">
        <f>H95*F$114</f>
        <v>0</v>
      </c>
      <c r="J95" s="614"/>
      <c r="K95" s="159">
        <f t="shared" si="9"/>
        <v>0</v>
      </c>
    </row>
    <row r="96" spans="1:11" ht="18" customHeight="1">
      <c r="A96" s="151" t="s">
        <v>126</v>
      </c>
      <c r="B96" s="901"/>
      <c r="C96" s="902"/>
      <c r="D96" s="903"/>
      <c r="F96" s="156"/>
      <c r="G96" s="156"/>
      <c r="H96" s="614"/>
      <c r="I96" s="615">
        <f>H96*F$114</f>
        <v>0</v>
      </c>
      <c r="J96" s="614"/>
      <c r="K96" s="159">
        <f t="shared" si="9"/>
        <v>0</v>
      </c>
    </row>
    <row r="97" spans="1:11" ht="18" customHeight="1">
      <c r="A97" s="151"/>
      <c r="B97" s="155"/>
    </row>
    <row r="98" spans="1:11" ht="18" customHeight="1">
      <c r="A98" s="154" t="s">
        <v>150</v>
      </c>
      <c r="B98" s="150" t="s">
        <v>151</v>
      </c>
      <c r="E98" s="150" t="s">
        <v>7</v>
      </c>
      <c r="F98" s="162">
        <f t="shared" ref="F98:K98" si="10">SUM(F86:F96)</f>
        <v>454</v>
      </c>
      <c r="G98" s="162">
        <f t="shared" si="10"/>
        <v>0</v>
      </c>
      <c r="H98" s="616">
        <f t="shared" si="10"/>
        <v>12236.099026519805</v>
      </c>
      <c r="I98" s="616">
        <f t="shared" si="10"/>
        <v>8252.4931757771155</v>
      </c>
      <c r="J98" s="616">
        <f t="shared" si="10"/>
        <v>0</v>
      </c>
      <c r="K98" s="162">
        <f t="shared" si="10"/>
        <v>20488.592202296917</v>
      </c>
    </row>
    <row r="99" spans="1:11" ht="18" customHeight="1" thickBot="1">
      <c r="B99" s="150"/>
      <c r="F99" s="172"/>
      <c r="G99" s="172"/>
      <c r="H99" s="618"/>
      <c r="I99" s="618"/>
      <c r="J99" s="618"/>
      <c r="K99" s="172"/>
    </row>
    <row r="100" spans="1:11" ht="42.75" customHeight="1">
      <c r="F100" s="153" t="s">
        <v>9</v>
      </c>
      <c r="G100" s="153" t="s">
        <v>37</v>
      </c>
      <c r="H100" s="613" t="s">
        <v>29</v>
      </c>
      <c r="I100" s="613" t="s">
        <v>30</v>
      </c>
      <c r="J100" s="613" t="s">
        <v>33</v>
      </c>
      <c r="K100" s="153" t="s">
        <v>34</v>
      </c>
    </row>
    <row r="101" spans="1:11" ht="18" customHeight="1">
      <c r="A101" s="154" t="s">
        <v>130</v>
      </c>
      <c r="B101" s="150" t="s">
        <v>63</v>
      </c>
    </row>
    <row r="102" spans="1:11" ht="18" customHeight="1">
      <c r="A102" s="151" t="s">
        <v>131</v>
      </c>
      <c r="B102" s="155" t="s">
        <v>152</v>
      </c>
      <c r="F102" s="156">
        <f>+'[26]CRH CBR INITIATIVES 2015'!E346</f>
        <v>535</v>
      </c>
      <c r="G102" s="156">
        <f>+'[26]CRH CBR INITIATIVES 2015'!F346</f>
        <v>0</v>
      </c>
      <c r="H102" s="156">
        <f>+'[26]CRH CBR INITIATIVES 2015'!G346</f>
        <v>9028.8395900531596</v>
      </c>
      <c r="I102" s="156">
        <f>+'[26]CRH CBR INITIATIVES 2015'!H346</f>
        <v>6089.3947442408235</v>
      </c>
      <c r="J102" s="156">
        <f>+'[26]CRH CBR INITIATIVES 2015'!I346</f>
        <v>0</v>
      </c>
      <c r="K102" s="159">
        <f>(H102+I102)-J102</f>
        <v>15118.234334293982</v>
      </c>
    </row>
    <row r="103" spans="1:11" ht="18" customHeight="1">
      <c r="A103" s="151" t="s">
        <v>132</v>
      </c>
      <c r="B103" s="904" t="s">
        <v>62</v>
      </c>
      <c r="C103" s="904"/>
      <c r="F103" s="156">
        <f>+'[26]CRH CBR INITIATIVES 2015'!E349</f>
        <v>207</v>
      </c>
      <c r="G103" s="156">
        <f>+'[26]CRH CBR INITIATIVES 2015'!F349</f>
        <v>0</v>
      </c>
      <c r="H103" s="156">
        <f>+'[26]CRH CBR INITIATIVES 2015'!G349</f>
        <v>5579.0143138537433</v>
      </c>
      <c r="I103" s="156">
        <f>+'[26]CRH CBR INITIATIVES 2015'!H349</f>
        <v>3762.7006330085087</v>
      </c>
      <c r="J103" s="156">
        <f>+'[26]CRH CBR INITIATIVES 2015'!I349</f>
        <v>0</v>
      </c>
      <c r="K103" s="159">
        <f>(H103+I103)-J103</f>
        <v>9341.714946862252</v>
      </c>
    </row>
    <row r="104" spans="1:11" ht="18" customHeight="1">
      <c r="A104" s="151" t="s">
        <v>128</v>
      </c>
      <c r="B104" s="901"/>
      <c r="C104" s="902"/>
      <c r="D104" s="903"/>
      <c r="F104" s="156"/>
      <c r="G104" s="156"/>
      <c r="H104" s="614"/>
      <c r="I104" s="615">
        <f>H104*F$114</f>
        <v>0</v>
      </c>
      <c r="J104" s="614"/>
      <c r="K104" s="159">
        <f>(H104+I104)-J104</f>
        <v>0</v>
      </c>
    </row>
    <row r="105" spans="1:11" ht="18" customHeight="1">
      <c r="A105" s="151" t="s">
        <v>127</v>
      </c>
      <c r="B105" s="901"/>
      <c r="C105" s="902"/>
      <c r="D105" s="903"/>
      <c r="F105" s="156"/>
      <c r="G105" s="156"/>
      <c r="H105" s="614"/>
      <c r="I105" s="615">
        <f>H105*F$114</f>
        <v>0</v>
      </c>
      <c r="J105" s="614"/>
      <c r="K105" s="159">
        <f>(H105+I105)-J105</f>
        <v>0</v>
      </c>
    </row>
    <row r="106" spans="1:11" ht="18" customHeight="1">
      <c r="A106" s="151" t="s">
        <v>129</v>
      </c>
      <c r="B106" s="901"/>
      <c r="C106" s="902"/>
      <c r="D106" s="903"/>
      <c r="F106" s="156"/>
      <c r="G106" s="156"/>
      <c r="H106" s="614"/>
      <c r="I106" s="615">
        <f>H106*F$114</f>
        <v>0</v>
      </c>
      <c r="J106" s="614"/>
      <c r="K106" s="159">
        <f>(H106+I106)-J106</f>
        <v>0</v>
      </c>
    </row>
    <row r="107" spans="1:11" ht="18" customHeight="1">
      <c r="B107" s="150"/>
    </row>
    <row r="108" spans="1:11" s="167" customFormat="1" ht="18" customHeight="1">
      <c r="A108" s="154" t="s">
        <v>153</v>
      </c>
      <c r="B108" s="191" t="s">
        <v>154</v>
      </c>
      <c r="C108" s="147"/>
      <c r="D108" s="147"/>
      <c r="E108" s="150" t="s">
        <v>7</v>
      </c>
      <c r="F108" s="162">
        <f t="shared" ref="F108:K108" si="11">SUM(F102:F106)</f>
        <v>742</v>
      </c>
      <c r="G108" s="162">
        <f t="shared" si="11"/>
        <v>0</v>
      </c>
      <c r="H108" s="616">
        <f t="shared" si="11"/>
        <v>14607.853903906904</v>
      </c>
      <c r="I108" s="616">
        <f t="shared" si="11"/>
        <v>9852.0953772493322</v>
      </c>
      <c r="J108" s="616">
        <f t="shared" si="11"/>
        <v>0</v>
      </c>
      <c r="K108" s="159">
        <f t="shared" si="11"/>
        <v>24459.949281156234</v>
      </c>
    </row>
    <row r="109" spans="1:11" s="167" customFormat="1" ht="18" customHeight="1" thickBot="1">
      <c r="A109" s="192"/>
      <c r="B109" s="193"/>
      <c r="C109" s="194"/>
      <c r="D109" s="194"/>
      <c r="E109" s="194"/>
      <c r="F109" s="172"/>
      <c r="G109" s="172"/>
      <c r="H109" s="618"/>
      <c r="I109" s="618"/>
      <c r="J109" s="618"/>
      <c r="K109" s="172"/>
    </row>
    <row r="110" spans="1:11" s="167" customFormat="1" ht="18" customHeight="1">
      <c r="A110" s="154" t="s">
        <v>156</v>
      </c>
      <c r="B110" s="150" t="s">
        <v>39</v>
      </c>
      <c r="C110" s="147"/>
      <c r="D110" s="147"/>
      <c r="E110" s="147"/>
      <c r="F110" s="147"/>
      <c r="G110" s="147"/>
      <c r="H110" s="612"/>
      <c r="I110" s="612"/>
      <c r="J110" s="612"/>
      <c r="K110" s="147"/>
    </row>
    <row r="111" spans="1:11" ht="18" customHeight="1">
      <c r="A111" s="154" t="s">
        <v>155</v>
      </c>
      <c r="B111" s="150" t="s">
        <v>164</v>
      </c>
      <c r="E111" s="150" t="s">
        <v>7</v>
      </c>
      <c r="F111" s="628">
        <f>+'[26]UMMS FSS FIN DATA 2015'!Q27*1000</f>
        <v>1230831</v>
      </c>
    </row>
    <row r="112" spans="1:11" ht="18" customHeight="1">
      <c r="B112" s="150"/>
      <c r="E112" s="150"/>
      <c r="F112" s="195"/>
    </row>
    <row r="113" spans="1:6" ht="18" customHeight="1">
      <c r="A113" s="154"/>
      <c r="B113" s="150" t="s">
        <v>15</v>
      </c>
    </row>
    <row r="114" spans="1:6" ht="18" customHeight="1">
      <c r="A114" s="151" t="s">
        <v>171</v>
      </c>
      <c r="B114" s="155" t="s">
        <v>35</v>
      </c>
      <c r="F114" s="196">
        <f>+'[26]UMMS FSS FIN DATA 2015'!AZ16</f>
        <v>0.67443824685393161</v>
      </c>
    </row>
    <row r="115" spans="1:6" ht="18" customHeight="1">
      <c r="A115" s="151"/>
      <c r="B115" s="150"/>
    </row>
    <row r="116" spans="1:6" ht="18" customHeight="1">
      <c r="A116" s="151" t="s">
        <v>170</v>
      </c>
      <c r="B116" s="150" t="s">
        <v>16</v>
      </c>
    </row>
    <row r="117" spans="1:6" ht="18" customHeight="1">
      <c r="A117" s="151" t="s">
        <v>172</v>
      </c>
      <c r="B117" s="155" t="s">
        <v>17</v>
      </c>
      <c r="F117" s="417">
        <f>+'[26]UMMS FSS FIN DATA 2015'!Q8*1000</f>
        <v>50444404</v>
      </c>
    </row>
    <row r="118" spans="1:6" ht="18" customHeight="1">
      <c r="A118" s="151" t="s">
        <v>173</v>
      </c>
      <c r="B118" s="147" t="s">
        <v>18</v>
      </c>
      <c r="F118" s="417">
        <f>+'[26]UMMS FSS FIN DATA 2015'!Q9*1000</f>
        <v>259108</v>
      </c>
    </row>
    <row r="119" spans="1:6" ht="18" customHeight="1">
      <c r="A119" s="151" t="s">
        <v>174</v>
      </c>
      <c r="B119" s="150" t="s">
        <v>19</v>
      </c>
      <c r="F119" s="629">
        <f>SUM(F117:F118)</f>
        <v>50703512</v>
      </c>
    </row>
    <row r="120" spans="1:6" ht="18" customHeight="1">
      <c r="A120" s="151"/>
      <c r="B120" s="150"/>
      <c r="F120" s="630"/>
    </row>
    <row r="121" spans="1:6" ht="18" customHeight="1">
      <c r="A121" s="151" t="s">
        <v>167</v>
      </c>
      <c r="B121" s="150" t="s">
        <v>36</v>
      </c>
      <c r="F121" s="417">
        <f>+'[26]UMMS FSS FIN DATA 2015'!Q12*1000</f>
        <v>49362348</v>
      </c>
    </row>
    <row r="122" spans="1:6" ht="18" customHeight="1">
      <c r="A122" s="151"/>
      <c r="F122" s="630"/>
    </row>
    <row r="123" spans="1:6" ht="18" customHeight="1">
      <c r="A123" s="151" t="s">
        <v>175</v>
      </c>
      <c r="B123" s="150" t="s">
        <v>20</v>
      </c>
      <c r="F123" s="417">
        <f>-F121+F119</f>
        <v>1341164</v>
      </c>
    </row>
    <row r="124" spans="1:6" ht="18" customHeight="1">
      <c r="A124" s="151"/>
    </row>
    <row r="125" spans="1:6" ht="18" customHeight="1">
      <c r="A125" s="151" t="s">
        <v>176</v>
      </c>
      <c r="B125" s="150" t="s">
        <v>21</v>
      </c>
      <c r="F125" s="417">
        <f>+'[26]UMMS FSS FIN DATA 2015'!Q16*1000</f>
        <v>-166984.00000000425</v>
      </c>
    </row>
    <row r="126" spans="1:6" ht="18" customHeight="1">
      <c r="A126" s="151"/>
      <c r="F126" s="630"/>
    </row>
    <row r="127" spans="1:6" ht="18" customHeight="1">
      <c r="A127" s="151" t="s">
        <v>177</v>
      </c>
      <c r="B127" s="150" t="s">
        <v>22</v>
      </c>
      <c r="F127" s="417">
        <f>+F123+F125</f>
        <v>1174179.9999999958</v>
      </c>
    </row>
    <row r="128" spans="1:6" ht="18" customHeight="1">
      <c r="A128" s="151"/>
    </row>
    <row r="129" spans="1:11" ht="42.75" customHeight="1">
      <c r="F129" s="153" t="s">
        <v>9</v>
      </c>
      <c r="G129" s="153" t="s">
        <v>37</v>
      </c>
      <c r="H129" s="613" t="s">
        <v>29</v>
      </c>
      <c r="I129" s="613" t="s">
        <v>30</v>
      </c>
      <c r="J129" s="613" t="s">
        <v>33</v>
      </c>
      <c r="K129" s="153" t="s">
        <v>34</v>
      </c>
    </row>
    <row r="130" spans="1:11" ht="18" customHeight="1">
      <c r="A130" s="154" t="s">
        <v>157</v>
      </c>
      <c r="B130" s="150" t="s">
        <v>23</v>
      </c>
    </row>
    <row r="131" spans="1:11" ht="18" customHeight="1">
      <c r="A131" s="151" t="s">
        <v>158</v>
      </c>
      <c r="B131" s="147" t="s">
        <v>24</v>
      </c>
      <c r="F131" s="156"/>
      <c r="G131" s="156"/>
      <c r="H131" s="614"/>
      <c r="I131" s="615">
        <v>0</v>
      </c>
      <c r="J131" s="614">
        <v>0</v>
      </c>
      <c r="K131" s="159">
        <f>(H131+I131)-J131</f>
        <v>0</v>
      </c>
    </row>
    <row r="132" spans="1:11" ht="18" customHeight="1">
      <c r="A132" s="151" t="s">
        <v>159</v>
      </c>
      <c r="B132" s="147" t="s">
        <v>25</v>
      </c>
      <c r="F132" s="156"/>
      <c r="G132" s="156"/>
      <c r="H132" s="614"/>
      <c r="I132" s="615">
        <v>0</v>
      </c>
      <c r="J132" s="614">
        <v>0</v>
      </c>
      <c r="K132" s="159">
        <f>(H132+I132)-J132</f>
        <v>0</v>
      </c>
    </row>
    <row r="133" spans="1:11" ht="18" customHeight="1">
      <c r="A133" s="151" t="s">
        <v>160</v>
      </c>
      <c r="B133" s="898"/>
      <c r="C133" s="899"/>
      <c r="D133" s="900"/>
      <c r="F133" s="156"/>
      <c r="G133" s="156"/>
      <c r="H133" s="614"/>
      <c r="I133" s="615">
        <v>0</v>
      </c>
      <c r="J133" s="614"/>
      <c r="K133" s="159">
        <f>(H133+I133)-J133</f>
        <v>0</v>
      </c>
    </row>
    <row r="134" spans="1:11" ht="18" customHeight="1">
      <c r="A134" s="151" t="s">
        <v>161</v>
      </c>
      <c r="B134" s="898"/>
      <c r="C134" s="899"/>
      <c r="D134" s="900"/>
      <c r="F134" s="156"/>
      <c r="G134" s="156"/>
      <c r="H134" s="614"/>
      <c r="I134" s="615">
        <v>0</v>
      </c>
      <c r="J134" s="614"/>
      <c r="K134" s="159">
        <f>(H134+I134)-J134</f>
        <v>0</v>
      </c>
    </row>
    <row r="135" spans="1:11" ht="18" customHeight="1">
      <c r="A135" s="151" t="s">
        <v>162</v>
      </c>
      <c r="B135" s="898"/>
      <c r="C135" s="899"/>
      <c r="D135" s="900"/>
      <c r="F135" s="156"/>
      <c r="G135" s="156"/>
      <c r="H135" s="614"/>
      <c r="I135" s="615">
        <v>0</v>
      </c>
      <c r="J135" s="614"/>
      <c r="K135" s="159">
        <f>(H135+I135)-J135</f>
        <v>0</v>
      </c>
    </row>
    <row r="136" spans="1:11" ht="18" customHeight="1">
      <c r="A136" s="154"/>
    </row>
    <row r="137" spans="1:11" ht="18" customHeight="1">
      <c r="A137" s="154" t="s">
        <v>163</v>
      </c>
      <c r="B137" s="150" t="s">
        <v>27</v>
      </c>
      <c r="F137" s="162">
        <f t="shared" ref="F137:K137" si="12">SUM(F131:F135)</f>
        <v>0</v>
      </c>
      <c r="G137" s="162">
        <f t="shared" si="12"/>
        <v>0</v>
      </c>
      <c r="H137" s="616">
        <f t="shared" si="12"/>
        <v>0</v>
      </c>
      <c r="I137" s="616">
        <f t="shared" si="12"/>
        <v>0</v>
      </c>
      <c r="J137" s="616">
        <f t="shared" si="12"/>
        <v>0</v>
      </c>
      <c r="K137" s="159">
        <f t="shared" si="12"/>
        <v>0</v>
      </c>
    </row>
    <row r="138" spans="1:11" ht="18" customHeight="1">
      <c r="A138" s="147"/>
    </row>
    <row r="139" spans="1:11" ht="42.75" customHeight="1">
      <c r="F139" s="153" t="s">
        <v>9</v>
      </c>
      <c r="G139" s="153" t="s">
        <v>37</v>
      </c>
      <c r="H139" s="613" t="s">
        <v>29</v>
      </c>
      <c r="I139" s="613" t="s">
        <v>30</v>
      </c>
      <c r="J139" s="613" t="s">
        <v>33</v>
      </c>
      <c r="K139" s="153" t="s">
        <v>34</v>
      </c>
    </row>
    <row r="140" spans="1:11" ht="18" customHeight="1">
      <c r="A140" s="154" t="s">
        <v>166</v>
      </c>
      <c r="B140" s="150" t="s">
        <v>26</v>
      </c>
    </row>
    <row r="141" spans="1:11" ht="18" customHeight="1">
      <c r="A141" s="151" t="s">
        <v>137</v>
      </c>
      <c r="B141" s="150" t="s">
        <v>64</v>
      </c>
      <c r="F141" s="197">
        <f t="shared" ref="F141:K141" si="13">F36</f>
        <v>338</v>
      </c>
      <c r="G141" s="197">
        <f t="shared" si="13"/>
        <v>5068</v>
      </c>
      <c r="H141" s="631">
        <f t="shared" si="13"/>
        <v>9859.6948699640816</v>
      </c>
      <c r="I141" s="631">
        <f t="shared" si="13"/>
        <v>6649.7553226132786</v>
      </c>
      <c r="J141" s="631">
        <f t="shared" si="13"/>
        <v>0.1</v>
      </c>
      <c r="K141" s="197">
        <f t="shared" si="13"/>
        <v>16509.35019257736</v>
      </c>
    </row>
    <row r="142" spans="1:11" ht="18" customHeight="1">
      <c r="A142" s="151" t="s">
        <v>142</v>
      </c>
      <c r="B142" s="150" t="s">
        <v>65</v>
      </c>
      <c r="F142" s="197">
        <f t="shared" ref="F142:K142" si="14">F49</f>
        <v>0</v>
      </c>
      <c r="G142" s="197">
        <f t="shared" si="14"/>
        <v>0</v>
      </c>
      <c r="H142" s="631">
        <f t="shared" si="14"/>
        <v>0</v>
      </c>
      <c r="I142" s="631">
        <f t="shared" si="14"/>
        <v>0</v>
      </c>
      <c r="J142" s="631">
        <f t="shared" si="14"/>
        <v>0</v>
      </c>
      <c r="K142" s="197">
        <f t="shared" si="14"/>
        <v>0</v>
      </c>
    </row>
    <row r="143" spans="1:11" ht="18" customHeight="1">
      <c r="A143" s="151" t="s">
        <v>144</v>
      </c>
      <c r="B143" s="150" t="s">
        <v>66</v>
      </c>
      <c r="F143" s="197">
        <f t="shared" ref="F143:K143" si="15">F64</f>
        <v>13702.178099173554</v>
      </c>
      <c r="G143" s="197">
        <f t="shared" si="15"/>
        <v>26411.904132231404</v>
      </c>
      <c r="H143" s="631">
        <f t="shared" si="15"/>
        <v>4880044.9500719197</v>
      </c>
      <c r="I143" s="631">
        <f t="shared" si="15"/>
        <v>3291288.9606948881</v>
      </c>
      <c r="J143" s="631">
        <f t="shared" si="15"/>
        <v>1571039</v>
      </c>
      <c r="K143" s="197">
        <f t="shared" si="15"/>
        <v>6600294.9107668083</v>
      </c>
    </row>
    <row r="144" spans="1:11" ht="18" customHeight="1">
      <c r="A144" s="151" t="s">
        <v>146</v>
      </c>
      <c r="B144" s="150" t="s">
        <v>67</v>
      </c>
      <c r="F144" s="197">
        <f t="shared" ref="F144:K144" si="16">F74</f>
        <v>0</v>
      </c>
      <c r="G144" s="197">
        <f t="shared" si="16"/>
        <v>0</v>
      </c>
      <c r="H144" s="631">
        <f t="shared" si="16"/>
        <v>0</v>
      </c>
      <c r="I144" s="631">
        <f t="shared" si="16"/>
        <v>0</v>
      </c>
      <c r="J144" s="631">
        <f t="shared" si="16"/>
        <v>0</v>
      </c>
      <c r="K144" s="197">
        <f t="shared" si="16"/>
        <v>0</v>
      </c>
    </row>
    <row r="145" spans="1:11" ht="18" customHeight="1">
      <c r="A145" s="151" t="s">
        <v>148</v>
      </c>
      <c r="B145" s="150" t="s">
        <v>68</v>
      </c>
      <c r="F145" s="197">
        <f t="shared" ref="F145:K145" si="17">F82</f>
        <v>0</v>
      </c>
      <c r="G145" s="197">
        <f t="shared" si="17"/>
        <v>2500</v>
      </c>
      <c r="H145" s="631">
        <f t="shared" si="17"/>
        <v>52055</v>
      </c>
      <c r="I145" s="631">
        <f t="shared" si="17"/>
        <v>35107.882939981413</v>
      </c>
      <c r="J145" s="631">
        <f t="shared" si="17"/>
        <v>0</v>
      </c>
      <c r="K145" s="197">
        <f t="shared" si="17"/>
        <v>87162.882939981413</v>
      </c>
    </row>
    <row r="146" spans="1:11" ht="18" customHeight="1">
      <c r="A146" s="151" t="s">
        <v>150</v>
      </c>
      <c r="B146" s="150" t="s">
        <v>69</v>
      </c>
      <c r="F146" s="197">
        <f t="shared" ref="F146:K146" si="18">F98</f>
        <v>454</v>
      </c>
      <c r="G146" s="197">
        <f t="shared" si="18"/>
        <v>0</v>
      </c>
      <c r="H146" s="631">
        <f t="shared" si="18"/>
        <v>12236.099026519805</v>
      </c>
      <c r="I146" s="631">
        <f t="shared" si="18"/>
        <v>8252.4931757771155</v>
      </c>
      <c r="J146" s="631">
        <f t="shared" si="18"/>
        <v>0</v>
      </c>
      <c r="K146" s="197">
        <f t="shared" si="18"/>
        <v>20488.592202296917</v>
      </c>
    </row>
    <row r="147" spans="1:11" ht="18" customHeight="1">
      <c r="A147" s="151" t="s">
        <v>153</v>
      </c>
      <c r="B147" s="150" t="s">
        <v>61</v>
      </c>
      <c r="F147" s="162">
        <f t="shared" ref="F147:K147" si="19">F108</f>
        <v>742</v>
      </c>
      <c r="G147" s="162">
        <f t="shared" si="19"/>
        <v>0</v>
      </c>
      <c r="H147" s="616">
        <f t="shared" si="19"/>
        <v>14607.853903906904</v>
      </c>
      <c r="I147" s="616">
        <f t="shared" si="19"/>
        <v>9852.0953772493322</v>
      </c>
      <c r="J147" s="616">
        <f t="shared" si="19"/>
        <v>0</v>
      </c>
      <c r="K147" s="162">
        <f t="shared" si="19"/>
        <v>24459.949281156234</v>
      </c>
    </row>
    <row r="148" spans="1:11" ht="18" customHeight="1">
      <c r="A148" s="151" t="s">
        <v>155</v>
      </c>
      <c r="B148" s="150" t="s">
        <v>70</v>
      </c>
      <c r="F148" s="198" t="s">
        <v>73</v>
      </c>
      <c r="G148" s="198" t="s">
        <v>73</v>
      </c>
      <c r="H148" s="632" t="s">
        <v>73</v>
      </c>
      <c r="I148" s="632" t="s">
        <v>73</v>
      </c>
      <c r="J148" s="632" t="s">
        <v>73</v>
      </c>
      <c r="K148" s="200">
        <f>F111</f>
        <v>1230831</v>
      </c>
    </row>
    <row r="149" spans="1:11" ht="18" customHeight="1">
      <c r="A149" s="151" t="s">
        <v>163</v>
      </c>
      <c r="B149" s="150" t="s">
        <v>71</v>
      </c>
      <c r="F149" s="162">
        <f t="shared" ref="F149:K149" si="20">F137</f>
        <v>0</v>
      </c>
      <c r="G149" s="162">
        <f t="shared" si="20"/>
        <v>0</v>
      </c>
      <c r="H149" s="616">
        <f t="shared" si="20"/>
        <v>0</v>
      </c>
      <c r="I149" s="616">
        <f t="shared" si="20"/>
        <v>0</v>
      </c>
      <c r="J149" s="616">
        <f t="shared" si="20"/>
        <v>0</v>
      </c>
      <c r="K149" s="162">
        <f t="shared" si="20"/>
        <v>0</v>
      </c>
    </row>
    <row r="150" spans="1:11" ht="18" customHeight="1">
      <c r="A150" s="151" t="s">
        <v>185</v>
      </c>
      <c r="B150" s="150" t="s">
        <v>186</v>
      </c>
      <c r="F150" s="198" t="s">
        <v>73</v>
      </c>
      <c r="G150" s="198" t="s">
        <v>73</v>
      </c>
      <c r="H150" s="616">
        <f>H18</f>
        <v>1429947</v>
      </c>
      <c r="I150" s="616">
        <f>I18</f>
        <v>0</v>
      </c>
      <c r="J150" s="616">
        <f>J18</f>
        <v>1222784</v>
      </c>
      <c r="K150" s="162">
        <f>K18</f>
        <v>207163</v>
      </c>
    </row>
    <row r="151" spans="1:11" ht="18" customHeight="1">
      <c r="B151" s="150"/>
      <c r="F151" s="174"/>
      <c r="G151" s="174"/>
      <c r="H151" s="620"/>
      <c r="I151" s="620"/>
      <c r="J151" s="620"/>
      <c r="K151" s="174"/>
    </row>
    <row r="152" spans="1:11" ht="18" customHeight="1">
      <c r="A152" s="154" t="s">
        <v>165</v>
      </c>
      <c r="B152" s="150" t="s">
        <v>26</v>
      </c>
      <c r="F152" s="201">
        <f t="shared" ref="F152:K152" si="21">SUM(F141:F150)</f>
        <v>15236.178099173554</v>
      </c>
      <c r="G152" s="201">
        <f t="shared" si="21"/>
        <v>33979.904132231401</v>
      </c>
      <c r="H152" s="633">
        <f t="shared" si="21"/>
        <v>6398750.5978723112</v>
      </c>
      <c r="I152" s="633">
        <f t="shared" si="21"/>
        <v>3351151.187510509</v>
      </c>
      <c r="J152" s="633">
        <f t="shared" si="21"/>
        <v>2793823.1</v>
      </c>
      <c r="K152" s="201">
        <f t="shared" si="21"/>
        <v>8186909.6853828197</v>
      </c>
    </row>
    <row r="154" spans="1:11" ht="18" customHeight="1">
      <c r="A154" s="154" t="s">
        <v>168</v>
      </c>
      <c r="B154" s="150" t="s">
        <v>28</v>
      </c>
      <c r="F154" s="634">
        <f>K152/F121</f>
        <v>0.16585332783162623</v>
      </c>
    </row>
    <row r="155" spans="1:11" ht="18" customHeight="1">
      <c r="A155" s="154" t="s">
        <v>169</v>
      </c>
      <c r="B155" s="150" t="s">
        <v>72</v>
      </c>
      <c r="F155" s="634">
        <f>K152/F127</f>
        <v>6.9724485899801127</v>
      </c>
      <c r="G155" s="150"/>
    </row>
    <row r="156" spans="1:11" ht="18" customHeight="1">
      <c r="G156" s="150"/>
    </row>
    <row r="157" spans="1:11" ht="35.25" customHeight="1">
      <c r="B157" s="635" t="s">
        <v>574</v>
      </c>
      <c r="F157" s="153" t="s">
        <v>9</v>
      </c>
      <c r="G157" s="153" t="s">
        <v>37</v>
      </c>
      <c r="H157" s="613" t="s">
        <v>29</v>
      </c>
      <c r="I157" s="613" t="s">
        <v>30</v>
      </c>
      <c r="J157" s="613" t="s">
        <v>33</v>
      </c>
      <c r="K157" s="153" t="s">
        <v>34</v>
      </c>
    </row>
    <row r="158" spans="1:11" ht="18" customHeight="1">
      <c r="B158" s="150" t="str">
        <f>+B152</f>
        <v>TOTAL HOSPITAL COMMUNITY BENEFIT</v>
      </c>
      <c r="F158" s="636">
        <f t="shared" ref="F158:K158" si="22">+F152</f>
        <v>15236.178099173554</v>
      </c>
      <c r="G158" s="636">
        <f t="shared" si="22"/>
        <v>33979.904132231401</v>
      </c>
      <c r="H158" s="636">
        <f t="shared" si="22"/>
        <v>6398750.5978723112</v>
      </c>
      <c r="I158" s="636">
        <f t="shared" si="22"/>
        <v>3351151.187510509</v>
      </c>
      <c r="J158" s="636">
        <f t="shared" si="22"/>
        <v>2793823.1</v>
      </c>
      <c r="K158" s="636">
        <f t="shared" si="22"/>
        <v>8186909.6853828197</v>
      </c>
    </row>
    <row r="159" spans="1:11" ht="18" customHeight="1">
      <c r="B159" s="150" t="s">
        <v>575</v>
      </c>
    </row>
    <row r="160" spans="1:11" ht="18" customHeight="1">
      <c r="A160" s="149"/>
      <c r="B160" s="151" t="s">
        <v>181</v>
      </c>
      <c r="F160" s="637" t="str">
        <f t="shared" ref="F160:K160" si="23">+F18</f>
        <v>N/A</v>
      </c>
      <c r="G160" s="637" t="str">
        <f t="shared" si="23"/>
        <v>N/A</v>
      </c>
      <c r="H160" s="637">
        <f t="shared" si="23"/>
        <v>1429947</v>
      </c>
      <c r="I160" s="637">
        <f t="shared" si="23"/>
        <v>0</v>
      </c>
      <c r="J160" s="637">
        <f t="shared" si="23"/>
        <v>1222784</v>
      </c>
      <c r="K160" s="637">
        <f t="shared" si="23"/>
        <v>207163</v>
      </c>
    </row>
    <row r="161" spans="2:11" ht="18" customHeight="1">
      <c r="B161" s="151" t="s">
        <v>164</v>
      </c>
      <c r="F161" s="638"/>
      <c r="G161" s="639"/>
      <c r="H161" s="640"/>
      <c r="I161" s="640"/>
      <c r="J161" s="640"/>
      <c r="K161" s="641">
        <f>+K148</f>
        <v>1230831</v>
      </c>
    </row>
    <row r="162" spans="2:11" ht="18" customHeight="1">
      <c r="F162" s="639"/>
      <c r="G162" s="639"/>
      <c r="H162" s="640"/>
      <c r="I162" s="640"/>
      <c r="J162" s="640"/>
      <c r="K162" s="639"/>
    </row>
    <row r="163" spans="2:11" ht="18" customHeight="1">
      <c r="B163" s="150" t="s">
        <v>576</v>
      </c>
      <c r="F163" s="637">
        <f t="shared" ref="F163:K163" si="24">+F152-SUM(F160:F161)</f>
        <v>15236.178099173554</v>
      </c>
      <c r="G163" s="637">
        <f t="shared" si="24"/>
        <v>33979.904132231401</v>
      </c>
      <c r="H163" s="637">
        <f t="shared" si="24"/>
        <v>4968803.5978723112</v>
      </c>
      <c r="I163" s="637">
        <f t="shared" si="24"/>
        <v>3351151.187510509</v>
      </c>
      <c r="J163" s="637">
        <f t="shared" si="24"/>
        <v>1571039.1</v>
      </c>
      <c r="K163" s="637">
        <f t="shared" si="24"/>
        <v>6748915.6853828197</v>
      </c>
    </row>
    <row r="164" spans="2:11" ht="18" customHeight="1">
      <c r="B164" s="150"/>
      <c r="F164" s="642"/>
      <c r="G164" s="642"/>
      <c r="H164" s="637"/>
      <c r="I164" s="637"/>
      <c r="J164" s="637"/>
      <c r="K164" s="637"/>
    </row>
    <row r="165" spans="2:11" ht="18" customHeight="1">
      <c r="B165" s="150" t="s">
        <v>28</v>
      </c>
      <c r="F165" s="150"/>
      <c r="G165" s="150"/>
      <c r="H165" s="643">
        <f>+H163/$F$121</f>
        <v>0.10065979028939853</v>
      </c>
      <c r="I165" s="643">
        <f>+I163/$F$121</f>
        <v>6.7888812491466347E-2</v>
      </c>
      <c r="J165" s="643">
        <f>+J163/$F$121</f>
        <v>3.182666878001833E-2</v>
      </c>
      <c r="K165" s="643">
        <f>+K163/$F$121</f>
        <v>0.13672193400084656</v>
      </c>
    </row>
    <row r="166" spans="2:11" ht="18" customHeight="1">
      <c r="B166" s="150" t="s">
        <v>72</v>
      </c>
      <c r="F166" s="150"/>
      <c r="G166" s="150"/>
      <c r="H166" s="643">
        <f>+H163/$F$127</f>
        <v>4.2317222213564607</v>
      </c>
      <c r="I166" s="643">
        <f>+I163/$F$127</f>
        <v>2.854035316144476</v>
      </c>
      <c r="J166" s="643">
        <f>+J163/$F$127</f>
        <v>1.3379882982166327</v>
      </c>
      <c r="K166" s="643">
        <f>+K163/$F$127</f>
        <v>5.7477692392843034</v>
      </c>
    </row>
  </sheetData>
  <mergeCells count="32">
    <mergeCell ref="B134:D134"/>
    <mergeCell ref="B135:D135"/>
    <mergeCell ref="B96:D96"/>
    <mergeCell ref="B103:C103"/>
    <mergeCell ref="B104:D104"/>
    <mergeCell ref="B105:D105"/>
    <mergeCell ref="B106:D106"/>
    <mergeCell ref="B133:D133"/>
    <mergeCell ref="B95:D95"/>
    <mergeCell ref="B45:D45"/>
    <mergeCell ref="B46:D46"/>
    <mergeCell ref="B47:D47"/>
    <mergeCell ref="B52:C52"/>
    <mergeCell ref="B57:D57"/>
    <mergeCell ref="B58:D58"/>
    <mergeCell ref="B59:D59"/>
    <mergeCell ref="B61:D61"/>
    <mergeCell ref="B62:D62"/>
    <mergeCell ref="B90:C90"/>
    <mergeCell ref="B94:D94"/>
    <mergeCell ref="B44:D44"/>
    <mergeCell ref="C5:G5"/>
    <mergeCell ref="C6:G6"/>
    <mergeCell ref="C7:G7"/>
    <mergeCell ref="C9:G9"/>
    <mergeCell ref="C10:G10"/>
    <mergeCell ref="C11:G11"/>
    <mergeCell ref="B13:H13"/>
    <mergeCell ref="B30:D30"/>
    <mergeCell ref="B31:D31"/>
    <mergeCell ref="B34:D34"/>
    <mergeCell ref="B41:C41"/>
  </mergeCells>
  <pageMargins left="0.75" right="0.75" top="1" bottom="1" header="0.5" footer="0.5"/>
  <pageSetup scale="59" fitToHeight="0" orientation="landscape" horizontalDpi="1200" verticalDpi="1200" r:id="rId1"/>
  <headerFooter alignWithMargins="0"/>
  <rowBreaks count="6" manualBreakCount="6">
    <brk id="37" max="16383" man="1"/>
    <brk id="65" max="16383" man="1"/>
    <brk id="83" max="16383" man="1"/>
    <brk id="109" max="16383" man="1"/>
    <brk id="128" max="16383" man="1"/>
    <brk id="156"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K156"/>
  <sheetViews>
    <sheetView showGridLines="0" zoomScaleNormal="100" zoomScaleSheetLayoutView="80" workbookViewId="0">
      <selection activeCell="K18" sqref="K18"/>
    </sheetView>
  </sheetViews>
  <sheetFormatPr defaultRowHeight="18" customHeight="1"/>
  <cols>
    <col min="1" max="1" width="8.28515625" style="146" customWidth="1"/>
    <col min="2" max="2" width="55.42578125" style="147" bestFit="1" customWidth="1"/>
    <col min="3" max="3" width="9.5703125" style="147" customWidth="1"/>
    <col min="4" max="4" width="9.140625" style="147"/>
    <col min="5" max="5" width="12.42578125" style="147" customWidth="1"/>
    <col min="6" max="6" width="18.5703125" style="147" customWidth="1"/>
    <col min="7" max="7" width="23.5703125" style="147" customWidth="1"/>
    <col min="8" max="8" width="17.140625" style="147" customWidth="1"/>
    <col min="9" max="9" width="21.140625" style="147" customWidth="1"/>
    <col min="10" max="10" width="19.85546875" style="147" customWidth="1"/>
    <col min="11" max="11" width="17.5703125" style="147" customWidth="1"/>
    <col min="12" max="16384" width="9.140625" style="147"/>
  </cols>
  <sheetData>
    <row r="1" spans="1:11" ht="18" customHeight="1">
      <c r="C1" s="148"/>
      <c r="D1" s="149"/>
      <c r="E1" s="148"/>
      <c r="F1" s="148"/>
      <c r="G1" s="148"/>
      <c r="H1" s="148"/>
      <c r="I1" s="148"/>
      <c r="J1" s="148"/>
      <c r="K1" s="148"/>
    </row>
    <row r="2" spans="1:11" ht="18" customHeight="1">
      <c r="D2" s="910" t="s">
        <v>713</v>
      </c>
      <c r="E2" s="911"/>
      <c r="F2" s="911"/>
      <c r="G2" s="911"/>
      <c r="H2" s="911"/>
    </row>
    <row r="3" spans="1:11" ht="18" customHeight="1">
      <c r="B3" s="150" t="s">
        <v>0</v>
      </c>
    </row>
    <row r="5" spans="1:11" ht="18" customHeight="1">
      <c r="B5" s="151" t="s">
        <v>40</v>
      </c>
      <c r="C5" s="912" t="s">
        <v>305</v>
      </c>
      <c r="D5" s="918"/>
      <c r="E5" s="918"/>
      <c r="F5" s="918"/>
      <c r="G5" s="919"/>
    </row>
    <row r="6" spans="1:11" ht="18" customHeight="1">
      <c r="B6" s="151" t="s">
        <v>3</v>
      </c>
      <c r="C6" s="929">
        <v>32</v>
      </c>
      <c r="D6" s="921"/>
      <c r="E6" s="921"/>
      <c r="F6" s="921"/>
      <c r="G6" s="922"/>
    </row>
    <row r="7" spans="1:11" ht="18" customHeight="1">
      <c r="B7" s="151" t="s">
        <v>4</v>
      </c>
      <c r="C7" s="930">
        <v>1082</v>
      </c>
      <c r="D7" s="924"/>
      <c r="E7" s="924"/>
      <c r="F7" s="924"/>
      <c r="G7" s="925"/>
    </row>
    <row r="9" spans="1:11" ht="18" customHeight="1">
      <c r="B9" s="151" t="s">
        <v>1</v>
      </c>
      <c r="C9" s="912" t="s">
        <v>633</v>
      </c>
      <c r="D9" s="918"/>
      <c r="E9" s="918"/>
      <c r="F9" s="918"/>
      <c r="G9" s="919"/>
    </row>
    <row r="10" spans="1:11" ht="18" customHeight="1">
      <c r="B10" s="151" t="s">
        <v>2</v>
      </c>
      <c r="C10" s="926" t="s">
        <v>809</v>
      </c>
      <c r="D10" s="927"/>
      <c r="E10" s="927"/>
      <c r="F10" s="927"/>
      <c r="G10" s="928"/>
    </row>
    <row r="11" spans="1:11" ht="18" customHeight="1">
      <c r="B11" s="151" t="s">
        <v>32</v>
      </c>
      <c r="C11" s="912" t="s">
        <v>634</v>
      </c>
      <c r="D11" s="913"/>
      <c r="E11" s="913"/>
      <c r="F11" s="913"/>
      <c r="G11" s="913"/>
    </row>
    <row r="12" spans="1:11" ht="18" customHeight="1">
      <c r="B12" s="151"/>
      <c r="C12" s="151"/>
      <c r="D12" s="151"/>
      <c r="E12" s="151"/>
      <c r="F12" s="151"/>
      <c r="G12" s="151"/>
    </row>
    <row r="13" spans="1:11" ht="24.6" customHeight="1">
      <c r="B13" s="914"/>
      <c r="C13" s="915"/>
      <c r="D13" s="915"/>
      <c r="E13" s="915"/>
      <c r="F13" s="915"/>
      <c r="G13" s="915"/>
      <c r="H13" s="916"/>
      <c r="I13" s="148"/>
    </row>
    <row r="14" spans="1:11" ht="18" customHeight="1">
      <c r="B14" s="152"/>
    </row>
    <row r="15" spans="1:11" ht="18" customHeight="1">
      <c r="B15" s="152"/>
    </row>
    <row r="16" spans="1:11" ht="45" customHeight="1">
      <c r="A16" s="149" t="s">
        <v>181</v>
      </c>
      <c r="B16" s="148"/>
      <c r="C16" s="148"/>
      <c r="D16" s="148"/>
      <c r="E16" s="148"/>
      <c r="F16" s="153" t="s">
        <v>9</v>
      </c>
      <c r="G16" s="153" t="s">
        <v>37</v>
      </c>
      <c r="H16" s="153" t="s">
        <v>29</v>
      </c>
      <c r="I16" s="153" t="s">
        <v>30</v>
      </c>
      <c r="J16" s="153" t="s">
        <v>33</v>
      </c>
      <c r="K16" s="153" t="s">
        <v>34</v>
      </c>
    </row>
    <row r="17" spans="1:11" ht="18" customHeight="1">
      <c r="A17" s="154" t="s">
        <v>184</v>
      </c>
      <c r="B17" s="150" t="s">
        <v>182</v>
      </c>
    </row>
    <row r="18" spans="1:11" ht="18" customHeight="1">
      <c r="A18" s="151" t="s">
        <v>185</v>
      </c>
      <c r="B18" s="155" t="s">
        <v>183</v>
      </c>
      <c r="F18" s="156" t="s">
        <v>73</v>
      </c>
      <c r="G18" s="156" t="s">
        <v>73</v>
      </c>
      <c r="H18" s="157">
        <v>3940523</v>
      </c>
      <c r="I18" s="158">
        <v>0</v>
      </c>
      <c r="J18" s="157">
        <v>3369640</v>
      </c>
      <c r="K18" s="159">
        <f>(H18+I18)-J18</f>
        <v>570883</v>
      </c>
    </row>
    <row r="19" spans="1:11" ht="45" customHeight="1">
      <c r="A19" s="149" t="s">
        <v>8</v>
      </c>
      <c r="B19" s="148"/>
      <c r="C19" s="148"/>
      <c r="D19" s="148"/>
      <c r="E19" s="148"/>
      <c r="F19" s="153" t="s">
        <v>9</v>
      </c>
      <c r="G19" s="153" t="s">
        <v>37</v>
      </c>
      <c r="H19" s="153" t="s">
        <v>29</v>
      </c>
      <c r="I19" s="153" t="s">
        <v>30</v>
      </c>
      <c r="J19" s="153" t="s">
        <v>33</v>
      </c>
      <c r="K19" s="153" t="s">
        <v>34</v>
      </c>
    </row>
    <row r="20" spans="1:11" ht="18" customHeight="1">
      <c r="A20" s="154" t="s">
        <v>74</v>
      </c>
      <c r="B20" s="150" t="s">
        <v>41</v>
      </c>
    </row>
    <row r="21" spans="1:11" ht="18" customHeight="1">
      <c r="A21" s="151" t="s">
        <v>75</v>
      </c>
      <c r="B21" s="155" t="s">
        <v>42</v>
      </c>
      <c r="F21" s="156">
        <v>938.75</v>
      </c>
      <c r="G21" s="156">
        <v>5763</v>
      </c>
      <c r="H21" s="157">
        <v>39430</v>
      </c>
      <c r="I21" s="158">
        <v>9374</v>
      </c>
      <c r="J21" s="157">
        <v>2345</v>
      </c>
      <c r="K21" s="159">
        <f t="shared" ref="K21:K34" si="0">(H21+I21)-J21</f>
        <v>46459</v>
      </c>
    </row>
    <row r="22" spans="1:11" ht="18" customHeight="1">
      <c r="A22" s="151" t="s">
        <v>76</v>
      </c>
      <c r="B22" s="147" t="s">
        <v>6</v>
      </c>
      <c r="F22" s="156">
        <v>359.81</v>
      </c>
      <c r="G22" s="156">
        <v>872</v>
      </c>
      <c r="H22" s="157">
        <v>13690</v>
      </c>
      <c r="I22" s="158">
        <v>9857</v>
      </c>
      <c r="J22" s="157">
        <v>0</v>
      </c>
      <c r="K22" s="159">
        <f t="shared" si="0"/>
        <v>23547</v>
      </c>
    </row>
    <row r="23" spans="1:11" ht="18" customHeight="1">
      <c r="A23" s="151" t="s">
        <v>77</v>
      </c>
      <c r="B23" s="147" t="s">
        <v>43</v>
      </c>
      <c r="F23" s="156">
        <v>0</v>
      </c>
      <c r="G23" s="156">
        <v>0</v>
      </c>
      <c r="H23" s="157">
        <v>0</v>
      </c>
      <c r="I23" s="158">
        <v>0</v>
      </c>
      <c r="J23" s="157">
        <v>0</v>
      </c>
      <c r="K23" s="159">
        <f t="shared" si="0"/>
        <v>0</v>
      </c>
    </row>
    <row r="24" spans="1:11" ht="18" customHeight="1">
      <c r="A24" s="151" t="s">
        <v>78</v>
      </c>
      <c r="B24" s="147" t="s">
        <v>44</v>
      </c>
      <c r="F24" s="156">
        <v>42</v>
      </c>
      <c r="G24" s="156">
        <v>135</v>
      </c>
      <c r="H24" s="157">
        <v>4531</v>
      </c>
      <c r="I24" s="158">
        <v>2735</v>
      </c>
      <c r="J24" s="157">
        <v>0</v>
      </c>
      <c r="K24" s="159">
        <f t="shared" si="0"/>
        <v>7266</v>
      </c>
    </row>
    <row r="25" spans="1:11" ht="18" customHeight="1">
      <c r="A25" s="151" t="s">
        <v>79</v>
      </c>
      <c r="B25" s="147" t="s">
        <v>5</v>
      </c>
      <c r="F25" s="156">
        <v>83</v>
      </c>
      <c r="G25" s="156">
        <v>131</v>
      </c>
      <c r="H25" s="157">
        <v>5276</v>
      </c>
      <c r="I25" s="158">
        <v>3798</v>
      </c>
      <c r="J25" s="157">
        <v>0</v>
      </c>
      <c r="K25" s="159">
        <f t="shared" si="0"/>
        <v>9074</v>
      </c>
    </row>
    <row r="26" spans="1:11" ht="18" customHeight="1">
      <c r="A26" s="151" t="s">
        <v>80</v>
      </c>
      <c r="B26" s="147" t="s">
        <v>45</v>
      </c>
      <c r="F26" s="156">
        <v>246.48</v>
      </c>
      <c r="G26" s="156">
        <v>578</v>
      </c>
      <c r="H26" s="157">
        <v>9995</v>
      </c>
      <c r="I26" s="158">
        <v>2488</v>
      </c>
      <c r="J26" s="157">
        <v>0</v>
      </c>
      <c r="K26" s="159">
        <f t="shared" si="0"/>
        <v>12483</v>
      </c>
    </row>
    <row r="27" spans="1:11" ht="18" customHeight="1">
      <c r="A27" s="151" t="s">
        <v>81</v>
      </c>
      <c r="B27" s="147" t="s">
        <v>46</v>
      </c>
      <c r="F27" s="156">
        <v>12.25</v>
      </c>
      <c r="G27" s="156">
        <v>27</v>
      </c>
      <c r="H27" s="157">
        <v>937</v>
      </c>
      <c r="I27" s="158">
        <v>0</v>
      </c>
      <c r="J27" s="157">
        <v>0</v>
      </c>
      <c r="K27" s="159">
        <f t="shared" si="0"/>
        <v>937</v>
      </c>
    </row>
    <row r="28" spans="1:11" ht="18" customHeight="1">
      <c r="A28" s="151" t="s">
        <v>82</v>
      </c>
      <c r="B28" s="147" t="s">
        <v>47</v>
      </c>
      <c r="F28" s="156">
        <v>0</v>
      </c>
      <c r="G28" s="156">
        <v>0</v>
      </c>
      <c r="H28" s="157">
        <v>0</v>
      </c>
      <c r="I28" s="158">
        <f t="shared" ref="I28:I34" si="1">H28*F$114</f>
        <v>0</v>
      </c>
      <c r="J28" s="157">
        <v>0</v>
      </c>
      <c r="K28" s="159">
        <f t="shared" si="0"/>
        <v>0</v>
      </c>
    </row>
    <row r="29" spans="1:11" ht="18" customHeight="1">
      <c r="A29" s="151" t="s">
        <v>83</v>
      </c>
      <c r="B29" s="147" t="s">
        <v>48</v>
      </c>
      <c r="F29" s="156">
        <v>590.79999999999995</v>
      </c>
      <c r="G29" s="156">
        <v>1286</v>
      </c>
      <c r="H29" s="157">
        <v>73629</v>
      </c>
      <c r="I29" s="158">
        <v>10635</v>
      </c>
      <c r="J29" s="157">
        <v>42963</v>
      </c>
      <c r="K29" s="159">
        <f t="shared" si="0"/>
        <v>41301</v>
      </c>
    </row>
    <row r="30" spans="1:11" ht="18" customHeight="1">
      <c r="A30" s="151" t="s">
        <v>84</v>
      </c>
      <c r="B30" s="898" t="s">
        <v>635</v>
      </c>
      <c r="C30" s="899"/>
      <c r="D30" s="900"/>
      <c r="F30" s="156">
        <v>159.80000000000001</v>
      </c>
      <c r="G30" s="156">
        <v>421</v>
      </c>
      <c r="H30" s="157">
        <v>11285</v>
      </c>
      <c r="I30" s="158">
        <v>1194</v>
      </c>
      <c r="J30" s="157">
        <v>0</v>
      </c>
      <c r="K30" s="159">
        <f t="shared" si="0"/>
        <v>12479</v>
      </c>
    </row>
    <row r="31" spans="1:11" ht="18" customHeight="1">
      <c r="A31" s="151" t="s">
        <v>133</v>
      </c>
      <c r="B31" s="898"/>
      <c r="C31" s="899"/>
      <c r="D31" s="900"/>
      <c r="F31" s="156"/>
      <c r="G31" s="156"/>
      <c r="H31" s="157"/>
      <c r="I31" s="158">
        <f t="shared" si="1"/>
        <v>0</v>
      </c>
      <c r="J31" s="157"/>
      <c r="K31" s="159">
        <f t="shared" si="0"/>
        <v>0</v>
      </c>
    </row>
    <row r="32" spans="1:11" ht="18" customHeight="1">
      <c r="A32" s="151" t="s">
        <v>134</v>
      </c>
      <c r="B32" s="393"/>
      <c r="C32" s="394"/>
      <c r="D32" s="395"/>
      <c r="F32" s="156"/>
      <c r="G32" s="160" t="s">
        <v>85</v>
      </c>
      <c r="H32" s="157"/>
      <c r="I32" s="158">
        <f t="shared" si="1"/>
        <v>0</v>
      </c>
      <c r="J32" s="157"/>
      <c r="K32" s="159">
        <f t="shared" si="0"/>
        <v>0</v>
      </c>
    </row>
    <row r="33" spans="1:11" ht="18" customHeight="1">
      <c r="A33" s="151" t="s">
        <v>135</v>
      </c>
      <c r="B33" s="393"/>
      <c r="C33" s="394"/>
      <c r="D33" s="395"/>
      <c r="F33" s="156"/>
      <c r="G33" s="160" t="s">
        <v>85</v>
      </c>
      <c r="H33" s="157"/>
      <c r="I33" s="158">
        <f t="shared" si="1"/>
        <v>0</v>
      </c>
      <c r="J33" s="157"/>
      <c r="K33" s="159">
        <f t="shared" si="0"/>
        <v>0</v>
      </c>
    </row>
    <row r="34" spans="1:11" ht="18" customHeight="1">
      <c r="A34" s="151" t="s">
        <v>136</v>
      </c>
      <c r="B34" s="898"/>
      <c r="C34" s="899"/>
      <c r="D34" s="900"/>
      <c r="F34" s="156"/>
      <c r="G34" s="160" t="s">
        <v>85</v>
      </c>
      <c r="H34" s="157"/>
      <c r="I34" s="158">
        <f t="shared" si="1"/>
        <v>0</v>
      </c>
      <c r="J34" s="157"/>
      <c r="K34" s="159">
        <f t="shared" si="0"/>
        <v>0</v>
      </c>
    </row>
    <row r="35" spans="1:11" ht="18" customHeight="1">
      <c r="K35" s="161"/>
    </row>
    <row r="36" spans="1:11" ht="18" customHeight="1">
      <c r="A36" s="154" t="s">
        <v>137</v>
      </c>
      <c r="B36" s="150" t="s">
        <v>138</v>
      </c>
      <c r="E36" s="150" t="s">
        <v>7</v>
      </c>
      <c r="F36" s="162">
        <f t="shared" ref="F36:K36" si="2">SUM(F21:F34)</f>
        <v>2432.8900000000003</v>
      </c>
      <c r="G36" s="162">
        <f t="shared" si="2"/>
        <v>9213</v>
      </c>
      <c r="H36" s="162">
        <f t="shared" si="2"/>
        <v>158773</v>
      </c>
      <c r="I36" s="159">
        <f t="shared" si="2"/>
        <v>40081</v>
      </c>
      <c r="J36" s="159">
        <f t="shared" si="2"/>
        <v>45308</v>
      </c>
      <c r="K36" s="159">
        <f t="shared" si="2"/>
        <v>153546</v>
      </c>
    </row>
    <row r="37" spans="1:11" ht="18" customHeight="1" thickBot="1">
      <c r="B37" s="150"/>
      <c r="F37" s="163"/>
      <c r="G37" s="163"/>
      <c r="H37" s="164"/>
      <c r="I37" s="164"/>
      <c r="J37" s="164"/>
      <c r="K37" s="165"/>
    </row>
    <row r="38" spans="1:11" ht="42.75" customHeight="1">
      <c r="F38" s="153" t="s">
        <v>9</v>
      </c>
      <c r="G38" s="153" t="s">
        <v>37</v>
      </c>
      <c r="H38" s="153" t="s">
        <v>29</v>
      </c>
      <c r="I38" s="153" t="s">
        <v>30</v>
      </c>
      <c r="J38" s="153" t="s">
        <v>33</v>
      </c>
      <c r="K38" s="153" t="s">
        <v>34</v>
      </c>
    </row>
    <row r="39" spans="1:11" ht="18.75" customHeight="1">
      <c r="A39" s="154" t="s">
        <v>86</v>
      </c>
      <c r="B39" s="150" t="s">
        <v>49</v>
      </c>
    </row>
    <row r="40" spans="1:11" ht="18" customHeight="1">
      <c r="A40" s="151" t="s">
        <v>87</v>
      </c>
      <c r="B40" s="147" t="s">
        <v>31</v>
      </c>
      <c r="F40" s="156">
        <v>260.39999999999998</v>
      </c>
      <c r="G40" s="156">
        <v>17</v>
      </c>
      <c r="H40" s="157">
        <v>25421</v>
      </c>
      <c r="I40" s="158">
        <v>18303</v>
      </c>
      <c r="J40" s="157">
        <v>0</v>
      </c>
      <c r="K40" s="159">
        <f t="shared" ref="K40:K47" si="3">(H40+I40)-J40</f>
        <v>43724</v>
      </c>
    </row>
    <row r="41" spans="1:11" ht="18" customHeight="1">
      <c r="A41" s="151" t="s">
        <v>88</v>
      </c>
      <c r="B41" s="904" t="s">
        <v>50</v>
      </c>
      <c r="C41" s="907"/>
      <c r="F41" s="156">
        <v>2034.3</v>
      </c>
      <c r="G41" s="156">
        <v>210</v>
      </c>
      <c r="H41" s="157">
        <v>65934</v>
      </c>
      <c r="I41" s="158">
        <v>47473</v>
      </c>
      <c r="J41" s="157">
        <v>0</v>
      </c>
      <c r="K41" s="159">
        <f t="shared" si="3"/>
        <v>113407</v>
      </c>
    </row>
    <row r="42" spans="1:11" ht="18" customHeight="1">
      <c r="A42" s="151" t="s">
        <v>89</v>
      </c>
      <c r="B42" s="155" t="s">
        <v>11</v>
      </c>
      <c r="F42" s="156">
        <v>8673.2000000000007</v>
      </c>
      <c r="G42" s="156">
        <v>450</v>
      </c>
      <c r="H42" s="157">
        <v>330595</v>
      </c>
      <c r="I42" s="158">
        <v>237662</v>
      </c>
      <c r="J42" s="157">
        <v>0</v>
      </c>
      <c r="K42" s="159">
        <f t="shared" si="3"/>
        <v>568257</v>
      </c>
    </row>
    <row r="43" spans="1:11" ht="18" customHeight="1">
      <c r="A43" s="151" t="s">
        <v>90</v>
      </c>
      <c r="B43" s="166" t="s">
        <v>10</v>
      </c>
      <c r="C43" s="167"/>
      <c r="D43" s="167"/>
      <c r="F43" s="156">
        <v>86.5</v>
      </c>
      <c r="G43" s="156">
        <v>346</v>
      </c>
      <c r="H43" s="157">
        <v>4433</v>
      </c>
      <c r="I43" s="158">
        <v>66</v>
      </c>
      <c r="J43" s="157">
        <v>0</v>
      </c>
      <c r="K43" s="159">
        <f t="shared" si="3"/>
        <v>4499</v>
      </c>
    </row>
    <row r="44" spans="1:11" ht="18" customHeight="1">
      <c r="A44" s="151" t="s">
        <v>91</v>
      </c>
      <c r="B44" s="898"/>
      <c r="C44" s="899"/>
      <c r="D44" s="900"/>
      <c r="F44" s="168"/>
      <c r="G44" s="168"/>
      <c r="H44" s="168"/>
      <c r="I44" s="169">
        <v>0</v>
      </c>
      <c r="J44" s="168"/>
      <c r="K44" s="170">
        <f t="shared" si="3"/>
        <v>0</v>
      </c>
    </row>
    <row r="45" spans="1:11" ht="18" customHeight="1">
      <c r="A45" s="151" t="s">
        <v>139</v>
      </c>
      <c r="B45" s="898"/>
      <c r="C45" s="899"/>
      <c r="D45" s="900"/>
      <c r="F45" s="156"/>
      <c r="G45" s="156"/>
      <c r="H45" s="157"/>
      <c r="I45" s="158">
        <v>0</v>
      </c>
      <c r="J45" s="157"/>
      <c r="K45" s="159">
        <f t="shared" si="3"/>
        <v>0</v>
      </c>
    </row>
    <row r="46" spans="1:11" ht="18" customHeight="1">
      <c r="A46" s="151" t="s">
        <v>140</v>
      </c>
      <c r="B46" s="898"/>
      <c r="C46" s="899"/>
      <c r="D46" s="900"/>
      <c r="F46" s="156"/>
      <c r="G46" s="156"/>
      <c r="H46" s="157"/>
      <c r="I46" s="158">
        <v>0</v>
      </c>
      <c r="J46" s="157"/>
      <c r="K46" s="159">
        <f t="shared" si="3"/>
        <v>0</v>
      </c>
    </row>
    <row r="47" spans="1:11" ht="18" customHeight="1">
      <c r="A47" s="151" t="s">
        <v>141</v>
      </c>
      <c r="B47" s="898"/>
      <c r="C47" s="899"/>
      <c r="D47" s="900"/>
      <c r="F47" s="156"/>
      <c r="G47" s="156"/>
      <c r="H47" s="157"/>
      <c r="I47" s="158">
        <v>0</v>
      </c>
      <c r="J47" s="157"/>
      <c r="K47" s="159">
        <f t="shared" si="3"/>
        <v>0</v>
      </c>
    </row>
    <row r="49" spans="1:11" ht="18" customHeight="1">
      <c r="A49" s="154" t="s">
        <v>142</v>
      </c>
      <c r="B49" s="150" t="s">
        <v>143</v>
      </c>
      <c r="E49" s="150" t="s">
        <v>7</v>
      </c>
      <c r="F49" s="171">
        <f t="shared" ref="F49:K49" si="4">SUM(F40:F47)</f>
        <v>11054.400000000001</v>
      </c>
      <c r="G49" s="171">
        <f t="shared" si="4"/>
        <v>1023</v>
      </c>
      <c r="H49" s="159">
        <f t="shared" si="4"/>
        <v>426383</v>
      </c>
      <c r="I49" s="159">
        <f t="shared" si="4"/>
        <v>303504</v>
      </c>
      <c r="J49" s="159">
        <f t="shared" si="4"/>
        <v>0</v>
      </c>
      <c r="K49" s="159">
        <f t="shared" si="4"/>
        <v>729887</v>
      </c>
    </row>
    <row r="50" spans="1:11" ht="18" customHeight="1" thickBot="1">
      <c r="G50" s="172"/>
      <c r="H50" s="172"/>
      <c r="I50" s="172"/>
      <c r="J50" s="172"/>
      <c r="K50" s="172"/>
    </row>
    <row r="51" spans="1:11" ht="42.75" customHeight="1">
      <c r="F51" s="153" t="s">
        <v>9</v>
      </c>
      <c r="G51" s="153" t="s">
        <v>37</v>
      </c>
      <c r="H51" s="153" t="s">
        <v>29</v>
      </c>
      <c r="I51" s="153" t="s">
        <v>30</v>
      </c>
      <c r="J51" s="153" t="s">
        <v>33</v>
      </c>
      <c r="K51" s="153" t="s">
        <v>34</v>
      </c>
    </row>
    <row r="52" spans="1:11" ht="18" customHeight="1">
      <c r="A52" s="154" t="s">
        <v>92</v>
      </c>
      <c r="B52" s="905" t="s">
        <v>38</v>
      </c>
      <c r="C52" s="906"/>
    </row>
    <row r="53" spans="1:11" ht="18" customHeight="1">
      <c r="A53" s="151" t="s">
        <v>51</v>
      </c>
      <c r="B53" s="908"/>
      <c r="C53" s="909"/>
      <c r="D53" s="903"/>
      <c r="F53" s="156"/>
      <c r="G53" s="156"/>
      <c r="H53" s="157"/>
      <c r="I53" s="158">
        <v>0</v>
      </c>
      <c r="J53" s="157"/>
      <c r="K53" s="159">
        <f t="shared" ref="K53:K62" si="5">(H53+I53)-J53</f>
        <v>0</v>
      </c>
    </row>
    <row r="54" spans="1:11" ht="18" customHeight="1">
      <c r="A54" s="151" t="s">
        <v>93</v>
      </c>
      <c r="B54" s="396"/>
      <c r="C54" s="397"/>
      <c r="D54" s="392"/>
      <c r="F54" s="156"/>
      <c r="G54" s="156"/>
      <c r="H54" s="157"/>
      <c r="I54" s="158">
        <v>0</v>
      </c>
      <c r="J54" s="157"/>
      <c r="K54" s="159">
        <f t="shared" si="5"/>
        <v>0</v>
      </c>
    </row>
    <row r="55" spans="1:11" ht="18" customHeight="1">
      <c r="A55" s="151" t="s">
        <v>94</v>
      </c>
      <c r="B55" s="1092" t="s">
        <v>810</v>
      </c>
      <c r="C55" s="902"/>
      <c r="D55" s="903"/>
      <c r="F55" s="156">
        <v>50</v>
      </c>
      <c r="G55" s="156">
        <v>25</v>
      </c>
      <c r="H55" s="157">
        <v>10542018</v>
      </c>
      <c r="I55" s="158">
        <v>9033</v>
      </c>
      <c r="J55" s="157">
        <v>5908960</v>
      </c>
      <c r="K55" s="159">
        <f t="shared" si="5"/>
        <v>4642091</v>
      </c>
    </row>
    <row r="56" spans="1:11" ht="18" customHeight="1">
      <c r="A56" s="151" t="s">
        <v>95</v>
      </c>
      <c r="B56" s="901"/>
      <c r="C56" s="902"/>
      <c r="D56" s="903"/>
      <c r="F56" s="156"/>
      <c r="G56" s="156"/>
      <c r="H56" s="157"/>
      <c r="I56" s="158">
        <v>0</v>
      </c>
      <c r="J56" s="157"/>
      <c r="K56" s="159">
        <f t="shared" si="5"/>
        <v>0</v>
      </c>
    </row>
    <row r="57" spans="1:11" ht="18" customHeight="1">
      <c r="A57" s="151" t="s">
        <v>96</v>
      </c>
      <c r="B57" s="1092" t="s">
        <v>509</v>
      </c>
      <c r="C57" s="902"/>
      <c r="D57" s="903"/>
      <c r="F57" s="156">
        <v>2080</v>
      </c>
      <c r="G57" s="156">
        <v>0</v>
      </c>
      <c r="H57" s="157">
        <v>51661</v>
      </c>
      <c r="I57" s="158">
        <v>0</v>
      </c>
      <c r="J57" s="157">
        <v>0</v>
      </c>
      <c r="K57" s="159">
        <f t="shared" si="5"/>
        <v>51661</v>
      </c>
    </row>
    <row r="58" spans="1:11" ht="18" customHeight="1">
      <c r="A58" s="151" t="s">
        <v>97</v>
      </c>
      <c r="B58" s="396"/>
      <c r="C58" s="397"/>
      <c r="D58" s="392"/>
      <c r="F58" s="156"/>
      <c r="G58" s="156"/>
      <c r="H58" s="157"/>
      <c r="I58" s="158">
        <v>0</v>
      </c>
      <c r="J58" s="157"/>
      <c r="K58" s="159">
        <f t="shared" si="5"/>
        <v>0</v>
      </c>
    </row>
    <row r="59" spans="1:11" ht="18" customHeight="1">
      <c r="A59" s="151" t="s">
        <v>98</v>
      </c>
      <c r="B59" s="1092" t="s">
        <v>500</v>
      </c>
      <c r="C59" s="902"/>
      <c r="D59" s="903"/>
      <c r="F59" s="156">
        <v>19528</v>
      </c>
      <c r="G59" s="156">
        <v>99</v>
      </c>
      <c r="H59" s="157">
        <v>725180</v>
      </c>
      <c r="I59" s="158">
        <v>0</v>
      </c>
      <c r="J59" s="157">
        <v>526092</v>
      </c>
      <c r="K59" s="159">
        <f t="shared" si="5"/>
        <v>199088</v>
      </c>
    </row>
    <row r="60" spans="1:11" ht="18" customHeight="1">
      <c r="A60" s="151" t="s">
        <v>99</v>
      </c>
      <c r="B60" s="396"/>
      <c r="C60" s="397"/>
      <c r="D60" s="392"/>
      <c r="F60" s="156"/>
      <c r="G60" s="156"/>
      <c r="H60" s="157"/>
      <c r="I60" s="158">
        <v>0</v>
      </c>
      <c r="J60" s="157"/>
      <c r="K60" s="159">
        <f t="shared" si="5"/>
        <v>0</v>
      </c>
    </row>
    <row r="61" spans="1:11" ht="18" customHeight="1">
      <c r="A61" s="151" t="s">
        <v>100</v>
      </c>
      <c r="B61" s="398" t="s">
        <v>636</v>
      </c>
      <c r="C61" s="397"/>
      <c r="D61" s="392"/>
      <c r="F61" s="156">
        <v>0</v>
      </c>
      <c r="G61" s="156">
        <v>22</v>
      </c>
      <c r="H61" s="157">
        <v>50553</v>
      </c>
      <c r="I61" s="158">
        <v>0</v>
      </c>
      <c r="J61" s="157">
        <v>0</v>
      </c>
      <c r="K61" s="159">
        <f t="shared" si="5"/>
        <v>50553</v>
      </c>
    </row>
    <row r="62" spans="1:11" ht="18" customHeight="1">
      <c r="A62" s="151" t="s">
        <v>101</v>
      </c>
      <c r="B62" s="901"/>
      <c r="C62" s="902"/>
      <c r="D62" s="903"/>
      <c r="F62" s="156"/>
      <c r="G62" s="156"/>
      <c r="H62" s="157"/>
      <c r="I62" s="158">
        <v>0</v>
      </c>
      <c r="J62" s="157"/>
      <c r="K62" s="159">
        <f t="shared" si="5"/>
        <v>0</v>
      </c>
    </row>
    <row r="63" spans="1:11" ht="18" customHeight="1">
      <c r="A63" s="151"/>
      <c r="I63" s="173"/>
    </row>
    <row r="64" spans="1:11" ht="18" customHeight="1">
      <c r="A64" s="151" t="s">
        <v>144</v>
      </c>
      <c r="B64" s="150" t="s">
        <v>145</v>
      </c>
      <c r="E64" s="150" t="s">
        <v>7</v>
      </c>
      <c r="F64" s="162">
        <f t="shared" ref="F64:K64" si="6">SUM(F53:F62)</f>
        <v>21658</v>
      </c>
      <c r="G64" s="162">
        <f t="shared" si="6"/>
        <v>146</v>
      </c>
      <c r="H64" s="159">
        <f t="shared" si="6"/>
        <v>11369412</v>
      </c>
      <c r="I64" s="159">
        <f t="shared" si="6"/>
        <v>9033</v>
      </c>
      <c r="J64" s="159">
        <f t="shared" si="6"/>
        <v>6435052</v>
      </c>
      <c r="K64" s="159">
        <f t="shared" si="6"/>
        <v>4943393</v>
      </c>
    </row>
    <row r="65" spans="1:11" ht="18" customHeight="1">
      <c r="F65" s="174"/>
      <c r="G65" s="174"/>
      <c r="H65" s="174"/>
      <c r="I65" s="174"/>
      <c r="J65" s="174"/>
      <c r="K65" s="174"/>
    </row>
    <row r="66" spans="1:11" ht="42.75" customHeight="1">
      <c r="F66" s="175" t="s">
        <v>9</v>
      </c>
      <c r="G66" s="175" t="s">
        <v>37</v>
      </c>
      <c r="H66" s="175" t="s">
        <v>29</v>
      </c>
      <c r="I66" s="175" t="s">
        <v>30</v>
      </c>
      <c r="J66" s="175" t="s">
        <v>33</v>
      </c>
      <c r="K66" s="175" t="s">
        <v>34</v>
      </c>
    </row>
    <row r="67" spans="1:11" ht="18" customHeight="1">
      <c r="A67" s="154" t="s">
        <v>102</v>
      </c>
      <c r="B67" s="150" t="s">
        <v>12</v>
      </c>
      <c r="F67" s="176"/>
      <c r="G67" s="176"/>
      <c r="H67" s="176"/>
      <c r="I67" s="177"/>
      <c r="J67" s="176"/>
      <c r="K67" s="178"/>
    </row>
    <row r="68" spans="1:11" ht="18" customHeight="1">
      <c r="A68" s="151" t="s">
        <v>103</v>
      </c>
      <c r="B68" s="147" t="s">
        <v>52</v>
      </c>
      <c r="F68" s="179">
        <v>0</v>
      </c>
      <c r="G68" s="179">
        <v>0</v>
      </c>
      <c r="H68" s="179">
        <v>7568</v>
      </c>
      <c r="I68" s="158">
        <v>0</v>
      </c>
      <c r="J68" s="179">
        <v>0</v>
      </c>
      <c r="K68" s="159">
        <f>(H68+I68)-J68</f>
        <v>7568</v>
      </c>
    </row>
    <row r="69" spans="1:11" ht="18" customHeight="1">
      <c r="A69" s="151" t="s">
        <v>104</v>
      </c>
      <c r="B69" s="155" t="s">
        <v>53</v>
      </c>
      <c r="F69" s="179">
        <v>0</v>
      </c>
      <c r="G69" s="179">
        <v>0</v>
      </c>
      <c r="H69" s="179">
        <v>0</v>
      </c>
      <c r="I69" s="158">
        <v>0</v>
      </c>
      <c r="J69" s="179">
        <v>0</v>
      </c>
      <c r="K69" s="159">
        <f>(H69+I69)-J69</f>
        <v>0</v>
      </c>
    </row>
    <row r="70" spans="1:11" ht="18" customHeight="1">
      <c r="A70" s="151" t="s">
        <v>178</v>
      </c>
      <c r="B70" s="396"/>
      <c r="C70" s="397"/>
      <c r="D70" s="392"/>
      <c r="E70" s="150"/>
      <c r="F70" s="180"/>
      <c r="G70" s="180"/>
      <c r="H70" s="181"/>
      <c r="I70" s="158">
        <v>0</v>
      </c>
      <c r="J70" s="181"/>
      <c r="K70" s="159">
        <f>(H70+I70)-J70</f>
        <v>0</v>
      </c>
    </row>
    <row r="71" spans="1:11" ht="18" customHeight="1">
      <c r="A71" s="151" t="s">
        <v>179</v>
      </c>
      <c r="B71" s="396"/>
      <c r="C71" s="397"/>
      <c r="D71" s="392"/>
      <c r="E71" s="150"/>
      <c r="F71" s="180"/>
      <c r="G71" s="180"/>
      <c r="H71" s="181"/>
      <c r="I71" s="158">
        <v>0</v>
      </c>
      <c r="J71" s="181"/>
      <c r="K71" s="159">
        <f>(H71+I71)-J71</f>
        <v>0</v>
      </c>
    </row>
    <row r="72" spans="1:11" ht="18" customHeight="1">
      <c r="A72" s="151" t="s">
        <v>180</v>
      </c>
      <c r="B72" s="390"/>
      <c r="C72" s="391"/>
      <c r="D72" s="182"/>
      <c r="E72" s="150"/>
      <c r="F72" s="156"/>
      <c r="G72" s="156"/>
      <c r="H72" s="157"/>
      <c r="I72" s="158">
        <v>0</v>
      </c>
      <c r="J72" s="157"/>
      <c r="K72" s="159">
        <f>(H72+I72)-J72</f>
        <v>0</v>
      </c>
    </row>
    <row r="73" spans="1:11" ht="18" customHeight="1">
      <c r="A73" s="151"/>
      <c r="B73" s="155"/>
      <c r="E73" s="150"/>
      <c r="F73" s="183"/>
      <c r="G73" s="183"/>
      <c r="H73" s="184"/>
      <c r="I73" s="177"/>
      <c r="J73" s="184"/>
      <c r="K73" s="178"/>
    </row>
    <row r="74" spans="1:11" ht="18" customHeight="1">
      <c r="A74" s="154" t="s">
        <v>146</v>
      </c>
      <c r="B74" s="150" t="s">
        <v>147</v>
      </c>
      <c r="E74" s="150" t="s">
        <v>7</v>
      </c>
      <c r="F74" s="185">
        <f t="shared" ref="F74:K74" si="7">SUM(F68:F72)</f>
        <v>0</v>
      </c>
      <c r="G74" s="185">
        <f t="shared" si="7"/>
        <v>0</v>
      </c>
      <c r="H74" s="185">
        <f t="shared" si="7"/>
        <v>7568</v>
      </c>
      <c r="I74" s="186">
        <f t="shared" si="7"/>
        <v>0</v>
      </c>
      <c r="J74" s="185">
        <f t="shared" si="7"/>
        <v>0</v>
      </c>
      <c r="K74" s="187">
        <f t="shared" si="7"/>
        <v>7568</v>
      </c>
    </row>
    <row r="75" spans="1:11" ht="42.75" customHeight="1">
      <c r="F75" s="153" t="s">
        <v>9</v>
      </c>
      <c r="G75" s="153" t="s">
        <v>37</v>
      </c>
      <c r="H75" s="153" t="s">
        <v>29</v>
      </c>
      <c r="I75" s="153" t="s">
        <v>30</v>
      </c>
      <c r="J75" s="153" t="s">
        <v>33</v>
      </c>
      <c r="K75" s="153" t="s">
        <v>34</v>
      </c>
    </row>
    <row r="76" spans="1:11" ht="18" customHeight="1">
      <c r="A76" s="154" t="s">
        <v>105</v>
      </c>
      <c r="B76" s="150" t="s">
        <v>106</v>
      </c>
    </row>
    <row r="77" spans="1:11" ht="18" customHeight="1">
      <c r="A77" s="151" t="s">
        <v>107</v>
      </c>
      <c r="B77" s="155" t="s">
        <v>54</v>
      </c>
      <c r="F77" s="156">
        <v>0</v>
      </c>
      <c r="G77" s="156">
        <v>0</v>
      </c>
      <c r="H77" s="157">
        <v>0</v>
      </c>
      <c r="I77" s="158">
        <v>0</v>
      </c>
      <c r="J77" s="157">
        <v>0</v>
      </c>
      <c r="K77" s="159">
        <f>(H77+I77)-J77</f>
        <v>0</v>
      </c>
    </row>
    <row r="78" spans="1:11" ht="18" customHeight="1">
      <c r="A78" s="151" t="s">
        <v>108</v>
      </c>
      <c r="B78" s="155" t="s">
        <v>55</v>
      </c>
      <c r="F78" s="156">
        <v>0</v>
      </c>
      <c r="G78" s="156">
        <v>0</v>
      </c>
      <c r="H78" s="157">
        <v>0</v>
      </c>
      <c r="I78" s="158">
        <v>0</v>
      </c>
      <c r="J78" s="157">
        <v>0</v>
      </c>
      <c r="K78" s="159">
        <f>(H78+I78)-J78</f>
        <v>0</v>
      </c>
    </row>
    <row r="79" spans="1:11" ht="18" customHeight="1">
      <c r="A79" s="151" t="s">
        <v>109</v>
      </c>
      <c r="B79" s="155" t="s">
        <v>13</v>
      </c>
      <c r="F79" s="156">
        <v>3279</v>
      </c>
      <c r="G79" s="156">
        <v>39187</v>
      </c>
      <c r="H79" s="157">
        <v>320896</v>
      </c>
      <c r="I79" s="158">
        <v>12603</v>
      </c>
      <c r="J79" s="157">
        <v>154823</v>
      </c>
      <c r="K79" s="159">
        <f>(H79+I79)-J79</f>
        <v>178676</v>
      </c>
    </row>
    <row r="80" spans="1:11" ht="18" customHeight="1">
      <c r="A80" s="151" t="s">
        <v>110</v>
      </c>
      <c r="B80" s="155" t="s">
        <v>56</v>
      </c>
      <c r="F80" s="156">
        <v>10</v>
      </c>
      <c r="G80" s="156">
        <v>59</v>
      </c>
      <c r="H80" s="157">
        <v>888</v>
      </c>
      <c r="I80" s="158">
        <v>50</v>
      </c>
      <c r="J80" s="157">
        <v>0</v>
      </c>
      <c r="K80" s="159">
        <f>(H80+I80)-J80</f>
        <v>938</v>
      </c>
    </row>
    <row r="81" spans="1:11" ht="18" customHeight="1">
      <c r="A81" s="151"/>
      <c r="K81" s="188"/>
    </row>
    <row r="82" spans="1:11" ht="18" customHeight="1">
      <c r="A82" s="151" t="s">
        <v>148</v>
      </c>
      <c r="B82" s="150" t="s">
        <v>149</v>
      </c>
      <c r="E82" s="150" t="s">
        <v>7</v>
      </c>
      <c r="F82" s="185">
        <f t="shared" ref="F82:K82" si="8">SUM(F77:F80)</f>
        <v>3289</v>
      </c>
      <c r="G82" s="185">
        <f t="shared" si="8"/>
        <v>39246</v>
      </c>
      <c r="H82" s="187">
        <f t="shared" si="8"/>
        <v>321784</v>
      </c>
      <c r="I82" s="187">
        <f t="shared" si="8"/>
        <v>12653</v>
      </c>
      <c r="J82" s="187">
        <f t="shared" si="8"/>
        <v>154823</v>
      </c>
      <c r="K82" s="187">
        <f t="shared" si="8"/>
        <v>179614</v>
      </c>
    </row>
    <row r="83" spans="1:11" ht="18" customHeight="1" thickBot="1">
      <c r="A83" s="151"/>
      <c r="F83" s="172"/>
      <c r="G83" s="172"/>
      <c r="H83" s="172"/>
      <c r="I83" s="172"/>
      <c r="J83" s="172"/>
      <c r="K83" s="172"/>
    </row>
    <row r="84" spans="1:11" ht="42.75" customHeight="1">
      <c r="F84" s="153" t="s">
        <v>9</v>
      </c>
      <c r="G84" s="153" t="s">
        <v>37</v>
      </c>
      <c r="H84" s="153" t="s">
        <v>29</v>
      </c>
      <c r="I84" s="153" t="s">
        <v>30</v>
      </c>
      <c r="J84" s="153" t="s">
        <v>33</v>
      </c>
      <c r="K84" s="153" t="s">
        <v>34</v>
      </c>
    </row>
    <row r="85" spans="1:11" ht="18" customHeight="1">
      <c r="A85" s="154" t="s">
        <v>111</v>
      </c>
      <c r="B85" s="150" t="s">
        <v>57</v>
      </c>
    </row>
    <row r="86" spans="1:11" ht="18" customHeight="1">
      <c r="A86" s="151" t="s">
        <v>112</v>
      </c>
      <c r="B86" s="155" t="s">
        <v>113</v>
      </c>
      <c r="F86" s="156">
        <v>0</v>
      </c>
      <c r="G86" s="156">
        <v>0</v>
      </c>
      <c r="H86" s="157">
        <v>0</v>
      </c>
      <c r="I86" s="158">
        <f t="shared" ref="I86:I96" si="9">H86*F$114</f>
        <v>0</v>
      </c>
      <c r="J86" s="157">
        <v>0</v>
      </c>
      <c r="K86" s="159">
        <f t="shared" ref="K86:K96" si="10">(H86+I86)-J86</f>
        <v>0</v>
      </c>
    </row>
    <row r="87" spans="1:11" ht="18" customHeight="1">
      <c r="A87" s="151" t="s">
        <v>114</v>
      </c>
      <c r="B87" s="155" t="s">
        <v>14</v>
      </c>
      <c r="F87" s="156">
        <v>82</v>
      </c>
      <c r="G87" s="156">
        <v>450</v>
      </c>
      <c r="H87" s="157">
        <v>18114</v>
      </c>
      <c r="I87" s="158">
        <v>0</v>
      </c>
      <c r="J87" s="157">
        <v>0</v>
      </c>
      <c r="K87" s="159">
        <f t="shared" si="10"/>
        <v>18114</v>
      </c>
    </row>
    <row r="88" spans="1:11" ht="18" customHeight="1">
      <c r="A88" s="151" t="s">
        <v>115</v>
      </c>
      <c r="B88" s="155" t="s">
        <v>116</v>
      </c>
      <c r="F88" s="156">
        <v>103.5</v>
      </c>
      <c r="G88" s="156">
        <v>115</v>
      </c>
      <c r="H88" s="157">
        <v>11173</v>
      </c>
      <c r="I88" s="158">
        <v>2413</v>
      </c>
      <c r="J88" s="157">
        <v>0</v>
      </c>
      <c r="K88" s="159">
        <f t="shared" si="10"/>
        <v>13586</v>
      </c>
    </row>
    <row r="89" spans="1:11" ht="18" customHeight="1">
      <c r="A89" s="151" t="s">
        <v>117</v>
      </c>
      <c r="B89" s="155" t="s">
        <v>58</v>
      </c>
      <c r="F89" s="156">
        <v>0</v>
      </c>
      <c r="G89" s="156">
        <v>0</v>
      </c>
      <c r="H89" s="157">
        <v>0</v>
      </c>
      <c r="I89" s="158">
        <f t="shared" si="9"/>
        <v>0</v>
      </c>
      <c r="J89" s="157">
        <v>0</v>
      </c>
      <c r="K89" s="159">
        <f t="shared" si="10"/>
        <v>0</v>
      </c>
    </row>
    <row r="90" spans="1:11" ht="18" customHeight="1">
      <c r="A90" s="151" t="s">
        <v>118</v>
      </c>
      <c r="B90" s="904" t="s">
        <v>59</v>
      </c>
      <c r="C90" s="907"/>
      <c r="F90" s="156">
        <v>0</v>
      </c>
      <c r="G90" s="156">
        <v>0</v>
      </c>
      <c r="H90" s="157">
        <v>0</v>
      </c>
      <c r="I90" s="158">
        <f t="shared" si="9"/>
        <v>0</v>
      </c>
      <c r="J90" s="157">
        <v>0</v>
      </c>
      <c r="K90" s="159">
        <f t="shared" si="10"/>
        <v>0</v>
      </c>
    </row>
    <row r="91" spans="1:11" ht="18" customHeight="1">
      <c r="A91" s="151" t="s">
        <v>119</v>
      </c>
      <c r="B91" s="155" t="s">
        <v>60</v>
      </c>
      <c r="F91" s="156">
        <v>0</v>
      </c>
      <c r="G91" s="156">
        <v>0</v>
      </c>
      <c r="H91" s="157">
        <v>0</v>
      </c>
      <c r="I91" s="158">
        <f t="shared" si="9"/>
        <v>0</v>
      </c>
      <c r="J91" s="157">
        <v>0</v>
      </c>
      <c r="K91" s="159">
        <f t="shared" si="10"/>
        <v>0</v>
      </c>
    </row>
    <row r="92" spans="1:11" ht="18" customHeight="1">
      <c r="A92" s="151" t="s">
        <v>120</v>
      </c>
      <c r="B92" s="155" t="s">
        <v>121</v>
      </c>
      <c r="F92" s="189">
        <v>0</v>
      </c>
      <c r="G92" s="189">
        <v>0</v>
      </c>
      <c r="H92" s="190">
        <v>0</v>
      </c>
      <c r="I92" s="158">
        <f t="shared" si="9"/>
        <v>0</v>
      </c>
      <c r="J92" s="190">
        <v>0</v>
      </c>
      <c r="K92" s="159">
        <f t="shared" si="10"/>
        <v>0</v>
      </c>
    </row>
    <row r="93" spans="1:11" ht="18" customHeight="1">
      <c r="A93" s="151" t="s">
        <v>122</v>
      </c>
      <c r="B93" s="155" t="s">
        <v>123</v>
      </c>
      <c r="F93" s="156">
        <v>1295.5</v>
      </c>
      <c r="G93" s="156">
        <v>232</v>
      </c>
      <c r="H93" s="157">
        <v>164265</v>
      </c>
      <c r="I93" s="158">
        <v>16574</v>
      </c>
      <c r="J93" s="157">
        <v>0</v>
      </c>
      <c r="K93" s="159">
        <f t="shared" si="10"/>
        <v>180839</v>
      </c>
    </row>
    <row r="94" spans="1:11" ht="18" customHeight="1">
      <c r="A94" s="151" t="s">
        <v>124</v>
      </c>
      <c r="B94" s="901"/>
      <c r="C94" s="902"/>
      <c r="D94" s="903"/>
      <c r="F94" s="156"/>
      <c r="G94" s="156"/>
      <c r="H94" s="157"/>
      <c r="I94" s="158">
        <f t="shared" si="9"/>
        <v>0</v>
      </c>
      <c r="J94" s="157"/>
      <c r="K94" s="159">
        <f t="shared" si="10"/>
        <v>0</v>
      </c>
    </row>
    <row r="95" spans="1:11" ht="18" customHeight="1">
      <c r="A95" s="151" t="s">
        <v>125</v>
      </c>
      <c r="B95" s="901"/>
      <c r="C95" s="902"/>
      <c r="D95" s="903"/>
      <c r="F95" s="156"/>
      <c r="G95" s="156"/>
      <c r="H95" s="157"/>
      <c r="I95" s="158">
        <f t="shared" si="9"/>
        <v>0</v>
      </c>
      <c r="J95" s="157"/>
      <c r="K95" s="159">
        <f t="shared" si="10"/>
        <v>0</v>
      </c>
    </row>
    <row r="96" spans="1:11" ht="18" customHeight="1">
      <c r="A96" s="151" t="s">
        <v>126</v>
      </c>
      <c r="B96" s="901"/>
      <c r="C96" s="902"/>
      <c r="D96" s="903"/>
      <c r="F96" s="156"/>
      <c r="G96" s="156"/>
      <c r="H96" s="157"/>
      <c r="I96" s="158">
        <f t="shared" si="9"/>
        <v>0</v>
      </c>
      <c r="J96" s="157"/>
      <c r="K96" s="159">
        <f t="shared" si="10"/>
        <v>0</v>
      </c>
    </row>
    <row r="97" spans="1:11" ht="18" customHeight="1">
      <c r="A97" s="151"/>
      <c r="B97" s="155"/>
    </row>
    <row r="98" spans="1:11" ht="18" customHeight="1">
      <c r="A98" s="154" t="s">
        <v>150</v>
      </c>
      <c r="B98" s="150" t="s">
        <v>151</v>
      </c>
      <c r="E98" s="150" t="s">
        <v>7</v>
      </c>
      <c r="F98" s="162">
        <f t="shared" ref="F98:K98" si="11">SUM(F86:F96)</f>
        <v>1481</v>
      </c>
      <c r="G98" s="162">
        <f t="shared" si="11"/>
        <v>797</v>
      </c>
      <c r="H98" s="162">
        <f t="shared" si="11"/>
        <v>193552</v>
      </c>
      <c r="I98" s="162">
        <f t="shared" si="11"/>
        <v>18987</v>
      </c>
      <c r="J98" s="162">
        <f t="shared" si="11"/>
        <v>0</v>
      </c>
      <c r="K98" s="162">
        <f t="shared" si="11"/>
        <v>212539</v>
      </c>
    </row>
    <row r="99" spans="1:11" ht="18" customHeight="1" thickBot="1">
      <c r="B99" s="150"/>
      <c r="F99" s="172"/>
      <c r="G99" s="172"/>
      <c r="H99" s="172"/>
      <c r="I99" s="172"/>
      <c r="J99" s="172"/>
      <c r="K99" s="172"/>
    </row>
    <row r="100" spans="1:11" ht="42.75" customHeight="1">
      <c r="F100" s="153" t="s">
        <v>9</v>
      </c>
      <c r="G100" s="153" t="s">
        <v>37</v>
      </c>
      <c r="H100" s="153" t="s">
        <v>29</v>
      </c>
      <c r="I100" s="153" t="s">
        <v>30</v>
      </c>
      <c r="J100" s="153" t="s">
        <v>33</v>
      </c>
      <c r="K100" s="153" t="s">
        <v>34</v>
      </c>
    </row>
    <row r="101" spans="1:11" ht="18" customHeight="1">
      <c r="A101" s="154" t="s">
        <v>130</v>
      </c>
      <c r="B101" s="150" t="s">
        <v>63</v>
      </c>
    </row>
    <row r="102" spans="1:11" ht="18" customHeight="1">
      <c r="A102" s="151" t="s">
        <v>131</v>
      </c>
      <c r="B102" s="155" t="s">
        <v>152</v>
      </c>
      <c r="F102" s="156">
        <v>2172</v>
      </c>
      <c r="G102" s="156">
        <v>0</v>
      </c>
      <c r="H102" s="157">
        <v>73359</v>
      </c>
      <c r="I102" s="158">
        <v>0</v>
      </c>
      <c r="J102" s="157">
        <v>0</v>
      </c>
      <c r="K102" s="159">
        <f>(H102+I102)-J102</f>
        <v>73359</v>
      </c>
    </row>
    <row r="103" spans="1:11" ht="18" customHeight="1">
      <c r="A103" s="151" t="s">
        <v>132</v>
      </c>
      <c r="B103" s="904" t="s">
        <v>62</v>
      </c>
      <c r="C103" s="904"/>
      <c r="F103" s="156">
        <v>2</v>
      </c>
      <c r="G103" s="156">
        <v>74</v>
      </c>
      <c r="H103" s="157">
        <v>107</v>
      </c>
      <c r="I103" s="158">
        <v>0</v>
      </c>
      <c r="J103" s="157">
        <v>0</v>
      </c>
      <c r="K103" s="159">
        <f>(H103+I103)-J103</f>
        <v>107</v>
      </c>
    </row>
    <row r="104" spans="1:11" ht="18" customHeight="1">
      <c r="A104" s="151" t="s">
        <v>128</v>
      </c>
      <c r="B104" s="901" t="s">
        <v>496</v>
      </c>
      <c r="C104" s="902"/>
      <c r="D104" s="903"/>
      <c r="F104" s="156">
        <v>14.5</v>
      </c>
      <c r="G104" s="156">
        <v>103</v>
      </c>
      <c r="H104" s="157">
        <v>14286</v>
      </c>
      <c r="I104" s="158">
        <v>199</v>
      </c>
      <c r="J104" s="157">
        <v>1000</v>
      </c>
      <c r="K104" s="159">
        <f>(H104+I104)-J104</f>
        <v>13485</v>
      </c>
    </row>
    <row r="105" spans="1:11" ht="18" customHeight="1">
      <c r="A105" s="151" t="s">
        <v>127</v>
      </c>
      <c r="B105" s="901"/>
      <c r="C105" s="902"/>
      <c r="D105" s="903"/>
      <c r="F105" s="156"/>
      <c r="G105" s="156"/>
      <c r="H105" s="157"/>
      <c r="I105" s="158">
        <f>H105*F$114</f>
        <v>0</v>
      </c>
      <c r="J105" s="157"/>
      <c r="K105" s="159">
        <f>(H105+I105)-J105</f>
        <v>0</v>
      </c>
    </row>
    <row r="106" spans="1:11" ht="18" customHeight="1">
      <c r="A106" s="151" t="s">
        <v>129</v>
      </c>
      <c r="B106" s="901"/>
      <c r="C106" s="902"/>
      <c r="D106" s="903"/>
      <c r="F106" s="156"/>
      <c r="G106" s="156"/>
      <c r="H106" s="157"/>
      <c r="I106" s="158">
        <f>H106*F$114</f>
        <v>0</v>
      </c>
      <c r="J106" s="157"/>
      <c r="K106" s="159">
        <f>(H106+I106)-J106</f>
        <v>0</v>
      </c>
    </row>
    <row r="107" spans="1:11" ht="18" customHeight="1">
      <c r="B107" s="150"/>
    </row>
    <row r="108" spans="1:11" s="167" customFormat="1" ht="18" customHeight="1">
      <c r="A108" s="154" t="s">
        <v>153</v>
      </c>
      <c r="B108" s="191" t="s">
        <v>154</v>
      </c>
      <c r="C108" s="147"/>
      <c r="D108" s="147"/>
      <c r="E108" s="150" t="s">
        <v>7</v>
      </c>
      <c r="F108" s="162">
        <f t="shared" ref="F108:K108" si="12">SUM(F102:F106)</f>
        <v>2188.5</v>
      </c>
      <c r="G108" s="162">
        <f t="shared" si="12"/>
        <v>177</v>
      </c>
      <c r="H108" s="159">
        <f t="shared" si="12"/>
        <v>87752</v>
      </c>
      <c r="I108" s="159">
        <f t="shared" si="12"/>
        <v>199</v>
      </c>
      <c r="J108" s="159">
        <f t="shared" si="12"/>
        <v>1000</v>
      </c>
      <c r="K108" s="159">
        <f t="shared" si="12"/>
        <v>86951</v>
      </c>
    </row>
    <row r="109" spans="1:11" s="167" customFormat="1" ht="18" customHeight="1" thickBot="1">
      <c r="A109" s="192"/>
      <c r="B109" s="193"/>
      <c r="C109" s="194"/>
      <c r="D109" s="194"/>
      <c r="E109" s="194"/>
      <c r="F109" s="172"/>
      <c r="G109" s="172"/>
      <c r="H109" s="172"/>
      <c r="I109" s="172"/>
      <c r="J109" s="172"/>
      <c r="K109" s="172"/>
    </row>
    <row r="110" spans="1:11" s="167" customFormat="1" ht="18" customHeight="1">
      <c r="A110" s="154" t="s">
        <v>156</v>
      </c>
      <c r="B110" s="150" t="s">
        <v>39</v>
      </c>
      <c r="C110" s="147"/>
      <c r="D110" s="147"/>
      <c r="E110" s="147"/>
      <c r="F110" s="147"/>
      <c r="G110" s="147"/>
      <c r="H110" s="147"/>
      <c r="I110" s="147"/>
      <c r="J110" s="147"/>
      <c r="K110" s="147"/>
    </row>
    <row r="111" spans="1:11" ht="18" customHeight="1">
      <c r="A111" s="154" t="s">
        <v>155</v>
      </c>
      <c r="B111" s="150" t="s">
        <v>164</v>
      </c>
      <c r="E111" s="150" t="s">
        <v>7</v>
      </c>
      <c r="F111" s="157">
        <v>833308</v>
      </c>
    </row>
    <row r="112" spans="1:11" ht="18" customHeight="1">
      <c r="B112" s="150"/>
      <c r="E112" s="150"/>
      <c r="F112" s="195"/>
    </row>
    <row r="113" spans="1:6" ht="18" customHeight="1">
      <c r="A113" s="154"/>
      <c r="B113" s="150" t="s">
        <v>15</v>
      </c>
    </row>
    <row r="114" spans="1:6" ht="18" customHeight="1">
      <c r="A114" s="151" t="s">
        <v>171</v>
      </c>
      <c r="B114" s="155" t="s">
        <v>35</v>
      </c>
      <c r="F114" s="196">
        <v>0.72</v>
      </c>
    </row>
    <row r="115" spans="1:6" ht="18" customHeight="1">
      <c r="A115" s="151"/>
      <c r="B115" s="150"/>
    </row>
    <row r="116" spans="1:6" ht="18" customHeight="1">
      <c r="A116" s="151" t="s">
        <v>170</v>
      </c>
      <c r="B116" s="150" t="s">
        <v>16</v>
      </c>
    </row>
    <row r="117" spans="1:6" ht="18" customHeight="1">
      <c r="A117" s="151" t="s">
        <v>172</v>
      </c>
      <c r="B117" s="155" t="s">
        <v>17</v>
      </c>
      <c r="F117" s="157">
        <v>156617198</v>
      </c>
    </row>
    <row r="118" spans="1:6" ht="18" customHeight="1">
      <c r="A118" s="151" t="s">
        <v>173</v>
      </c>
      <c r="B118" s="147" t="s">
        <v>18</v>
      </c>
      <c r="F118" s="157">
        <v>3604062</v>
      </c>
    </row>
    <row r="119" spans="1:6" ht="18" customHeight="1">
      <c r="A119" s="151" t="s">
        <v>174</v>
      </c>
      <c r="B119" s="150" t="s">
        <v>19</v>
      </c>
      <c r="F119" s="187">
        <f>SUM(F117:F118)</f>
        <v>160221260</v>
      </c>
    </row>
    <row r="120" spans="1:6" ht="18" customHeight="1">
      <c r="A120" s="151"/>
      <c r="B120" s="150"/>
    </row>
    <row r="121" spans="1:6" ht="18" customHeight="1">
      <c r="A121" s="151" t="s">
        <v>167</v>
      </c>
      <c r="B121" s="150" t="s">
        <v>36</v>
      </c>
      <c r="F121" s="157">
        <v>150962001</v>
      </c>
    </row>
    <row r="122" spans="1:6" ht="18" customHeight="1">
      <c r="A122" s="151"/>
    </row>
    <row r="123" spans="1:6" ht="18" customHeight="1">
      <c r="A123" s="151" t="s">
        <v>175</v>
      </c>
      <c r="B123" s="150" t="s">
        <v>20</v>
      </c>
      <c r="F123" s="157">
        <v>2628235</v>
      </c>
    </row>
    <row r="124" spans="1:6" ht="18" customHeight="1">
      <c r="A124" s="151"/>
    </row>
    <row r="125" spans="1:6" ht="18" customHeight="1">
      <c r="A125" s="151" t="s">
        <v>176</v>
      </c>
      <c r="B125" s="150" t="s">
        <v>21</v>
      </c>
      <c r="F125" s="157">
        <v>-464988</v>
      </c>
    </row>
    <row r="126" spans="1:6" ht="18" customHeight="1">
      <c r="A126" s="151"/>
    </row>
    <row r="127" spans="1:6" ht="18" customHeight="1">
      <c r="A127" s="151" t="s">
        <v>177</v>
      </c>
      <c r="B127" s="150" t="s">
        <v>22</v>
      </c>
      <c r="F127" s="157">
        <v>2163247</v>
      </c>
    </row>
    <row r="128" spans="1:6" ht="18" customHeight="1">
      <c r="A128" s="151"/>
    </row>
    <row r="129" spans="1:11" ht="42.75" customHeight="1">
      <c r="F129" s="153" t="s">
        <v>9</v>
      </c>
      <c r="G129" s="153" t="s">
        <v>37</v>
      </c>
      <c r="H129" s="153" t="s">
        <v>29</v>
      </c>
      <c r="I129" s="153" t="s">
        <v>30</v>
      </c>
      <c r="J129" s="153" t="s">
        <v>33</v>
      </c>
      <c r="K129" s="153" t="s">
        <v>34</v>
      </c>
    </row>
    <row r="130" spans="1:11" ht="18" customHeight="1">
      <c r="A130" s="154" t="s">
        <v>157</v>
      </c>
      <c r="B130" s="150" t="s">
        <v>23</v>
      </c>
    </row>
    <row r="131" spans="1:11" ht="18" customHeight="1">
      <c r="A131" s="151" t="s">
        <v>158</v>
      </c>
      <c r="B131" s="147" t="s">
        <v>24</v>
      </c>
      <c r="F131" s="156">
        <v>0</v>
      </c>
      <c r="G131" s="156">
        <v>154</v>
      </c>
      <c r="H131" s="157">
        <v>0</v>
      </c>
      <c r="I131" s="158">
        <v>0</v>
      </c>
      <c r="J131" s="157">
        <v>27102</v>
      </c>
      <c r="K131" s="159">
        <f>(H131+I131)-J131</f>
        <v>-27102</v>
      </c>
    </row>
    <row r="132" spans="1:11" ht="18" customHeight="1">
      <c r="A132" s="151" t="s">
        <v>159</v>
      </c>
      <c r="B132" s="147" t="s">
        <v>25</v>
      </c>
      <c r="F132" s="156">
        <v>0</v>
      </c>
      <c r="G132" s="156">
        <v>0</v>
      </c>
      <c r="H132" s="157">
        <v>0</v>
      </c>
      <c r="I132" s="158">
        <v>0</v>
      </c>
      <c r="J132" s="157">
        <v>0</v>
      </c>
      <c r="K132" s="159">
        <f>(H132+I132)-J132</f>
        <v>0</v>
      </c>
    </row>
    <row r="133" spans="1:11" ht="18" customHeight="1">
      <c r="A133" s="151" t="s">
        <v>160</v>
      </c>
      <c r="B133" s="898"/>
      <c r="C133" s="899"/>
      <c r="D133" s="900"/>
      <c r="F133" s="156"/>
      <c r="G133" s="156"/>
      <c r="H133" s="157"/>
      <c r="I133" s="158">
        <v>0</v>
      </c>
      <c r="J133" s="157"/>
      <c r="K133" s="159">
        <f>(H133+I133)-J133</f>
        <v>0</v>
      </c>
    </row>
    <row r="134" spans="1:11" ht="18" customHeight="1">
      <c r="A134" s="151" t="s">
        <v>161</v>
      </c>
      <c r="B134" s="898"/>
      <c r="C134" s="899"/>
      <c r="D134" s="900"/>
      <c r="F134" s="156"/>
      <c r="G134" s="156"/>
      <c r="H134" s="157"/>
      <c r="I134" s="158">
        <v>0</v>
      </c>
      <c r="J134" s="157"/>
      <c r="K134" s="159">
        <f>(H134+I134)-J134</f>
        <v>0</v>
      </c>
    </row>
    <row r="135" spans="1:11" ht="18" customHeight="1">
      <c r="A135" s="151" t="s">
        <v>162</v>
      </c>
      <c r="B135" s="898"/>
      <c r="C135" s="899"/>
      <c r="D135" s="900"/>
      <c r="F135" s="156"/>
      <c r="G135" s="156"/>
      <c r="H135" s="157"/>
      <c r="I135" s="158">
        <v>0</v>
      </c>
      <c r="J135" s="157"/>
      <c r="K135" s="159">
        <f>(H135+I135)-J135</f>
        <v>0</v>
      </c>
    </row>
    <row r="136" spans="1:11" ht="18" customHeight="1">
      <c r="A136" s="154"/>
    </row>
    <row r="137" spans="1:11" ht="18" customHeight="1">
      <c r="A137" s="154" t="s">
        <v>163</v>
      </c>
      <c r="B137" s="150" t="s">
        <v>27</v>
      </c>
      <c r="F137" s="162">
        <f t="shared" ref="F137:K137" si="13">SUM(F131:F135)</f>
        <v>0</v>
      </c>
      <c r="G137" s="162">
        <f t="shared" si="13"/>
        <v>154</v>
      </c>
      <c r="H137" s="159">
        <f t="shared" si="13"/>
        <v>0</v>
      </c>
      <c r="I137" s="159">
        <f t="shared" si="13"/>
        <v>0</v>
      </c>
      <c r="J137" s="159">
        <f t="shared" si="13"/>
        <v>27102</v>
      </c>
      <c r="K137" s="159">
        <f t="shared" si="13"/>
        <v>-27102</v>
      </c>
    </row>
    <row r="138" spans="1:11" ht="18" customHeight="1">
      <c r="A138" s="147"/>
    </row>
    <row r="139" spans="1:11" ht="42.75" customHeight="1">
      <c r="F139" s="153" t="s">
        <v>9</v>
      </c>
      <c r="G139" s="153" t="s">
        <v>37</v>
      </c>
      <c r="H139" s="153" t="s">
        <v>29</v>
      </c>
      <c r="I139" s="153" t="s">
        <v>30</v>
      </c>
      <c r="J139" s="153" t="s">
        <v>33</v>
      </c>
      <c r="K139" s="153" t="s">
        <v>34</v>
      </c>
    </row>
    <row r="140" spans="1:11" ht="18" customHeight="1">
      <c r="A140" s="154" t="s">
        <v>166</v>
      </c>
      <c r="B140" s="150" t="s">
        <v>26</v>
      </c>
    </row>
    <row r="141" spans="1:11" ht="18" customHeight="1">
      <c r="A141" s="151" t="s">
        <v>137</v>
      </c>
      <c r="B141" s="150" t="s">
        <v>64</v>
      </c>
      <c r="F141" s="197">
        <f t="shared" ref="F141:K141" si="14">F36</f>
        <v>2432.8900000000003</v>
      </c>
      <c r="G141" s="197">
        <f t="shared" si="14"/>
        <v>9213</v>
      </c>
      <c r="H141" s="197">
        <f t="shared" si="14"/>
        <v>158773</v>
      </c>
      <c r="I141" s="197">
        <f t="shared" si="14"/>
        <v>40081</v>
      </c>
      <c r="J141" s="197">
        <f t="shared" si="14"/>
        <v>45308</v>
      </c>
      <c r="K141" s="197">
        <f t="shared" si="14"/>
        <v>153546</v>
      </c>
    </row>
    <row r="142" spans="1:11" ht="18" customHeight="1">
      <c r="A142" s="151" t="s">
        <v>142</v>
      </c>
      <c r="B142" s="150" t="s">
        <v>65</v>
      </c>
      <c r="F142" s="197">
        <f t="shared" ref="F142:K142" si="15">F49</f>
        <v>11054.400000000001</v>
      </c>
      <c r="G142" s="197">
        <f t="shared" si="15"/>
        <v>1023</v>
      </c>
      <c r="H142" s="197">
        <f t="shared" si="15"/>
        <v>426383</v>
      </c>
      <c r="I142" s="197">
        <f t="shared" si="15"/>
        <v>303504</v>
      </c>
      <c r="J142" s="197">
        <f t="shared" si="15"/>
        <v>0</v>
      </c>
      <c r="K142" s="197">
        <f t="shared" si="15"/>
        <v>729887</v>
      </c>
    </row>
    <row r="143" spans="1:11" ht="18" customHeight="1">
      <c r="A143" s="151" t="s">
        <v>144</v>
      </c>
      <c r="B143" s="150" t="s">
        <v>66</v>
      </c>
      <c r="F143" s="197">
        <f t="shared" ref="F143:K143" si="16">F64</f>
        <v>21658</v>
      </c>
      <c r="G143" s="197">
        <f t="shared" si="16"/>
        <v>146</v>
      </c>
      <c r="H143" s="197">
        <f t="shared" si="16"/>
        <v>11369412</v>
      </c>
      <c r="I143" s="197">
        <f t="shared" si="16"/>
        <v>9033</v>
      </c>
      <c r="J143" s="197">
        <f t="shared" si="16"/>
        <v>6435052</v>
      </c>
      <c r="K143" s="197">
        <f t="shared" si="16"/>
        <v>4943393</v>
      </c>
    </row>
    <row r="144" spans="1:11" ht="18" customHeight="1">
      <c r="A144" s="151" t="s">
        <v>146</v>
      </c>
      <c r="B144" s="150" t="s">
        <v>67</v>
      </c>
      <c r="F144" s="197">
        <f t="shared" ref="F144:K144" si="17">F74</f>
        <v>0</v>
      </c>
      <c r="G144" s="197">
        <f t="shared" si="17"/>
        <v>0</v>
      </c>
      <c r="H144" s="197">
        <f t="shared" si="17"/>
        <v>7568</v>
      </c>
      <c r="I144" s="197">
        <f t="shared" si="17"/>
        <v>0</v>
      </c>
      <c r="J144" s="197">
        <f t="shared" si="17"/>
        <v>0</v>
      </c>
      <c r="K144" s="197">
        <f t="shared" si="17"/>
        <v>7568</v>
      </c>
    </row>
    <row r="145" spans="1:11" ht="18" customHeight="1">
      <c r="A145" s="151" t="s">
        <v>148</v>
      </c>
      <c r="B145" s="150" t="s">
        <v>68</v>
      </c>
      <c r="F145" s="197">
        <f t="shared" ref="F145:K145" si="18">F82</f>
        <v>3289</v>
      </c>
      <c r="G145" s="197">
        <f t="shared" si="18"/>
        <v>39246</v>
      </c>
      <c r="H145" s="197">
        <f t="shared" si="18"/>
        <v>321784</v>
      </c>
      <c r="I145" s="197">
        <f t="shared" si="18"/>
        <v>12653</v>
      </c>
      <c r="J145" s="197">
        <f t="shared" si="18"/>
        <v>154823</v>
      </c>
      <c r="K145" s="197">
        <f t="shared" si="18"/>
        <v>179614</v>
      </c>
    </row>
    <row r="146" spans="1:11" ht="18" customHeight="1">
      <c r="A146" s="151" t="s">
        <v>150</v>
      </c>
      <c r="B146" s="150" t="s">
        <v>69</v>
      </c>
      <c r="F146" s="197">
        <f t="shared" ref="F146:K146" si="19">F98</f>
        <v>1481</v>
      </c>
      <c r="G146" s="197">
        <f t="shared" si="19"/>
        <v>797</v>
      </c>
      <c r="H146" s="197">
        <f t="shared" si="19"/>
        <v>193552</v>
      </c>
      <c r="I146" s="197">
        <f t="shared" si="19"/>
        <v>18987</v>
      </c>
      <c r="J146" s="197">
        <f t="shared" si="19"/>
        <v>0</v>
      </c>
      <c r="K146" s="197">
        <f t="shared" si="19"/>
        <v>212539</v>
      </c>
    </row>
    <row r="147" spans="1:11" ht="18" customHeight="1">
      <c r="A147" s="151" t="s">
        <v>153</v>
      </c>
      <c r="B147" s="150" t="s">
        <v>61</v>
      </c>
      <c r="F147" s="162">
        <f t="shared" ref="F147:K147" si="20">F108</f>
        <v>2188.5</v>
      </c>
      <c r="G147" s="162">
        <f t="shared" si="20"/>
        <v>177</v>
      </c>
      <c r="H147" s="162">
        <f t="shared" si="20"/>
        <v>87752</v>
      </c>
      <c r="I147" s="162">
        <f t="shared" si="20"/>
        <v>199</v>
      </c>
      <c r="J147" s="162">
        <f t="shared" si="20"/>
        <v>1000</v>
      </c>
      <c r="K147" s="162">
        <f t="shared" si="20"/>
        <v>86951</v>
      </c>
    </row>
    <row r="148" spans="1:11" ht="18" customHeight="1">
      <c r="A148" s="151" t="s">
        <v>155</v>
      </c>
      <c r="B148" s="150" t="s">
        <v>70</v>
      </c>
      <c r="F148" s="198" t="s">
        <v>73</v>
      </c>
      <c r="G148" s="198" t="s">
        <v>73</v>
      </c>
      <c r="H148" s="199" t="s">
        <v>73</v>
      </c>
      <c r="I148" s="199" t="s">
        <v>73</v>
      </c>
      <c r="J148" s="199" t="s">
        <v>73</v>
      </c>
      <c r="K148" s="200">
        <f>F111</f>
        <v>833308</v>
      </c>
    </row>
    <row r="149" spans="1:11" ht="18" customHeight="1">
      <c r="A149" s="151" t="s">
        <v>163</v>
      </c>
      <c r="B149" s="150" t="s">
        <v>71</v>
      </c>
      <c r="F149" s="162">
        <f t="shared" ref="F149:K149" si="21">F137</f>
        <v>0</v>
      </c>
      <c r="G149" s="162">
        <f t="shared" si="21"/>
        <v>154</v>
      </c>
      <c r="H149" s="162">
        <f t="shared" si="21"/>
        <v>0</v>
      </c>
      <c r="I149" s="162">
        <f t="shared" si="21"/>
        <v>0</v>
      </c>
      <c r="J149" s="162">
        <f t="shared" si="21"/>
        <v>27102</v>
      </c>
      <c r="K149" s="162">
        <f t="shared" si="21"/>
        <v>-27102</v>
      </c>
    </row>
    <row r="150" spans="1:11" ht="18" customHeight="1">
      <c r="A150" s="151" t="s">
        <v>185</v>
      </c>
      <c r="B150" s="150" t="s">
        <v>186</v>
      </c>
      <c r="F150" s="198" t="s">
        <v>73</v>
      </c>
      <c r="G150" s="198" t="s">
        <v>73</v>
      </c>
      <c r="H150" s="162">
        <f>H18</f>
        <v>3940523</v>
      </c>
      <c r="I150" s="162">
        <f>I18</f>
        <v>0</v>
      </c>
      <c r="J150" s="162">
        <f>J18</f>
        <v>3369640</v>
      </c>
      <c r="K150" s="162">
        <f>K18</f>
        <v>570883</v>
      </c>
    </row>
    <row r="151" spans="1:11" ht="18" customHeight="1">
      <c r="B151" s="150"/>
      <c r="F151" s="174"/>
      <c r="G151" s="174"/>
      <c r="H151" s="174"/>
      <c r="I151" s="174"/>
      <c r="J151" s="174"/>
      <c r="K151" s="174"/>
    </row>
    <row r="152" spans="1:11" ht="18" customHeight="1">
      <c r="A152" s="154" t="s">
        <v>165</v>
      </c>
      <c r="B152" s="150" t="s">
        <v>26</v>
      </c>
      <c r="F152" s="201">
        <f t="shared" ref="F152:K152" si="22">SUM(F141:F150)</f>
        <v>42103.79</v>
      </c>
      <c r="G152" s="201">
        <f t="shared" si="22"/>
        <v>50756</v>
      </c>
      <c r="H152" s="201">
        <f t="shared" si="22"/>
        <v>16505747</v>
      </c>
      <c r="I152" s="201">
        <f t="shared" si="22"/>
        <v>384457</v>
      </c>
      <c r="J152" s="201">
        <f t="shared" si="22"/>
        <v>10032925</v>
      </c>
      <c r="K152" s="201">
        <f t="shared" si="22"/>
        <v>7690587</v>
      </c>
    </row>
    <row r="154" spans="1:11" ht="18" customHeight="1">
      <c r="A154" s="154" t="s">
        <v>168</v>
      </c>
      <c r="B154" s="150" t="s">
        <v>28</v>
      </c>
      <c r="F154" s="53">
        <f>K152/F121</f>
        <v>5.0943859706788067E-2</v>
      </c>
    </row>
    <row r="155" spans="1:11" ht="18" customHeight="1">
      <c r="A155" s="154" t="s">
        <v>169</v>
      </c>
      <c r="B155" s="150" t="s">
        <v>72</v>
      </c>
      <c r="F155" s="53">
        <f>K152/F127</f>
        <v>3.5551127541145324</v>
      </c>
      <c r="G155" s="150"/>
    </row>
    <row r="156" spans="1:11" ht="18" customHeight="1">
      <c r="G156" s="150"/>
    </row>
  </sheetData>
  <sheetProtection algorithmName="SHA-512" hashValue="iVvdvBFvLJrCQayOzWBOnlmmkvSOlg0vsuWfxw4ykvUWsRMIU69Eos4F9LU4n3blGdfrud4L5z60Zw6vfmvLvQ==" saltValue="dNfDTr1s26G+Dg2uXX89nw==" spinCount="100000" sheet="1" objects="1" scenarios="1"/>
  <mergeCells count="34">
    <mergeCell ref="B41:C41"/>
    <mergeCell ref="D2:H2"/>
    <mergeCell ref="C5:G5"/>
    <mergeCell ref="C6:G6"/>
    <mergeCell ref="C7:G7"/>
    <mergeCell ref="C9:G9"/>
    <mergeCell ref="C10:G10"/>
    <mergeCell ref="C11:G11"/>
    <mergeCell ref="B13:H13"/>
    <mergeCell ref="B30:D30"/>
    <mergeCell ref="B31:D31"/>
    <mergeCell ref="B34:D34"/>
    <mergeCell ref="B90:C90"/>
    <mergeCell ref="B44:D44"/>
    <mergeCell ref="B45:D45"/>
    <mergeCell ref="B46:D46"/>
    <mergeCell ref="B47:D47"/>
    <mergeCell ref="B52:C52"/>
    <mergeCell ref="B53:D53"/>
    <mergeCell ref="B55:D55"/>
    <mergeCell ref="B56:D56"/>
    <mergeCell ref="B57:D57"/>
    <mergeCell ref="B59:D59"/>
    <mergeCell ref="B62:D62"/>
    <mergeCell ref="B106:D106"/>
    <mergeCell ref="B133:D133"/>
    <mergeCell ref="B134:D134"/>
    <mergeCell ref="B135:D135"/>
    <mergeCell ref="B94:D94"/>
    <mergeCell ref="B95:D95"/>
    <mergeCell ref="B96:D96"/>
    <mergeCell ref="B103:C103"/>
    <mergeCell ref="B104:D104"/>
    <mergeCell ref="B105:D105"/>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K156"/>
  <sheetViews>
    <sheetView showGridLines="0" zoomScaleNormal="100" zoomScaleSheetLayoutView="80" workbookViewId="0">
      <selection activeCell="K18" sqref="K18"/>
    </sheetView>
  </sheetViews>
  <sheetFormatPr defaultRowHeight="18" customHeight="1"/>
  <cols>
    <col min="1" max="1" width="8.28515625" style="146" customWidth="1"/>
    <col min="2" max="2" width="55.42578125" style="147" bestFit="1" customWidth="1"/>
    <col min="3" max="3" width="9.5703125" style="147" customWidth="1"/>
    <col min="4" max="4" width="9.140625" style="147"/>
    <col min="5" max="5" width="12.42578125" style="147" customWidth="1"/>
    <col min="6" max="6" width="18.5703125" style="147" customWidth="1"/>
    <col min="7" max="7" width="23.5703125" style="147" customWidth="1"/>
    <col min="8" max="8" width="17.140625" style="147" customWidth="1"/>
    <col min="9" max="9" width="21.140625" style="147" customWidth="1"/>
    <col min="10" max="10" width="19.85546875" style="147" customWidth="1"/>
    <col min="11" max="11" width="17.5703125" style="147" customWidth="1"/>
    <col min="12" max="16384" width="9.140625" style="147"/>
  </cols>
  <sheetData>
    <row r="1" spans="1:11" ht="18" customHeight="1">
      <c r="C1" s="148"/>
      <c r="D1" s="149"/>
      <c r="E1" s="148"/>
      <c r="F1" s="148"/>
      <c r="G1" s="148"/>
      <c r="H1" s="148"/>
      <c r="I1" s="148"/>
      <c r="J1" s="148"/>
      <c r="K1" s="148"/>
    </row>
    <row r="2" spans="1:11" ht="18" customHeight="1">
      <c r="D2" s="910" t="s">
        <v>713</v>
      </c>
      <c r="E2" s="911"/>
      <c r="F2" s="911"/>
      <c r="G2" s="911"/>
      <c r="H2" s="911"/>
    </row>
    <row r="3" spans="1:11" ht="18" customHeight="1">
      <c r="B3" s="150" t="s">
        <v>0</v>
      </c>
    </row>
    <row r="5" spans="1:11" ht="18" customHeight="1">
      <c r="B5" s="151" t="s">
        <v>40</v>
      </c>
      <c r="C5" s="912" t="s">
        <v>811</v>
      </c>
      <c r="D5" s="918"/>
      <c r="E5" s="918"/>
      <c r="F5" s="918"/>
      <c r="G5" s="919"/>
    </row>
    <row r="6" spans="1:11" ht="18" customHeight="1">
      <c r="B6" s="151" t="s">
        <v>3</v>
      </c>
      <c r="C6" s="929" t="s">
        <v>395</v>
      </c>
      <c r="D6" s="921"/>
      <c r="E6" s="921"/>
      <c r="F6" s="921"/>
      <c r="G6" s="922"/>
    </row>
    <row r="7" spans="1:11" ht="18" customHeight="1">
      <c r="B7" s="151" t="s">
        <v>4</v>
      </c>
      <c r="C7" s="930">
        <v>2179</v>
      </c>
      <c r="D7" s="924"/>
      <c r="E7" s="924"/>
      <c r="F7" s="924"/>
      <c r="G7" s="925"/>
    </row>
    <row r="9" spans="1:11" ht="18" customHeight="1">
      <c r="B9" s="151" t="s">
        <v>1</v>
      </c>
      <c r="C9" s="912" t="s">
        <v>396</v>
      </c>
      <c r="D9" s="918"/>
      <c r="E9" s="918"/>
      <c r="F9" s="918"/>
      <c r="G9" s="919"/>
    </row>
    <row r="10" spans="1:11" ht="18" customHeight="1">
      <c r="B10" s="151" t="s">
        <v>2</v>
      </c>
      <c r="C10" s="926" t="s">
        <v>397</v>
      </c>
      <c r="D10" s="927"/>
      <c r="E10" s="927"/>
      <c r="F10" s="927"/>
      <c r="G10" s="928"/>
    </row>
    <row r="11" spans="1:11" ht="18" customHeight="1">
      <c r="B11" s="151" t="s">
        <v>32</v>
      </c>
      <c r="C11" s="912" t="s">
        <v>398</v>
      </c>
      <c r="D11" s="913"/>
      <c r="E11" s="913"/>
      <c r="F11" s="913"/>
      <c r="G11" s="913"/>
    </row>
    <row r="12" spans="1:11" ht="18" customHeight="1">
      <c r="B12" s="151"/>
      <c r="C12" s="151"/>
      <c r="D12" s="151"/>
      <c r="E12" s="151"/>
      <c r="F12" s="151"/>
      <c r="G12" s="151"/>
    </row>
    <row r="13" spans="1:11" ht="24.6" customHeight="1">
      <c r="B13" s="914"/>
      <c r="C13" s="915"/>
      <c r="D13" s="915"/>
      <c r="E13" s="915"/>
      <c r="F13" s="915"/>
      <c r="G13" s="915"/>
      <c r="H13" s="916"/>
      <c r="I13" s="148"/>
    </row>
    <row r="14" spans="1:11" ht="18" customHeight="1">
      <c r="B14" s="152"/>
    </row>
    <row r="15" spans="1:11" ht="18" customHeight="1">
      <c r="B15" s="152"/>
    </row>
    <row r="16" spans="1:11" ht="45" customHeight="1">
      <c r="A16" s="149" t="s">
        <v>181</v>
      </c>
      <c r="B16" s="148"/>
      <c r="C16" s="148"/>
      <c r="D16" s="148"/>
      <c r="E16" s="148"/>
      <c r="F16" s="153" t="s">
        <v>9</v>
      </c>
      <c r="G16" s="153" t="s">
        <v>37</v>
      </c>
      <c r="H16" s="153" t="s">
        <v>29</v>
      </c>
      <c r="I16" s="153" t="s">
        <v>30</v>
      </c>
      <c r="J16" s="153" t="s">
        <v>33</v>
      </c>
      <c r="K16" s="153" t="s">
        <v>34</v>
      </c>
    </row>
    <row r="17" spans="1:11" ht="18" customHeight="1">
      <c r="A17" s="154" t="s">
        <v>184</v>
      </c>
      <c r="B17" s="150" t="s">
        <v>182</v>
      </c>
    </row>
    <row r="18" spans="1:11" ht="18" customHeight="1">
      <c r="A18" s="151" t="s">
        <v>185</v>
      </c>
      <c r="B18" s="155" t="s">
        <v>183</v>
      </c>
      <c r="F18" s="156" t="s">
        <v>73</v>
      </c>
      <c r="G18" s="156" t="s">
        <v>73</v>
      </c>
      <c r="H18" s="157">
        <v>6465681.6443761103</v>
      </c>
      <c r="I18" s="158">
        <v>0</v>
      </c>
      <c r="J18" s="157">
        <v>5528966.2296933299</v>
      </c>
      <c r="K18" s="159">
        <f>(H18+I18)-J18</f>
        <v>936715.41468278039</v>
      </c>
    </row>
    <row r="19" spans="1:11" ht="45" customHeight="1">
      <c r="A19" s="149" t="s">
        <v>8</v>
      </c>
      <c r="B19" s="148"/>
      <c r="C19" s="148"/>
      <c r="D19" s="148"/>
      <c r="E19" s="148"/>
      <c r="F19" s="153" t="s">
        <v>9</v>
      </c>
      <c r="G19" s="153" t="s">
        <v>37</v>
      </c>
      <c r="H19" s="153" t="s">
        <v>29</v>
      </c>
      <c r="I19" s="153" t="s">
        <v>30</v>
      </c>
      <c r="J19" s="153" t="s">
        <v>33</v>
      </c>
      <c r="K19" s="153" t="s">
        <v>34</v>
      </c>
    </row>
    <row r="20" spans="1:11" ht="18" customHeight="1">
      <c r="A20" s="154" t="s">
        <v>74</v>
      </c>
      <c r="B20" s="150" t="s">
        <v>41</v>
      </c>
    </row>
    <row r="21" spans="1:11" ht="18" customHeight="1">
      <c r="A21" s="151" t="s">
        <v>75</v>
      </c>
      <c r="B21" s="155" t="s">
        <v>42</v>
      </c>
      <c r="F21" s="156">
        <v>27068.5</v>
      </c>
      <c r="G21" s="156">
        <v>73053</v>
      </c>
      <c r="H21" s="157">
        <v>1483967</v>
      </c>
      <c r="I21" s="158">
        <f t="shared" ref="I21:I34" si="0">H21*F$114</f>
        <v>741983.5</v>
      </c>
      <c r="J21" s="157">
        <v>171927</v>
      </c>
      <c r="K21" s="159">
        <f t="shared" ref="K21:K34" si="1">(H21+I21)-J21</f>
        <v>2054023.5</v>
      </c>
    </row>
    <row r="22" spans="1:11" ht="18" customHeight="1">
      <c r="A22" s="151" t="s">
        <v>76</v>
      </c>
      <c r="B22" s="147" t="s">
        <v>6</v>
      </c>
      <c r="F22" s="156">
        <v>58</v>
      </c>
      <c r="G22" s="156">
        <v>2671</v>
      </c>
      <c r="H22" s="157">
        <v>6694</v>
      </c>
      <c r="I22" s="158">
        <f t="shared" si="0"/>
        <v>3347</v>
      </c>
      <c r="J22" s="157"/>
      <c r="K22" s="159">
        <f t="shared" si="1"/>
        <v>10041</v>
      </c>
    </row>
    <row r="23" spans="1:11" ht="18" customHeight="1">
      <c r="A23" s="151" t="s">
        <v>77</v>
      </c>
      <c r="B23" s="147" t="s">
        <v>43</v>
      </c>
      <c r="F23" s="156">
        <v>2</v>
      </c>
      <c r="G23" s="156">
        <v>71</v>
      </c>
      <c r="H23" s="157">
        <v>3449</v>
      </c>
      <c r="I23" s="158">
        <f t="shared" si="0"/>
        <v>1724.5</v>
      </c>
      <c r="J23" s="157"/>
      <c r="K23" s="159">
        <f t="shared" si="1"/>
        <v>5173.5</v>
      </c>
    </row>
    <row r="24" spans="1:11" ht="18" customHeight="1">
      <c r="A24" s="151" t="s">
        <v>78</v>
      </c>
      <c r="B24" s="147" t="s">
        <v>44</v>
      </c>
      <c r="F24" s="156"/>
      <c r="G24" s="156"/>
      <c r="H24" s="157"/>
      <c r="I24" s="158">
        <f t="shared" si="0"/>
        <v>0</v>
      </c>
      <c r="J24" s="157"/>
      <c r="K24" s="159">
        <f t="shared" si="1"/>
        <v>0</v>
      </c>
    </row>
    <row r="25" spans="1:11" ht="18" customHeight="1">
      <c r="A25" s="151" t="s">
        <v>79</v>
      </c>
      <c r="B25" s="147" t="s">
        <v>5</v>
      </c>
      <c r="F25" s="156">
        <v>17</v>
      </c>
      <c r="G25" s="156">
        <v>1742</v>
      </c>
      <c r="H25" s="157">
        <v>3660</v>
      </c>
      <c r="I25" s="158">
        <f>H25*F$114</f>
        <v>1830</v>
      </c>
      <c r="J25" s="157"/>
      <c r="K25" s="159">
        <f t="shared" si="1"/>
        <v>5490</v>
      </c>
    </row>
    <row r="26" spans="1:11" ht="18" customHeight="1">
      <c r="A26" s="151" t="s">
        <v>80</v>
      </c>
      <c r="B26" s="147" t="s">
        <v>45</v>
      </c>
      <c r="F26" s="156"/>
      <c r="G26" s="156"/>
      <c r="H26" s="157"/>
      <c r="I26" s="158">
        <f t="shared" si="0"/>
        <v>0</v>
      </c>
      <c r="J26" s="157"/>
      <c r="K26" s="159">
        <f t="shared" si="1"/>
        <v>0</v>
      </c>
    </row>
    <row r="27" spans="1:11" ht="18" customHeight="1">
      <c r="A27" s="151" t="s">
        <v>81</v>
      </c>
      <c r="B27" s="147" t="s">
        <v>46</v>
      </c>
      <c r="F27" s="156"/>
      <c r="G27" s="156"/>
      <c r="H27" s="157"/>
      <c r="I27" s="158">
        <f t="shared" si="0"/>
        <v>0</v>
      </c>
      <c r="J27" s="157"/>
      <c r="K27" s="159">
        <f t="shared" si="1"/>
        <v>0</v>
      </c>
    </row>
    <row r="28" spans="1:11" ht="18" customHeight="1">
      <c r="A28" s="151" t="s">
        <v>82</v>
      </c>
      <c r="B28" s="147" t="s">
        <v>47</v>
      </c>
      <c r="F28" s="156"/>
      <c r="G28" s="156"/>
      <c r="H28" s="157"/>
      <c r="I28" s="158">
        <f t="shared" si="0"/>
        <v>0</v>
      </c>
      <c r="J28" s="157"/>
      <c r="K28" s="159">
        <f t="shared" si="1"/>
        <v>0</v>
      </c>
    </row>
    <row r="29" spans="1:11" ht="18" customHeight="1">
      <c r="A29" s="151" t="s">
        <v>83</v>
      </c>
      <c r="B29" s="147" t="s">
        <v>48</v>
      </c>
      <c r="F29" s="156">
        <v>2198</v>
      </c>
      <c r="G29" s="156">
        <v>2573</v>
      </c>
      <c r="H29" s="157">
        <v>374340</v>
      </c>
      <c r="I29" s="158">
        <f t="shared" si="0"/>
        <v>187170</v>
      </c>
      <c r="J29" s="157"/>
      <c r="K29" s="159">
        <f t="shared" si="1"/>
        <v>561510</v>
      </c>
    </row>
    <row r="30" spans="1:11" ht="18" customHeight="1">
      <c r="A30" s="151" t="s">
        <v>84</v>
      </c>
      <c r="B30" s="1111" t="s">
        <v>399</v>
      </c>
      <c r="C30" s="1112"/>
      <c r="D30" s="1113"/>
      <c r="F30" s="156"/>
      <c r="G30" s="156">
        <v>350</v>
      </c>
      <c r="H30" s="157">
        <v>175398</v>
      </c>
      <c r="I30" s="158">
        <f t="shared" si="0"/>
        <v>87699</v>
      </c>
      <c r="J30" s="157"/>
      <c r="K30" s="159">
        <f t="shared" si="1"/>
        <v>263097</v>
      </c>
    </row>
    <row r="31" spans="1:11" ht="18" customHeight="1">
      <c r="A31" s="151" t="s">
        <v>133</v>
      </c>
      <c r="B31" s="1111" t="s">
        <v>400</v>
      </c>
      <c r="C31" s="1112"/>
      <c r="D31" s="1113"/>
      <c r="F31" s="156">
        <v>1415</v>
      </c>
      <c r="G31" s="156">
        <v>36</v>
      </c>
      <c r="H31" s="157">
        <v>119673</v>
      </c>
      <c r="I31" s="158">
        <f t="shared" si="0"/>
        <v>59836.5</v>
      </c>
      <c r="J31" s="157"/>
      <c r="K31" s="159">
        <f t="shared" si="1"/>
        <v>179509.5</v>
      </c>
    </row>
    <row r="32" spans="1:11" ht="18" customHeight="1">
      <c r="A32" s="151" t="s">
        <v>134</v>
      </c>
      <c r="B32" s="393"/>
      <c r="C32" s="394"/>
      <c r="D32" s="395"/>
      <c r="F32" s="156"/>
      <c r="G32" s="160" t="s">
        <v>85</v>
      </c>
      <c r="H32" s="157"/>
      <c r="I32" s="158">
        <f t="shared" si="0"/>
        <v>0</v>
      </c>
      <c r="J32" s="157"/>
      <c r="K32" s="159">
        <f t="shared" si="1"/>
        <v>0</v>
      </c>
    </row>
    <row r="33" spans="1:11" ht="18" customHeight="1">
      <c r="A33" s="151" t="s">
        <v>135</v>
      </c>
      <c r="B33" s="393"/>
      <c r="C33" s="394"/>
      <c r="D33" s="395"/>
      <c r="F33" s="156"/>
      <c r="G33" s="160" t="s">
        <v>85</v>
      </c>
      <c r="H33" s="157"/>
      <c r="I33" s="158">
        <f t="shared" si="0"/>
        <v>0</v>
      </c>
      <c r="J33" s="157"/>
      <c r="K33" s="159">
        <f t="shared" si="1"/>
        <v>0</v>
      </c>
    </row>
    <row r="34" spans="1:11" ht="18" customHeight="1">
      <c r="A34" s="151" t="s">
        <v>136</v>
      </c>
      <c r="B34" s="898"/>
      <c r="C34" s="899"/>
      <c r="D34" s="900"/>
      <c r="F34" s="156"/>
      <c r="G34" s="160" t="s">
        <v>85</v>
      </c>
      <c r="H34" s="157"/>
      <c r="I34" s="158">
        <f t="shared" si="0"/>
        <v>0</v>
      </c>
      <c r="J34" s="157"/>
      <c r="K34" s="159">
        <f t="shared" si="1"/>
        <v>0</v>
      </c>
    </row>
    <row r="35" spans="1:11" ht="18" customHeight="1">
      <c r="K35" s="161"/>
    </row>
    <row r="36" spans="1:11" ht="18" customHeight="1">
      <c r="A36" s="154" t="s">
        <v>137</v>
      </c>
      <c r="B36" s="150" t="s">
        <v>138</v>
      </c>
      <c r="E36" s="150" t="s">
        <v>7</v>
      </c>
      <c r="F36" s="162">
        <f t="shared" ref="F36:K36" si="2">SUM(F21:F34)</f>
        <v>30758.5</v>
      </c>
      <c r="G36" s="162">
        <f t="shared" si="2"/>
        <v>80496</v>
      </c>
      <c r="H36" s="162">
        <f t="shared" si="2"/>
        <v>2167181</v>
      </c>
      <c r="I36" s="159">
        <f t="shared" si="2"/>
        <v>1083590.5</v>
      </c>
      <c r="J36" s="159">
        <f t="shared" si="2"/>
        <v>171927</v>
      </c>
      <c r="K36" s="159">
        <f t="shared" si="2"/>
        <v>3078844.5</v>
      </c>
    </row>
    <row r="37" spans="1:11" ht="18" customHeight="1" thickBot="1">
      <c r="B37" s="150"/>
      <c r="F37" s="163"/>
      <c r="G37" s="163"/>
      <c r="H37" s="164"/>
      <c r="I37" s="164"/>
      <c r="J37" s="164"/>
      <c r="K37" s="165"/>
    </row>
    <row r="38" spans="1:11" ht="42.75" customHeight="1">
      <c r="F38" s="153" t="s">
        <v>9</v>
      </c>
      <c r="G38" s="153" t="s">
        <v>37</v>
      </c>
      <c r="H38" s="153" t="s">
        <v>29</v>
      </c>
      <c r="I38" s="153" t="s">
        <v>30</v>
      </c>
      <c r="J38" s="153" t="s">
        <v>33</v>
      </c>
      <c r="K38" s="153" t="s">
        <v>34</v>
      </c>
    </row>
    <row r="39" spans="1:11" ht="18.75" customHeight="1">
      <c r="A39" s="154" t="s">
        <v>86</v>
      </c>
      <c r="B39" s="150" t="s">
        <v>49</v>
      </c>
    </row>
    <row r="40" spans="1:11" ht="18" customHeight="1">
      <c r="A40" s="151" t="s">
        <v>87</v>
      </c>
      <c r="B40" s="147" t="s">
        <v>31</v>
      </c>
      <c r="F40" s="156"/>
      <c r="G40" s="156"/>
      <c r="H40" s="157"/>
      <c r="I40" s="158">
        <v>0</v>
      </c>
      <c r="J40" s="157"/>
      <c r="K40" s="159">
        <f t="shared" ref="K40:K47" si="3">(H40+I40)-J40</f>
        <v>0</v>
      </c>
    </row>
    <row r="41" spans="1:11" ht="18" customHeight="1">
      <c r="A41" s="151" t="s">
        <v>88</v>
      </c>
      <c r="B41" s="904" t="s">
        <v>50</v>
      </c>
      <c r="C41" s="907"/>
      <c r="F41" s="156">
        <v>2186</v>
      </c>
      <c r="G41" s="156">
        <v>133</v>
      </c>
      <c r="H41" s="157">
        <v>67220</v>
      </c>
      <c r="I41" s="158">
        <v>0</v>
      </c>
      <c r="J41" s="157"/>
      <c r="K41" s="159">
        <f t="shared" si="3"/>
        <v>67220</v>
      </c>
    </row>
    <row r="42" spans="1:11" ht="18" customHeight="1">
      <c r="A42" s="151" t="s">
        <v>89</v>
      </c>
      <c r="B42" s="155" t="s">
        <v>11</v>
      </c>
      <c r="F42" s="156">
        <v>14395</v>
      </c>
      <c r="G42" s="156">
        <v>228</v>
      </c>
      <c r="H42" s="157">
        <v>442646</v>
      </c>
      <c r="I42" s="158">
        <v>0</v>
      </c>
      <c r="J42" s="157"/>
      <c r="K42" s="159">
        <f t="shared" si="3"/>
        <v>442646</v>
      </c>
    </row>
    <row r="43" spans="1:11" ht="18" customHeight="1">
      <c r="A43" s="151" t="s">
        <v>90</v>
      </c>
      <c r="B43" s="166" t="s">
        <v>10</v>
      </c>
      <c r="C43" s="167"/>
      <c r="D43" s="167"/>
      <c r="F43" s="156">
        <v>12</v>
      </c>
      <c r="G43" s="156">
        <v>13</v>
      </c>
      <c r="H43" s="157">
        <v>16586</v>
      </c>
      <c r="I43" s="158">
        <v>0</v>
      </c>
      <c r="J43" s="157"/>
      <c r="K43" s="159">
        <f t="shared" si="3"/>
        <v>16586</v>
      </c>
    </row>
    <row r="44" spans="1:11" ht="18" customHeight="1">
      <c r="A44" s="151" t="s">
        <v>91</v>
      </c>
      <c r="B44" s="898" t="s">
        <v>401</v>
      </c>
      <c r="C44" s="899"/>
      <c r="D44" s="900"/>
      <c r="F44" s="168">
        <v>292</v>
      </c>
      <c r="G44" s="168">
        <v>100</v>
      </c>
      <c r="H44" s="168">
        <v>5387</v>
      </c>
      <c r="I44" s="169">
        <v>0</v>
      </c>
      <c r="J44" s="168"/>
      <c r="K44" s="170">
        <f t="shared" si="3"/>
        <v>5387</v>
      </c>
    </row>
    <row r="45" spans="1:11" ht="18" customHeight="1">
      <c r="A45" s="151" t="s">
        <v>139</v>
      </c>
      <c r="B45" s="898"/>
      <c r="C45" s="899"/>
      <c r="D45" s="900"/>
      <c r="F45" s="156"/>
      <c r="G45" s="156"/>
      <c r="H45" s="157"/>
      <c r="I45" s="158">
        <v>0</v>
      </c>
      <c r="J45" s="157"/>
      <c r="K45" s="159">
        <f t="shared" si="3"/>
        <v>0</v>
      </c>
    </row>
    <row r="46" spans="1:11" ht="18" customHeight="1">
      <c r="A46" s="151" t="s">
        <v>140</v>
      </c>
      <c r="B46" s="898"/>
      <c r="C46" s="899"/>
      <c r="D46" s="900"/>
      <c r="F46" s="156"/>
      <c r="G46" s="156"/>
      <c r="H46" s="157"/>
      <c r="I46" s="158">
        <v>0</v>
      </c>
      <c r="J46" s="157"/>
      <c r="K46" s="159">
        <f t="shared" si="3"/>
        <v>0</v>
      </c>
    </row>
    <row r="47" spans="1:11" ht="18" customHeight="1">
      <c r="A47" s="151" t="s">
        <v>141</v>
      </c>
      <c r="B47" s="898"/>
      <c r="C47" s="899"/>
      <c r="D47" s="900"/>
      <c r="F47" s="156"/>
      <c r="G47" s="156"/>
      <c r="H47" s="157"/>
      <c r="I47" s="158">
        <v>0</v>
      </c>
      <c r="J47" s="157"/>
      <c r="K47" s="159">
        <f t="shared" si="3"/>
        <v>0</v>
      </c>
    </row>
    <row r="49" spans="1:11" ht="18" customHeight="1">
      <c r="A49" s="154" t="s">
        <v>142</v>
      </c>
      <c r="B49" s="150" t="s">
        <v>143</v>
      </c>
      <c r="E49" s="150" t="s">
        <v>7</v>
      </c>
      <c r="F49" s="171">
        <f t="shared" ref="F49:K49" si="4">SUM(F40:F47)</f>
        <v>16885</v>
      </c>
      <c r="G49" s="171">
        <f t="shared" si="4"/>
        <v>474</v>
      </c>
      <c r="H49" s="159">
        <f t="shared" si="4"/>
        <v>531839</v>
      </c>
      <c r="I49" s="159">
        <f t="shared" si="4"/>
        <v>0</v>
      </c>
      <c r="J49" s="159">
        <f t="shared" si="4"/>
        <v>0</v>
      </c>
      <c r="K49" s="159">
        <f t="shared" si="4"/>
        <v>531839</v>
      </c>
    </row>
    <row r="50" spans="1:11" ht="18" customHeight="1" thickBot="1">
      <c r="G50" s="172"/>
      <c r="H50" s="172"/>
      <c r="I50" s="172"/>
      <c r="J50" s="172"/>
      <c r="K50" s="172"/>
    </row>
    <row r="51" spans="1:11" ht="42.75" customHeight="1">
      <c r="F51" s="153" t="s">
        <v>9</v>
      </c>
      <c r="G51" s="153" t="s">
        <v>37</v>
      </c>
      <c r="H51" s="153" t="s">
        <v>29</v>
      </c>
      <c r="I51" s="153" t="s">
        <v>30</v>
      </c>
      <c r="J51" s="153" t="s">
        <v>33</v>
      </c>
      <c r="K51" s="153" t="s">
        <v>34</v>
      </c>
    </row>
    <row r="52" spans="1:11" ht="18" customHeight="1">
      <c r="A52" s="154" t="s">
        <v>92</v>
      </c>
      <c r="B52" s="905" t="s">
        <v>38</v>
      </c>
      <c r="C52" s="906"/>
    </row>
    <row r="53" spans="1:11" ht="18" customHeight="1">
      <c r="A53" s="151" t="s">
        <v>51</v>
      </c>
      <c r="B53" s="1106" t="s">
        <v>402</v>
      </c>
      <c r="C53" s="1107"/>
      <c r="D53" s="1108"/>
      <c r="F53" s="156">
        <v>3552</v>
      </c>
      <c r="G53" s="156">
        <v>9226</v>
      </c>
      <c r="H53" s="157">
        <v>259245</v>
      </c>
      <c r="I53" s="158">
        <v>0</v>
      </c>
      <c r="J53" s="157"/>
      <c r="K53" s="159">
        <f t="shared" ref="K53:K62" si="5">(H53+I53)-J53</f>
        <v>259245</v>
      </c>
    </row>
    <row r="54" spans="1:11" ht="18" customHeight="1">
      <c r="A54" s="151" t="s">
        <v>93</v>
      </c>
      <c r="B54" s="593" t="s">
        <v>403</v>
      </c>
      <c r="C54" s="594"/>
      <c r="D54" s="595"/>
      <c r="F54" s="156">
        <v>90650</v>
      </c>
      <c r="G54" s="156">
        <v>46664</v>
      </c>
      <c r="H54" s="157">
        <v>7706332</v>
      </c>
      <c r="I54" s="158">
        <v>0</v>
      </c>
      <c r="J54" s="157"/>
      <c r="K54" s="159">
        <f t="shared" si="5"/>
        <v>7706332</v>
      </c>
    </row>
    <row r="55" spans="1:11" ht="18" customHeight="1">
      <c r="A55" s="151" t="s">
        <v>94</v>
      </c>
      <c r="B55" s="1109" t="s">
        <v>404</v>
      </c>
      <c r="C55" s="1110"/>
      <c r="D55" s="1108"/>
      <c r="F55" s="156"/>
      <c r="G55" s="156"/>
      <c r="H55" s="157">
        <v>185500</v>
      </c>
      <c r="I55" s="158">
        <v>0</v>
      </c>
      <c r="J55" s="157"/>
      <c r="K55" s="159">
        <f t="shared" si="5"/>
        <v>185500</v>
      </c>
    </row>
    <row r="56" spans="1:11" ht="18" customHeight="1">
      <c r="A56" s="151" t="s">
        <v>95</v>
      </c>
      <c r="B56" s="901"/>
      <c r="C56" s="902"/>
      <c r="D56" s="903"/>
      <c r="F56" s="156"/>
      <c r="G56" s="156"/>
      <c r="H56" s="157"/>
      <c r="I56" s="158">
        <v>0</v>
      </c>
      <c r="J56" s="157"/>
      <c r="K56" s="159">
        <f t="shared" si="5"/>
        <v>0</v>
      </c>
    </row>
    <row r="57" spans="1:11" ht="18" customHeight="1">
      <c r="A57" s="151" t="s">
        <v>96</v>
      </c>
      <c r="B57" s="901"/>
      <c r="C57" s="902"/>
      <c r="D57" s="903"/>
      <c r="F57" s="156"/>
      <c r="G57" s="156"/>
      <c r="H57" s="157"/>
      <c r="I57" s="158">
        <v>0</v>
      </c>
      <c r="J57" s="157"/>
      <c r="K57" s="159">
        <f t="shared" si="5"/>
        <v>0</v>
      </c>
    </row>
    <row r="58" spans="1:11" ht="18" customHeight="1">
      <c r="A58" s="151" t="s">
        <v>97</v>
      </c>
      <c r="B58" s="396"/>
      <c r="C58" s="397"/>
      <c r="D58" s="392"/>
      <c r="F58" s="156"/>
      <c r="G58" s="156"/>
      <c r="H58" s="157"/>
      <c r="I58" s="158">
        <v>0</v>
      </c>
      <c r="J58" s="157"/>
      <c r="K58" s="159">
        <f t="shared" si="5"/>
        <v>0</v>
      </c>
    </row>
    <row r="59" spans="1:11" ht="18" customHeight="1">
      <c r="A59" s="151" t="s">
        <v>98</v>
      </c>
      <c r="B59" s="901"/>
      <c r="C59" s="902"/>
      <c r="D59" s="903"/>
      <c r="F59" s="156"/>
      <c r="G59" s="156"/>
      <c r="H59" s="157"/>
      <c r="I59" s="158">
        <v>0</v>
      </c>
      <c r="J59" s="157"/>
      <c r="K59" s="159">
        <f t="shared" si="5"/>
        <v>0</v>
      </c>
    </row>
    <row r="60" spans="1:11" ht="18" customHeight="1">
      <c r="A60" s="151" t="s">
        <v>99</v>
      </c>
      <c r="B60" s="396"/>
      <c r="C60" s="397"/>
      <c r="D60" s="392"/>
      <c r="F60" s="156"/>
      <c r="G60" s="156"/>
      <c r="H60" s="157"/>
      <c r="I60" s="158">
        <v>0</v>
      </c>
      <c r="J60" s="157"/>
      <c r="K60" s="159">
        <f t="shared" si="5"/>
        <v>0</v>
      </c>
    </row>
    <row r="61" spans="1:11" ht="18" customHeight="1">
      <c r="A61" s="151" t="s">
        <v>100</v>
      </c>
      <c r="B61" s="396"/>
      <c r="C61" s="397"/>
      <c r="D61" s="392"/>
      <c r="F61" s="156"/>
      <c r="G61" s="156"/>
      <c r="H61" s="157"/>
      <c r="I61" s="158">
        <v>0</v>
      </c>
      <c r="J61" s="157"/>
      <c r="K61" s="159">
        <f t="shared" si="5"/>
        <v>0</v>
      </c>
    </row>
    <row r="62" spans="1:11" ht="18" customHeight="1">
      <c r="A62" s="151" t="s">
        <v>101</v>
      </c>
      <c r="B62" s="901"/>
      <c r="C62" s="902"/>
      <c r="D62" s="903"/>
      <c r="F62" s="156"/>
      <c r="G62" s="156"/>
      <c r="H62" s="157"/>
      <c r="I62" s="158">
        <v>0</v>
      </c>
      <c r="J62" s="157"/>
      <c r="K62" s="159">
        <f t="shared" si="5"/>
        <v>0</v>
      </c>
    </row>
    <row r="63" spans="1:11" ht="18" customHeight="1">
      <c r="A63" s="151"/>
      <c r="I63" s="173"/>
    </row>
    <row r="64" spans="1:11" ht="18" customHeight="1">
      <c r="A64" s="151" t="s">
        <v>144</v>
      </c>
      <c r="B64" s="150" t="s">
        <v>145</v>
      </c>
      <c r="E64" s="150" t="s">
        <v>7</v>
      </c>
      <c r="F64" s="162">
        <f t="shared" ref="F64:K64" si="6">SUM(F53:F62)</f>
        <v>94202</v>
      </c>
      <c r="G64" s="162">
        <f t="shared" si="6"/>
        <v>55890</v>
      </c>
      <c r="H64" s="159">
        <f t="shared" si="6"/>
        <v>8151077</v>
      </c>
      <c r="I64" s="159">
        <f t="shared" si="6"/>
        <v>0</v>
      </c>
      <c r="J64" s="159">
        <f t="shared" si="6"/>
        <v>0</v>
      </c>
      <c r="K64" s="159">
        <f t="shared" si="6"/>
        <v>8151077</v>
      </c>
    </row>
    <row r="65" spans="1:11" ht="18" customHeight="1">
      <c r="F65" s="174"/>
      <c r="G65" s="174"/>
      <c r="H65" s="174"/>
      <c r="I65" s="174"/>
      <c r="J65" s="174"/>
      <c r="K65" s="174"/>
    </row>
    <row r="66" spans="1:11" ht="42.75" customHeight="1">
      <c r="F66" s="175" t="s">
        <v>9</v>
      </c>
      <c r="G66" s="175" t="s">
        <v>37</v>
      </c>
      <c r="H66" s="175" t="s">
        <v>29</v>
      </c>
      <c r="I66" s="175" t="s">
        <v>30</v>
      </c>
      <c r="J66" s="175" t="s">
        <v>33</v>
      </c>
      <c r="K66" s="175" t="s">
        <v>34</v>
      </c>
    </row>
    <row r="67" spans="1:11" ht="18" customHeight="1">
      <c r="A67" s="154" t="s">
        <v>102</v>
      </c>
      <c r="B67" s="150" t="s">
        <v>12</v>
      </c>
      <c r="F67" s="176"/>
      <c r="G67" s="176"/>
      <c r="H67" s="176"/>
      <c r="I67" s="177"/>
      <c r="J67" s="176"/>
      <c r="K67" s="178"/>
    </row>
    <row r="68" spans="1:11" ht="18" customHeight="1">
      <c r="A68" s="151" t="s">
        <v>103</v>
      </c>
      <c r="B68" s="147" t="s">
        <v>52</v>
      </c>
      <c r="F68" s="179"/>
      <c r="G68" s="179"/>
      <c r="H68" s="179"/>
      <c r="I68" s="158">
        <v>0</v>
      </c>
      <c r="J68" s="179"/>
      <c r="K68" s="159">
        <f>(H68+I68)-J68</f>
        <v>0</v>
      </c>
    </row>
    <row r="69" spans="1:11" ht="18" customHeight="1">
      <c r="A69" s="151" t="s">
        <v>104</v>
      </c>
      <c r="B69" s="155" t="s">
        <v>53</v>
      </c>
      <c r="F69" s="179">
        <v>5044</v>
      </c>
      <c r="G69" s="179"/>
      <c r="H69" s="179">
        <v>198904</v>
      </c>
      <c r="I69" s="158">
        <v>0</v>
      </c>
      <c r="J69" s="179"/>
      <c r="K69" s="159">
        <f>(H69+I69)-J69</f>
        <v>198904</v>
      </c>
    </row>
    <row r="70" spans="1:11" ht="18" customHeight="1">
      <c r="A70" s="151" t="s">
        <v>178</v>
      </c>
      <c r="B70" s="396"/>
      <c r="C70" s="397"/>
      <c r="D70" s="392"/>
      <c r="E70" s="150"/>
      <c r="F70" s="180"/>
      <c r="G70" s="180"/>
      <c r="H70" s="181"/>
      <c r="I70" s="158">
        <v>0</v>
      </c>
      <c r="J70" s="181"/>
      <c r="K70" s="159">
        <f>(H70+I70)-J70</f>
        <v>0</v>
      </c>
    </row>
    <row r="71" spans="1:11" ht="18" customHeight="1">
      <c r="A71" s="151" t="s">
        <v>179</v>
      </c>
      <c r="B71" s="396"/>
      <c r="C71" s="397"/>
      <c r="D71" s="392"/>
      <c r="E71" s="150"/>
      <c r="F71" s="180"/>
      <c r="G71" s="180"/>
      <c r="H71" s="181"/>
      <c r="I71" s="158">
        <v>0</v>
      </c>
      <c r="J71" s="181"/>
      <c r="K71" s="159">
        <f>(H71+I71)-J71</f>
        <v>0</v>
      </c>
    </row>
    <row r="72" spans="1:11" ht="18" customHeight="1">
      <c r="A72" s="151" t="s">
        <v>180</v>
      </c>
      <c r="B72" s="390"/>
      <c r="C72" s="391"/>
      <c r="D72" s="182"/>
      <c r="E72" s="150"/>
      <c r="F72" s="156"/>
      <c r="G72" s="156"/>
      <c r="H72" s="157"/>
      <c r="I72" s="158">
        <v>0</v>
      </c>
      <c r="J72" s="157"/>
      <c r="K72" s="159">
        <f>(H72+I72)-J72</f>
        <v>0</v>
      </c>
    </row>
    <row r="73" spans="1:11" ht="18" customHeight="1">
      <c r="A73" s="151"/>
      <c r="B73" s="155"/>
      <c r="E73" s="150"/>
      <c r="F73" s="183"/>
      <c r="G73" s="183"/>
      <c r="H73" s="184"/>
      <c r="I73" s="177"/>
      <c r="J73" s="184"/>
      <c r="K73" s="178"/>
    </row>
    <row r="74" spans="1:11" ht="18" customHeight="1">
      <c r="A74" s="154" t="s">
        <v>146</v>
      </c>
      <c r="B74" s="150" t="s">
        <v>147</v>
      </c>
      <c r="E74" s="150" t="s">
        <v>7</v>
      </c>
      <c r="F74" s="185">
        <f t="shared" ref="F74:K74" si="7">SUM(F68:F72)</f>
        <v>5044</v>
      </c>
      <c r="G74" s="185">
        <f t="shared" si="7"/>
        <v>0</v>
      </c>
      <c r="H74" s="185">
        <f t="shared" si="7"/>
        <v>198904</v>
      </c>
      <c r="I74" s="186">
        <f t="shared" si="7"/>
        <v>0</v>
      </c>
      <c r="J74" s="185">
        <f t="shared" si="7"/>
        <v>0</v>
      </c>
      <c r="K74" s="187">
        <f t="shared" si="7"/>
        <v>198904</v>
      </c>
    </row>
    <row r="75" spans="1:11" ht="42.75" customHeight="1">
      <c r="F75" s="153" t="s">
        <v>9</v>
      </c>
      <c r="G75" s="153" t="s">
        <v>37</v>
      </c>
      <c r="H75" s="153" t="s">
        <v>29</v>
      </c>
      <c r="I75" s="153" t="s">
        <v>30</v>
      </c>
      <c r="J75" s="153" t="s">
        <v>33</v>
      </c>
      <c r="K75" s="153" t="s">
        <v>34</v>
      </c>
    </row>
    <row r="76" spans="1:11" ht="18" customHeight="1">
      <c r="A76" s="154" t="s">
        <v>105</v>
      </c>
      <c r="B76" s="150" t="s">
        <v>106</v>
      </c>
    </row>
    <row r="77" spans="1:11" ht="18" customHeight="1">
      <c r="A77" s="151" t="s">
        <v>107</v>
      </c>
      <c r="B77" s="155" t="s">
        <v>54</v>
      </c>
      <c r="F77" s="156"/>
      <c r="G77" s="156"/>
      <c r="H77" s="157">
        <v>108056</v>
      </c>
      <c r="I77" s="158">
        <v>0</v>
      </c>
      <c r="J77" s="157"/>
      <c r="K77" s="159">
        <f>(H77+I77)-J77</f>
        <v>108056</v>
      </c>
    </row>
    <row r="78" spans="1:11" ht="18" customHeight="1">
      <c r="A78" s="151" t="s">
        <v>108</v>
      </c>
      <c r="B78" s="155" t="s">
        <v>55</v>
      </c>
      <c r="F78" s="156"/>
      <c r="G78" s="156"/>
      <c r="H78" s="157"/>
      <c r="I78" s="158">
        <v>0</v>
      </c>
      <c r="J78" s="157"/>
      <c r="K78" s="159">
        <f>(H78+I78)-J78</f>
        <v>0</v>
      </c>
    </row>
    <row r="79" spans="1:11" ht="18" customHeight="1">
      <c r="A79" s="151" t="s">
        <v>109</v>
      </c>
      <c r="B79" s="155" t="s">
        <v>13</v>
      </c>
      <c r="F79" s="156">
        <v>1049.5</v>
      </c>
      <c r="G79" s="156">
        <v>8218</v>
      </c>
      <c r="H79" s="157">
        <v>115138</v>
      </c>
      <c r="I79" s="158">
        <v>0</v>
      </c>
      <c r="J79" s="157"/>
      <c r="K79" s="159">
        <f>(H79+I79)-J79</f>
        <v>115138</v>
      </c>
    </row>
    <row r="80" spans="1:11" ht="18" customHeight="1">
      <c r="A80" s="151" t="s">
        <v>110</v>
      </c>
      <c r="B80" s="155" t="s">
        <v>56</v>
      </c>
      <c r="F80" s="156"/>
      <c r="G80" s="156"/>
      <c r="H80" s="157"/>
      <c r="I80" s="158">
        <v>0</v>
      </c>
      <c r="J80" s="157"/>
      <c r="K80" s="159">
        <f>(H80+I80)-J80</f>
        <v>0</v>
      </c>
    </row>
    <row r="81" spans="1:11" ht="18" customHeight="1">
      <c r="A81" s="151"/>
      <c r="K81" s="188"/>
    </row>
    <row r="82" spans="1:11" ht="18" customHeight="1">
      <c r="A82" s="151" t="s">
        <v>148</v>
      </c>
      <c r="B82" s="150" t="s">
        <v>149</v>
      </c>
      <c r="E82" s="150" t="s">
        <v>7</v>
      </c>
      <c r="F82" s="185">
        <f t="shared" ref="F82:K82" si="8">SUM(F77:F80)</f>
        <v>1049.5</v>
      </c>
      <c r="G82" s="185">
        <f t="shared" si="8"/>
        <v>8218</v>
      </c>
      <c r="H82" s="187">
        <f t="shared" si="8"/>
        <v>223194</v>
      </c>
      <c r="I82" s="187">
        <f t="shared" si="8"/>
        <v>0</v>
      </c>
      <c r="J82" s="187">
        <f t="shared" si="8"/>
        <v>0</v>
      </c>
      <c r="K82" s="187">
        <f t="shared" si="8"/>
        <v>223194</v>
      </c>
    </row>
    <row r="83" spans="1:11" ht="18" customHeight="1" thickBot="1">
      <c r="A83" s="151"/>
      <c r="F83" s="172"/>
      <c r="G83" s="172"/>
      <c r="H83" s="172"/>
      <c r="I83" s="172"/>
      <c r="J83" s="172"/>
      <c r="K83" s="172"/>
    </row>
    <row r="84" spans="1:11" ht="42.75" customHeight="1">
      <c r="F84" s="153" t="s">
        <v>9</v>
      </c>
      <c r="G84" s="153" t="s">
        <v>37</v>
      </c>
      <c r="H84" s="153" t="s">
        <v>29</v>
      </c>
      <c r="I84" s="153" t="s">
        <v>30</v>
      </c>
      <c r="J84" s="153" t="s">
        <v>33</v>
      </c>
      <c r="K84" s="153" t="s">
        <v>34</v>
      </c>
    </row>
    <row r="85" spans="1:11" ht="18" customHeight="1">
      <c r="A85" s="154" t="s">
        <v>111</v>
      </c>
      <c r="B85" s="150" t="s">
        <v>57</v>
      </c>
    </row>
    <row r="86" spans="1:11" ht="18" customHeight="1">
      <c r="A86" s="151" t="s">
        <v>112</v>
      </c>
      <c r="B86" s="155" t="s">
        <v>113</v>
      </c>
      <c r="F86" s="156"/>
      <c r="G86" s="156"/>
      <c r="H86" s="157"/>
      <c r="I86" s="158">
        <f t="shared" ref="I86:I96" si="9">H86*F$114</f>
        <v>0</v>
      </c>
      <c r="J86" s="157"/>
      <c r="K86" s="159">
        <f t="shared" ref="K86:K96" si="10">(H86+I86)-J86</f>
        <v>0</v>
      </c>
    </row>
    <row r="87" spans="1:11" ht="18" customHeight="1">
      <c r="A87" s="151" t="s">
        <v>114</v>
      </c>
      <c r="B87" s="155" t="s">
        <v>14</v>
      </c>
      <c r="F87" s="156"/>
      <c r="G87" s="156"/>
      <c r="H87" s="157"/>
      <c r="I87" s="158">
        <f t="shared" si="9"/>
        <v>0</v>
      </c>
      <c r="J87" s="157"/>
      <c r="K87" s="159">
        <f t="shared" si="10"/>
        <v>0</v>
      </c>
    </row>
    <row r="88" spans="1:11" ht="18" customHeight="1">
      <c r="A88" s="151" t="s">
        <v>115</v>
      </c>
      <c r="B88" s="155" t="s">
        <v>116</v>
      </c>
      <c r="F88" s="156"/>
      <c r="G88" s="156"/>
      <c r="H88" s="157"/>
      <c r="I88" s="158">
        <f t="shared" si="9"/>
        <v>0</v>
      </c>
      <c r="J88" s="157"/>
      <c r="K88" s="159">
        <f t="shared" si="10"/>
        <v>0</v>
      </c>
    </row>
    <row r="89" spans="1:11" ht="18" customHeight="1">
      <c r="A89" s="151" t="s">
        <v>117</v>
      </c>
      <c r="B89" s="155" t="s">
        <v>58</v>
      </c>
      <c r="F89" s="156"/>
      <c r="G89" s="156"/>
      <c r="H89" s="157"/>
      <c r="I89" s="158">
        <f t="shared" si="9"/>
        <v>0</v>
      </c>
      <c r="J89" s="157"/>
      <c r="K89" s="159">
        <f t="shared" si="10"/>
        <v>0</v>
      </c>
    </row>
    <row r="90" spans="1:11" ht="18" customHeight="1">
      <c r="A90" s="151" t="s">
        <v>118</v>
      </c>
      <c r="B90" s="904" t="s">
        <v>59</v>
      </c>
      <c r="C90" s="907"/>
      <c r="F90" s="156"/>
      <c r="G90" s="156"/>
      <c r="H90" s="157"/>
      <c r="I90" s="158">
        <f t="shared" si="9"/>
        <v>0</v>
      </c>
      <c r="J90" s="157"/>
      <c r="K90" s="159">
        <f t="shared" si="10"/>
        <v>0</v>
      </c>
    </row>
    <row r="91" spans="1:11" ht="18" customHeight="1">
      <c r="A91" s="151" t="s">
        <v>119</v>
      </c>
      <c r="B91" s="155" t="s">
        <v>60</v>
      </c>
      <c r="F91" s="156">
        <v>2080</v>
      </c>
      <c r="G91" s="156">
        <v>3139</v>
      </c>
      <c r="H91" s="157">
        <v>368209</v>
      </c>
      <c r="I91" s="158">
        <f t="shared" si="9"/>
        <v>184104.5</v>
      </c>
      <c r="J91" s="157"/>
      <c r="K91" s="159">
        <f t="shared" si="10"/>
        <v>552313.5</v>
      </c>
    </row>
    <row r="92" spans="1:11" ht="18" customHeight="1">
      <c r="A92" s="151" t="s">
        <v>120</v>
      </c>
      <c r="B92" s="155" t="s">
        <v>121</v>
      </c>
      <c r="F92" s="189"/>
      <c r="G92" s="189"/>
      <c r="H92" s="190"/>
      <c r="I92" s="158">
        <f t="shared" si="9"/>
        <v>0</v>
      </c>
      <c r="J92" s="190"/>
      <c r="K92" s="159">
        <f t="shared" si="10"/>
        <v>0</v>
      </c>
    </row>
    <row r="93" spans="1:11" ht="18" customHeight="1">
      <c r="A93" s="151" t="s">
        <v>122</v>
      </c>
      <c r="B93" s="155" t="s">
        <v>123</v>
      </c>
      <c r="F93" s="156"/>
      <c r="G93" s="156"/>
      <c r="H93" s="157"/>
      <c r="I93" s="158">
        <f t="shared" si="9"/>
        <v>0</v>
      </c>
      <c r="J93" s="157"/>
      <c r="K93" s="159">
        <f t="shared" si="10"/>
        <v>0</v>
      </c>
    </row>
    <row r="94" spans="1:11" ht="18" customHeight="1">
      <c r="A94" s="151" t="s">
        <v>124</v>
      </c>
      <c r="B94" s="901"/>
      <c r="C94" s="902"/>
      <c r="D94" s="903"/>
      <c r="F94" s="156"/>
      <c r="G94" s="156"/>
      <c r="H94" s="157"/>
      <c r="I94" s="158">
        <f t="shared" si="9"/>
        <v>0</v>
      </c>
      <c r="J94" s="157"/>
      <c r="K94" s="159">
        <f t="shared" si="10"/>
        <v>0</v>
      </c>
    </row>
    <row r="95" spans="1:11" ht="18" customHeight="1">
      <c r="A95" s="151" t="s">
        <v>125</v>
      </c>
      <c r="B95" s="901"/>
      <c r="C95" s="902"/>
      <c r="D95" s="903"/>
      <c r="F95" s="156"/>
      <c r="G95" s="156"/>
      <c r="H95" s="157"/>
      <c r="I95" s="158">
        <f t="shared" si="9"/>
        <v>0</v>
      </c>
      <c r="J95" s="157"/>
      <c r="K95" s="159">
        <f t="shared" si="10"/>
        <v>0</v>
      </c>
    </row>
    <row r="96" spans="1:11" ht="18" customHeight="1">
      <c r="A96" s="151" t="s">
        <v>126</v>
      </c>
      <c r="B96" s="901"/>
      <c r="C96" s="902"/>
      <c r="D96" s="903"/>
      <c r="F96" s="156"/>
      <c r="G96" s="156"/>
      <c r="H96" s="157"/>
      <c r="I96" s="158">
        <f t="shared" si="9"/>
        <v>0</v>
      </c>
      <c r="J96" s="157"/>
      <c r="K96" s="159">
        <f t="shared" si="10"/>
        <v>0</v>
      </c>
    </row>
    <row r="97" spans="1:11" ht="18" customHeight="1">
      <c r="A97" s="151"/>
      <c r="B97" s="155"/>
    </row>
    <row r="98" spans="1:11" ht="18" customHeight="1">
      <c r="A98" s="154" t="s">
        <v>150</v>
      </c>
      <c r="B98" s="150" t="s">
        <v>151</v>
      </c>
      <c r="E98" s="150" t="s">
        <v>7</v>
      </c>
      <c r="F98" s="162">
        <f t="shared" ref="F98:K98" si="11">SUM(F86:F96)</f>
        <v>2080</v>
      </c>
      <c r="G98" s="162">
        <f t="shared" si="11"/>
        <v>3139</v>
      </c>
      <c r="H98" s="162">
        <f t="shared" si="11"/>
        <v>368209</v>
      </c>
      <c r="I98" s="162">
        <f t="shared" si="11"/>
        <v>184104.5</v>
      </c>
      <c r="J98" s="162">
        <f t="shared" si="11"/>
        <v>0</v>
      </c>
      <c r="K98" s="162">
        <f t="shared" si="11"/>
        <v>552313.5</v>
      </c>
    </row>
    <row r="99" spans="1:11" ht="18" customHeight="1" thickBot="1">
      <c r="B99" s="150"/>
      <c r="F99" s="172"/>
      <c r="G99" s="172"/>
      <c r="H99" s="172"/>
      <c r="I99" s="172"/>
      <c r="J99" s="172"/>
      <c r="K99" s="172"/>
    </row>
    <row r="100" spans="1:11" ht="42.75" customHeight="1">
      <c r="F100" s="153" t="s">
        <v>9</v>
      </c>
      <c r="G100" s="153" t="s">
        <v>37</v>
      </c>
      <c r="H100" s="153" t="s">
        <v>29</v>
      </c>
      <c r="I100" s="153" t="s">
        <v>30</v>
      </c>
      <c r="J100" s="153" t="s">
        <v>33</v>
      </c>
      <c r="K100" s="153" t="s">
        <v>34</v>
      </c>
    </row>
    <row r="101" spans="1:11" ht="18" customHeight="1">
      <c r="A101" s="154" t="s">
        <v>130</v>
      </c>
      <c r="B101" s="150" t="s">
        <v>63</v>
      </c>
    </row>
    <row r="102" spans="1:11" ht="18" customHeight="1">
      <c r="A102" s="151" t="s">
        <v>131</v>
      </c>
      <c r="B102" s="155" t="s">
        <v>152</v>
      </c>
      <c r="F102" s="156">
        <v>2080</v>
      </c>
      <c r="G102" s="156"/>
      <c r="H102" s="157">
        <v>127920</v>
      </c>
      <c r="I102" s="158">
        <f>H102*F$114</f>
        <v>63960</v>
      </c>
      <c r="J102" s="157"/>
      <c r="K102" s="159">
        <f>(H102+I102)-J102</f>
        <v>191880</v>
      </c>
    </row>
    <row r="103" spans="1:11" ht="18" customHeight="1">
      <c r="A103" s="151" t="s">
        <v>132</v>
      </c>
      <c r="B103" s="904" t="s">
        <v>62</v>
      </c>
      <c r="C103" s="904"/>
      <c r="F103" s="156">
        <v>20</v>
      </c>
      <c r="G103" s="156"/>
      <c r="H103" s="157">
        <v>16295</v>
      </c>
      <c r="I103" s="158">
        <f>H103*F$114</f>
        <v>8147.5</v>
      </c>
      <c r="J103" s="157"/>
      <c r="K103" s="159">
        <f>(H103+I103)-J103</f>
        <v>24442.5</v>
      </c>
    </row>
    <row r="104" spans="1:11" ht="18" customHeight="1">
      <c r="A104" s="151" t="s">
        <v>128</v>
      </c>
      <c r="B104" s="901"/>
      <c r="C104" s="902"/>
      <c r="D104" s="903"/>
      <c r="F104" s="156"/>
      <c r="G104" s="156"/>
      <c r="H104" s="157"/>
      <c r="I104" s="158">
        <f>H104*F$114</f>
        <v>0</v>
      </c>
      <c r="J104" s="157"/>
      <c r="K104" s="159">
        <f>(H104+I104)-J104</f>
        <v>0</v>
      </c>
    </row>
    <row r="105" spans="1:11" ht="18" customHeight="1">
      <c r="A105" s="151" t="s">
        <v>127</v>
      </c>
      <c r="B105" s="901"/>
      <c r="C105" s="902"/>
      <c r="D105" s="903"/>
      <c r="F105" s="156"/>
      <c r="G105" s="156"/>
      <c r="H105" s="157"/>
      <c r="I105" s="158">
        <f>H105*F$114</f>
        <v>0</v>
      </c>
      <c r="J105" s="157"/>
      <c r="K105" s="159">
        <f>(H105+I105)-J105</f>
        <v>0</v>
      </c>
    </row>
    <row r="106" spans="1:11" ht="18" customHeight="1">
      <c r="A106" s="151" t="s">
        <v>129</v>
      </c>
      <c r="B106" s="901"/>
      <c r="C106" s="902"/>
      <c r="D106" s="903"/>
      <c r="F106" s="156"/>
      <c r="G106" s="156"/>
      <c r="H106" s="157"/>
      <c r="I106" s="158">
        <f>H106*F$114</f>
        <v>0</v>
      </c>
      <c r="J106" s="157"/>
      <c r="K106" s="159">
        <f>(H106+I106)-J106</f>
        <v>0</v>
      </c>
    </row>
    <row r="107" spans="1:11" ht="18" customHeight="1">
      <c r="B107" s="150"/>
    </row>
    <row r="108" spans="1:11" s="167" customFormat="1" ht="18" customHeight="1">
      <c r="A108" s="154" t="s">
        <v>153</v>
      </c>
      <c r="B108" s="191" t="s">
        <v>154</v>
      </c>
      <c r="C108" s="147"/>
      <c r="D108" s="147"/>
      <c r="E108" s="150" t="s">
        <v>7</v>
      </c>
      <c r="F108" s="162">
        <f t="shared" ref="F108:K108" si="12">SUM(F102:F106)</f>
        <v>2100</v>
      </c>
      <c r="G108" s="162">
        <f t="shared" si="12"/>
        <v>0</v>
      </c>
      <c r="H108" s="159">
        <f t="shared" si="12"/>
        <v>144215</v>
      </c>
      <c r="I108" s="159">
        <f t="shared" si="12"/>
        <v>72107.5</v>
      </c>
      <c r="J108" s="159">
        <f t="shared" si="12"/>
        <v>0</v>
      </c>
      <c r="K108" s="159">
        <f t="shared" si="12"/>
        <v>216322.5</v>
      </c>
    </row>
    <row r="109" spans="1:11" s="167" customFormat="1" ht="18" customHeight="1" thickBot="1">
      <c r="A109" s="192"/>
      <c r="B109" s="193"/>
      <c r="C109" s="194"/>
      <c r="D109" s="194"/>
      <c r="E109" s="194"/>
      <c r="F109" s="172"/>
      <c r="G109" s="172"/>
      <c r="H109" s="172"/>
      <c r="I109" s="172"/>
      <c r="J109" s="172"/>
      <c r="K109" s="172"/>
    </row>
    <row r="110" spans="1:11" s="167" customFormat="1" ht="18" customHeight="1">
      <c r="A110" s="154" t="s">
        <v>156</v>
      </c>
      <c r="B110" s="150" t="s">
        <v>39</v>
      </c>
      <c r="C110" s="147"/>
      <c r="D110" s="147"/>
      <c r="E110" s="147"/>
      <c r="F110" s="147"/>
      <c r="G110" s="147"/>
      <c r="H110" s="147"/>
      <c r="I110" s="147"/>
      <c r="J110" s="147"/>
      <c r="K110" s="147"/>
    </row>
    <row r="111" spans="1:11" ht="18" customHeight="1">
      <c r="A111" s="154" t="s">
        <v>155</v>
      </c>
      <c r="B111" s="150" t="s">
        <v>164</v>
      </c>
      <c r="E111" s="150" t="s">
        <v>7</v>
      </c>
      <c r="F111" s="157">
        <v>1228796</v>
      </c>
    </row>
    <row r="112" spans="1:11" ht="18" customHeight="1">
      <c r="B112" s="150"/>
      <c r="E112" s="150"/>
      <c r="F112" s="195"/>
    </row>
    <row r="113" spans="1:6" ht="18" customHeight="1">
      <c r="A113" s="154"/>
      <c r="B113" s="150" t="s">
        <v>15</v>
      </c>
    </row>
    <row r="114" spans="1:6" ht="18" customHeight="1">
      <c r="A114" s="151" t="s">
        <v>171</v>
      </c>
      <c r="B114" s="155" t="s">
        <v>35</v>
      </c>
      <c r="F114" s="196">
        <v>0.5</v>
      </c>
    </row>
    <row r="115" spans="1:6" ht="18" customHeight="1">
      <c r="A115" s="151"/>
      <c r="B115" s="150"/>
    </row>
    <row r="116" spans="1:6" ht="18" customHeight="1">
      <c r="A116" s="151" t="s">
        <v>170</v>
      </c>
      <c r="B116" s="150" t="s">
        <v>16</v>
      </c>
    </row>
    <row r="117" spans="1:6" ht="18" customHeight="1">
      <c r="A117" s="151" t="s">
        <v>172</v>
      </c>
      <c r="B117" s="155" t="s">
        <v>17</v>
      </c>
      <c r="F117" s="157">
        <v>223998962</v>
      </c>
    </row>
    <row r="118" spans="1:6" ht="18" customHeight="1">
      <c r="A118" s="151" t="s">
        <v>173</v>
      </c>
      <c r="B118" s="147" t="s">
        <v>18</v>
      </c>
      <c r="F118" s="157">
        <v>4439131</v>
      </c>
    </row>
    <row r="119" spans="1:6" ht="18" customHeight="1">
      <c r="A119" s="151" t="s">
        <v>174</v>
      </c>
      <c r="B119" s="150" t="s">
        <v>19</v>
      </c>
      <c r="F119" s="187">
        <f>SUM(F117:F118)</f>
        <v>228438093</v>
      </c>
    </row>
    <row r="120" spans="1:6" ht="18" customHeight="1">
      <c r="A120" s="151"/>
      <c r="B120" s="150"/>
    </row>
    <row r="121" spans="1:6" ht="18" customHeight="1">
      <c r="A121" s="151" t="s">
        <v>167</v>
      </c>
      <c r="B121" s="150" t="s">
        <v>36</v>
      </c>
      <c r="F121" s="157">
        <v>219182979</v>
      </c>
    </row>
    <row r="122" spans="1:6" ht="18" customHeight="1">
      <c r="A122" s="151"/>
    </row>
    <row r="123" spans="1:6" ht="18" customHeight="1">
      <c r="A123" s="151" t="s">
        <v>175</v>
      </c>
      <c r="B123" s="150" t="s">
        <v>20</v>
      </c>
      <c r="F123" s="157">
        <v>9255114</v>
      </c>
    </row>
    <row r="124" spans="1:6" ht="18" customHeight="1">
      <c r="A124" s="151"/>
    </row>
    <row r="125" spans="1:6" ht="18" customHeight="1">
      <c r="A125" s="151" t="s">
        <v>176</v>
      </c>
      <c r="B125" s="150" t="s">
        <v>21</v>
      </c>
      <c r="F125" s="157">
        <v>-5278904</v>
      </c>
    </row>
    <row r="126" spans="1:6" ht="18" customHeight="1">
      <c r="A126" s="151"/>
    </row>
    <row r="127" spans="1:6" ht="18" customHeight="1">
      <c r="A127" s="151" t="s">
        <v>177</v>
      </c>
      <c r="B127" s="150" t="s">
        <v>22</v>
      </c>
      <c r="F127" s="157">
        <v>3976210</v>
      </c>
    </row>
    <row r="128" spans="1:6" ht="18" customHeight="1">
      <c r="A128" s="151"/>
    </row>
    <row r="129" spans="1:11" ht="42.75" customHeight="1">
      <c r="F129" s="153" t="s">
        <v>9</v>
      </c>
      <c r="G129" s="153" t="s">
        <v>37</v>
      </c>
      <c r="H129" s="153" t="s">
        <v>29</v>
      </c>
      <c r="I129" s="153" t="s">
        <v>30</v>
      </c>
      <c r="J129" s="153" t="s">
        <v>33</v>
      </c>
      <c r="K129" s="153" t="s">
        <v>34</v>
      </c>
    </row>
    <row r="130" spans="1:11" ht="18" customHeight="1">
      <c r="A130" s="154" t="s">
        <v>157</v>
      </c>
      <c r="B130" s="150" t="s">
        <v>23</v>
      </c>
    </row>
    <row r="131" spans="1:11" ht="18" customHeight="1">
      <c r="A131" s="151" t="s">
        <v>158</v>
      </c>
      <c r="B131" s="147" t="s">
        <v>24</v>
      </c>
      <c r="F131" s="156"/>
      <c r="G131" s="156"/>
      <c r="H131" s="157"/>
      <c r="I131" s="158">
        <v>0</v>
      </c>
      <c r="J131" s="157"/>
      <c r="K131" s="159">
        <f>(H131+I131)-J131</f>
        <v>0</v>
      </c>
    </row>
    <row r="132" spans="1:11" ht="18" customHeight="1">
      <c r="A132" s="151" t="s">
        <v>159</v>
      </c>
      <c r="B132" s="147" t="s">
        <v>25</v>
      </c>
      <c r="F132" s="156"/>
      <c r="G132" s="156"/>
      <c r="H132" s="157"/>
      <c r="I132" s="158">
        <v>0</v>
      </c>
      <c r="J132" s="157"/>
      <c r="K132" s="159">
        <f>(H132+I132)-J132</f>
        <v>0</v>
      </c>
    </row>
    <row r="133" spans="1:11" ht="18" customHeight="1">
      <c r="A133" s="151" t="s">
        <v>160</v>
      </c>
      <c r="B133" s="898"/>
      <c r="C133" s="899"/>
      <c r="D133" s="900"/>
      <c r="F133" s="156"/>
      <c r="G133" s="156"/>
      <c r="H133" s="157"/>
      <c r="I133" s="158">
        <v>0</v>
      </c>
      <c r="J133" s="157"/>
      <c r="K133" s="159">
        <f>(H133+I133)-J133</f>
        <v>0</v>
      </c>
    </row>
    <row r="134" spans="1:11" ht="18" customHeight="1">
      <c r="A134" s="151" t="s">
        <v>161</v>
      </c>
      <c r="B134" s="898"/>
      <c r="C134" s="899"/>
      <c r="D134" s="900"/>
      <c r="F134" s="156"/>
      <c r="G134" s="156"/>
      <c r="H134" s="157"/>
      <c r="I134" s="158">
        <v>0</v>
      </c>
      <c r="J134" s="157"/>
      <c r="K134" s="159">
        <f>(H134+I134)-J134</f>
        <v>0</v>
      </c>
    </row>
    <row r="135" spans="1:11" ht="18" customHeight="1">
      <c r="A135" s="151" t="s">
        <v>162</v>
      </c>
      <c r="B135" s="898"/>
      <c r="C135" s="899"/>
      <c r="D135" s="900"/>
      <c r="F135" s="156"/>
      <c r="G135" s="156"/>
      <c r="H135" s="157"/>
      <c r="I135" s="158">
        <v>0</v>
      </c>
      <c r="J135" s="157"/>
      <c r="K135" s="159">
        <f>(H135+I135)-J135</f>
        <v>0</v>
      </c>
    </row>
    <row r="136" spans="1:11" ht="18" customHeight="1">
      <c r="A136" s="154"/>
    </row>
    <row r="137" spans="1:11" ht="18" customHeight="1">
      <c r="A137" s="154" t="s">
        <v>163</v>
      </c>
      <c r="B137" s="150" t="s">
        <v>27</v>
      </c>
      <c r="F137" s="162">
        <f t="shared" ref="F137:K137" si="13">SUM(F131:F135)</f>
        <v>0</v>
      </c>
      <c r="G137" s="162">
        <f t="shared" si="13"/>
        <v>0</v>
      </c>
      <c r="H137" s="159">
        <f t="shared" si="13"/>
        <v>0</v>
      </c>
      <c r="I137" s="159">
        <f t="shared" si="13"/>
        <v>0</v>
      </c>
      <c r="J137" s="159">
        <f t="shared" si="13"/>
        <v>0</v>
      </c>
      <c r="K137" s="159">
        <f t="shared" si="13"/>
        <v>0</v>
      </c>
    </row>
    <row r="138" spans="1:11" ht="18" customHeight="1">
      <c r="A138" s="147"/>
    </row>
    <row r="139" spans="1:11" ht="42.75" customHeight="1">
      <c r="F139" s="153" t="s">
        <v>9</v>
      </c>
      <c r="G139" s="153" t="s">
        <v>37</v>
      </c>
      <c r="H139" s="153" t="s">
        <v>29</v>
      </c>
      <c r="I139" s="153" t="s">
        <v>30</v>
      </c>
      <c r="J139" s="153" t="s">
        <v>33</v>
      </c>
      <c r="K139" s="153" t="s">
        <v>34</v>
      </c>
    </row>
    <row r="140" spans="1:11" ht="18" customHeight="1">
      <c r="A140" s="154" t="s">
        <v>166</v>
      </c>
      <c r="B140" s="150" t="s">
        <v>26</v>
      </c>
    </row>
    <row r="141" spans="1:11" ht="18" customHeight="1">
      <c r="A141" s="151" t="s">
        <v>137</v>
      </c>
      <c r="B141" s="150" t="s">
        <v>64</v>
      </c>
      <c r="F141" s="197">
        <f t="shared" ref="F141:K141" si="14">F36</f>
        <v>30758.5</v>
      </c>
      <c r="G141" s="197">
        <f t="shared" si="14"/>
        <v>80496</v>
      </c>
      <c r="H141" s="197">
        <f t="shared" si="14"/>
        <v>2167181</v>
      </c>
      <c r="I141" s="197">
        <f t="shared" si="14"/>
        <v>1083590.5</v>
      </c>
      <c r="J141" s="197">
        <f t="shared" si="14"/>
        <v>171927</v>
      </c>
      <c r="K141" s="197">
        <f t="shared" si="14"/>
        <v>3078844.5</v>
      </c>
    </row>
    <row r="142" spans="1:11" ht="18" customHeight="1">
      <c r="A142" s="151" t="s">
        <v>142</v>
      </c>
      <c r="B142" s="150" t="s">
        <v>65</v>
      </c>
      <c r="F142" s="197">
        <f t="shared" ref="F142:K142" si="15">F49</f>
        <v>16885</v>
      </c>
      <c r="G142" s="197">
        <f t="shared" si="15"/>
        <v>474</v>
      </c>
      <c r="H142" s="197">
        <f t="shared" si="15"/>
        <v>531839</v>
      </c>
      <c r="I142" s="197">
        <f t="shared" si="15"/>
        <v>0</v>
      </c>
      <c r="J142" s="197">
        <f t="shared" si="15"/>
        <v>0</v>
      </c>
      <c r="K142" s="197">
        <f t="shared" si="15"/>
        <v>531839</v>
      </c>
    </row>
    <row r="143" spans="1:11" ht="18" customHeight="1">
      <c r="A143" s="151" t="s">
        <v>144</v>
      </c>
      <c r="B143" s="150" t="s">
        <v>66</v>
      </c>
      <c r="F143" s="197">
        <f t="shared" ref="F143:K143" si="16">F64</f>
        <v>94202</v>
      </c>
      <c r="G143" s="197">
        <f t="shared" si="16"/>
        <v>55890</v>
      </c>
      <c r="H143" s="197">
        <f t="shared" si="16"/>
        <v>8151077</v>
      </c>
      <c r="I143" s="197">
        <f t="shared" si="16"/>
        <v>0</v>
      </c>
      <c r="J143" s="197">
        <f t="shared" si="16"/>
        <v>0</v>
      </c>
      <c r="K143" s="197">
        <f t="shared" si="16"/>
        <v>8151077</v>
      </c>
    </row>
    <row r="144" spans="1:11" ht="18" customHeight="1">
      <c r="A144" s="151" t="s">
        <v>146</v>
      </c>
      <c r="B144" s="150" t="s">
        <v>67</v>
      </c>
      <c r="F144" s="197">
        <f t="shared" ref="F144:K144" si="17">F74</f>
        <v>5044</v>
      </c>
      <c r="G144" s="197">
        <f t="shared" si="17"/>
        <v>0</v>
      </c>
      <c r="H144" s="197">
        <f t="shared" si="17"/>
        <v>198904</v>
      </c>
      <c r="I144" s="197">
        <f t="shared" si="17"/>
        <v>0</v>
      </c>
      <c r="J144" s="197">
        <f t="shared" si="17"/>
        <v>0</v>
      </c>
      <c r="K144" s="197">
        <f t="shared" si="17"/>
        <v>198904</v>
      </c>
    </row>
    <row r="145" spans="1:11" ht="18" customHeight="1">
      <c r="A145" s="151" t="s">
        <v>148</v>
      </c>
      <c r="B145" s="150" t="s">
        <v>68</v>
      </c>
      <c r="F145" s="197">
        <f t="shared" ref="F145:K145" si="18">F82</f>
        <v>1049.5</v>
      </c>
      <c r="G145" s="197">
        <f t="shared" si="18"/>
        <v>8218</v>
      </c>
      <c r="H145" s="197">
        <f t="shared" si="18"/>
        <v>223194</v>
      </c>
      <c r="I145" s="197">
        <f t="shared" si="18"/>
        <v>0</v>
      </c>
      <c r="J145" s="197">
        <f t="shared" si="18"/>
        <v>0</v>
      </c>
      <c r="K145" s="197">
        <f t="shared" si="18"/>
        <v>223194</v>
      </c>
    </row>
    <row r="146" spans="1:11" ht="18" customHeight="1">
      <c r="A146" s="151" t="s">
        <v>150</v>
      </c>
      <c r="B146" s="150" t="s">
        <v>69</v>
      </c>
      <c r="F146" s="197">
        <f t="shared" ref="F146:K146" si="19">F98</f>
        <v>2080</v>
      </c>
      <c r="G146" s="197">
        <f t="shared" si="19"/>
        <v>3139</v>
      </c>
      <c r="H146" s="197">
        <f t="shared" si="19"/>
        <v>368209</v>
      </c>
      <c r="I146" s="197">
        <f t="shared" si="19"/>
        <v>184104.5</v>
      </c>
      <c r="J146" s="197">
        <f t="shared" si="19"/>
        <v>0</v>
      </c>
      <c r="K146" s="197">
        <f t="shared" si="19"/>
        <v>552313.5</v>
      </c>
    </row>
    <row r="147" spans="1:11" ht="18" customHeight="1">
      <c r="A147" s="151" t="s">
        <v>153</v>
      </c>
      <c r="B147" s="150" t="s">
        <v>61</v>
      </c>
      <c r="F147" s="162">
        <f t="shared" ref="F147:K147" si="20">F108</f>
        <v>2100</v>
      </c>
      <c r="G147" s="162">
        <f t="shared" si="20"/>
        <v>0</v>
      </c>
      <c r="H147" s="162">
        <f t="shared" si="20"/>
        <v>144215</v>
      </c>
      <c r="I147" s="162">
        <f t="shared" si="20"/>
        <v>72107.5</v>
      </c>
      <c r="J147" s="162">
        <f t="shared" si="20"/>
        <v>0</v>
      </c>
      <c r="K147" s="162">
        <f t="shared" si="20"/>
        <v>216322.5</v>
      </c>
    </row>
    <row r="148" spans="1:11" ht="18" customHeight="1">
      <c r="A148" s="151" t="s">
        <v>155</v>
      </c>
      <c r="B148" s="150" t="s">
        <v>70</v>
      </c>
      <c r="F148" s="198" t="s">
        <v>73</v>
      </c>
      <c r="G148" s="198" t="s">
        <v>73</v>
      </c>
      <c r="H148" s="199" t="s">
        <v>73</v>
      </c>
      <c r="I148" s="199" t="s">
        <v>73</v>
      </c>
      <c r="J148" s="199" t="s">
        <v>73</v>
      </c>
      <c r="K148" s="200">
        <f>F111</f>
        <v>1228796</v>
      </c>
    </row>
    <row r="149" spans="1:11" ht="18" customHeight="1">
      <c r="A149" s="151" t="s">
        <v>163</v>
      </c>
      <c r="B149" s="150" t="s">
        <v>71</v>
      </c>
      <c r="F149" s="162">
        <f t="shared" ref="F149:K149" si="21">F137</f>
        <v>0</v>
      </c>
      <c r="G149" s="162">
        <f t="shared" si="21"/>
        <v>0</v>
      </c>
      <c r="H149" s="162">
        <f t="shared" si="21"/>
        <v>0</v>
      </c>
      <c r="I149" s="162">
        <f t="shared" si="21"/>
        <v>0</v>
      </c>
      <c r="J149" s="162">
        <f t="shared" si="21"/>
        <v>0</v>
      </c>
      <c r="K149" s="162">
        <f t="shared" si="21"/>
        <v>0</v>
      </c>
    </row>
    <row r="150" spans="1:11" ht="18" customHeight="1">
      <c r="A150" s="151" t="s">
        <v>185</v>
      </c>
      <c r="B150" s="150" t="s">
        <v>186</v>
      </c>
      <c r="F150" s="198" t="s">
        <v>73</v>
      </c>
      <c r="G150" s="198" t="s">
        <v>73</v>
      </c>
      <c r="H150" s="162">
        <f>H18</f>
        <v>6465681.6443761103</v>
      </c>
      <c r="I150" s="162">
        <f>I18</f>
        <v>0</v>
      </c>
      <c r="J150" s="162">
        <f>J18</f>
        <v>5528966.2296933299</v>
      </c>
      <c r="K150" s="162">
        <f>K18</f>
        <v>936715.41468278039</v>
      </c>
    </row>
    <row r="151" spans="1:11" ht="18" customHeight="1">
      <c r="B151" s="150"/>
      <c r="F151" s="174"/>
      <c r="G151" s="174"/>
      <c r="H151" s="174"/>
      <c r="I151" s="174"/>
      <c r="J151" s="174"/>
      <c r="K151" s="174"/>
    </row>
    <row r="152" spans="1:11" ht="18" customHeight="1">
      <c r="A152" s="154" t="s">
        <v>165</v>
      </c>
      <c r="B152" s="150" t="s">
        <v>26</v>
      </c>
      <c r="F152" s="201">
        <f t="shared" ref="F152:K152" si="22">SUM(F141:F150)</f>
        <v>152119</v>
      </c>
      <c r="G152" s="201">
        <f t="shared" si="22"/>
        <v>148217</v>
      </c>
      <c r="H152" s="201">
        <f t="shared" si="22"/>
        <v>18250300.64437611</v>
      </c>
      <c r="I152" s="201">
        <f t="shared" si="22"/>
        <v>1339802.5</v>
      </c>
      <c r="J152" s="201">
        <f t="shared" si="22"/>
        <v>5700893.2296933299</v>
      </c>
      <c r="K152" s="201">
        <f t="shared" si="22"/>
        <v>15118005.914682779</v>
      </c>
    </row>
    <row r="154" spans="1:11" ht="18" customHeight="1">
      <c r="A154" s="154" t="s">
        <v>168</v>
      </c>
      <c r="B154" s="150" t="s">
        <v>28</v>
      </c>
      <c r="F154" s="53">
        <f>K152/F121</f>
        <v>6.8974360982121605E-2</v>
      </c>
    </row>
    <row r="155" spans="1:11" ht="18" customHeight="1">
      <c r="A155" s="154" t="s">
        <v>169</v>
      </c>
      <c r="B155" s="150" t="s">
        <v>72</v>
      </c>
      <c r="F155" s="53">
        <f>K152/F127</f>
        <v>3.8021145549864768</v>
      </c>
      <c r="G155" s="150"/>
    </row>
    <row r="156" spans="1:11" ht="18" customHeight="1">
      <c r="G156" s="150"/>
    </row>
  </sheetData>
  <sheetProtection algorithmName="SHA-512" hashValue="iVvdvBFvLJrCQayOzWBOnlmmkvSOlg0vsuWfxw4ykvUWsRMIU69Eos4F9LU4n3blGdfrud4L5z60Zw6vfmvLvQ==" saltValue="dNfDTr1s26G+Dg2uXX89nw==" spinCount="100000" sheet="1" objects="1" scenarios="1"/>
  <mergeCells count="34">
    <mergeCell ref="B41:C41"/>
    <mergeCell ref="D2:H2"/>
    <mergeCell ref="C5:G5"/>
    <mergeCell ref="C6:G6"/>
    <mergeCell ref="C7:G7"/>
    <mergeCell ref="C9:G9"/>
    <mergeCell ref="C10:G10"/>
    <mergeCell ref="C11:G11"/>
    <mergeCell ref="B13:H13"/>
    <mergeCell ref="B30:D30"/>
    <mergeCell ref="B31:D31"/>
    <mergeCell ref="B34:D34"/>
    <mergeCell ref="B90:C90"/>
    <mergeCell ref="B44:D44"/>
    <mergeCell ref="B45:D45"/>
    <mergeCell ref="B46:D46"/>
    <mergeCell ref="B47:D47"/>
    <mergeCell ref="B52:C52"/>
    <mergeCell ref="B53:D53"/>
    <mergeCell ref="B55:D55"/>
    <mergeCell ref="B56:D56"/>
    <mergeCell ref="B57:D57"/>
    <mergeCell ref="B59:D59"/>
    <mergeCell ref="B62:D62"/>
    <mergeCell ref="B106:D106"/>
    <mergeCell ref="B133:D133"/>
    <mergeCell ref="B134:D134"/>
    <mergeCell ref="B135:D135"/>
    <mergeCell ref="B94:D94"/>
    <mergeCell ref="B95:D95"/>
    <mergeCell ref="B96:D96"/>
    <mergeCell ref="B103:C103"/>
    <mergeCell ref="B104:D104"/>
    <mergeCell ref="B105:D105"/>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1:K157"/>
  <sheetViews>
    <sheetView zoomScaleNormal="100" workbookViewId="0">
      <selection activeCell="K18" sqref="K18"/>
    </sheetView>
  </sheetViews>
  <sheetFormatPr defaultRowHeight="18" customHeight="1"/>
  <cols>
    <col min="1" max="1" width="8.28515625" style="420" customWidth="1"/>
    <col min="2" max="2" width="55.42578125" style="418" bestFit="1" customWidth="1"/>
    <col min="3" max="3" width="9.5703125" style="418" customWidth="1"/>
    <col min="4" max="4" width="9.140625" style="418"/>
    <col min="5" max="5" width="12.42578125" style="418" customWidth="1"/>
    <col min="6" max="6" width="18.5703125" style="418" customWidth="1"/>
    <col min="7" max="7" width="23.5703125" style="418" customWidth="1"/>
    <col min="8" max="8" width="17.140625" style="418" customWidth="1"/>
    <col min="9" max="9" width="21.140625" style="418" customWidth="1"/>
    <col min="10" max="10" width="19.85546875" style="418" customWidth="1"/>
    <col min="11" max="11" width="17.5703125" style="418" customWidth="1"/>
    <col min="12" max="16384" width="9.140625" style="418"/>
  </cols>
  <sheetData>
    <row r="1" spans="1:11" ht="18" customHeight="1">
      <c r="C1" s="484"/>
      <c r="D1" s="485"/>
      <c r="E1" s="484"/>
      <c r="F1" s="484"/>
      <c r="G1" s="484"/>
      <c r="H1" s="484"/>
      <c r="I1" s="484"/>
      <c r="J1" s="484"/>
      <c r="K1" s="484"/>
    </row>
    <row r="2" spans="1:11" ht="18" customHeight="1">
      <c r="D2" s="1023" t="s">
        <v>713</v>
      </c>
      <c r="E2" s="997"/>
      <c r="F2" s="997"/>
      <c r="G2" s="997"/>
      <c r="H2" s="997"/>
    </row>
    <row r="3" spans="1:11" ht="18" customHeight="1">
      <c r="B3" s="419" t="s">
        <v>0</v>
      </c>
    </row>
    <row r="5" spans="1:11" ht="18" customHeight="1">
      <c r="B5" s="427" t="s">
        <v>40</v>
      </c>
      <c r="C5" s="1024" t="s">
        <v>307</v>
      </c>
      <c r="D5" s="1025"/>
      <c r="E5" s="1025"/>
      <c r="F5" s="1025"/>
      <c r="G5" s="1026"/>
    </row>
    <row r="6" spans="1:11" ht="18" customHeight="1">
      <c r="B6" s="427" t="s">
        <v>3</v>
      </c>
      <c r="C6" s="1027">
        <v>34</v>
      </c>
      <c r="D6" s="1028"/>
      <c r="E6" s="1028"/>
      <c r="F6" s="1028"/>
      <c r="G6" s="1029"/>
    </row>
    <row r="7" spans="1:11" ht="18" customHeight="1">
      <c r="B7" s="427" t="s">
        <v>4</v>
      </c>
      <c r="C7" s="1030">
        <v>1185</v>
      </c>
      <c r="D7" s="1031"/>
      <c r="E7" s="1031"/>
      <c r="F7" s="1031"/>
      <c r="G7" s="1032"/>
    </row>
    <row r="9" spans="1:11" ht="18" customHeight="1">
      <c r="B9" s="427" t="s">
        <v>1</v>
      </c>
      <c r="C9" s="1024" t="s">
        <v>503</v>
      </c>
      <c r="D9" s="1025"/>
      <c r="E9" s="1025"/>
      <c r="F9" s="1025"/>
      <c r="G9" s="1026"/>
    </row>
    <row r="10" spans="1:11" ht="18" customHeight="1">
      <c r="B10" s="427" t="s">
        <v>2</v>
      </c>
      <c r="C10" s="1083" t="s">
        <v>491</v>
      </c>
      <c r="D10" s="1084"/>
      <c r="E10" s="1084"/>
      <c r="F10" s="1084"/>
      <c r="G10" s="1085"/>
    </row>
    <row r="11" spans="1:11" ht="18" customHeight="1">
      <c r="B11" s="427" t="s">
        <v>32</v>
      </c>
      <c r="C11" s="1024" t="s">
        <v>498</v>
      </c>
      <c r="D11" s="1087"/>
      <c r="E11" s="1087"/>
      <c r="F11" s="1087"/>
      <c r="G11" s="1087"/>
    </row>
    <row r="12" spans="1:11" ht="18" customHeight="1">
      <c r="B12" s="427"/>
      <c r="C12" s="427"/>
      <c r="D12" s="427"/>
      <c r="E12" s="427"/>
      <c r="F12" s="427"/>
      <c r="G12" s="427"/>
    </row>
    <row r="13" spans="1:11" ht="24.6" customHeight="1">
      <c r="B13" s="1034"/>
      <c r="C13" s="1035"/>
      <c r="D13" s="1035"/>
      <c r="E13" s="1035"/>
      <c r="F13" s="1035"/>
      <c r="G13" s="1035"/>
      <c r="H13" s="1036"/>
      <c r="I13" s="484"/>
    </row>
    <row r="14" spans="1:11" ht="18" customHeight="1">
      <c r="B14" s="497"/>
    </row>
    <row r="15" spans="1:11" ht="18" customHeight="1">
      <c r="B15" s="497"/>
    </row>
    <row r="16" spans="1:11" ht="45" customHeight="1">
      <c r="A16" s="485" t="s">
        <v>181</v>
      </c>
      <c r="B16" s="484"/>
      <c r="C16" s="484"/>
      <c r="D16" s="484"/>
      <c r="E16" s="484"/>
      <c r="F16" s="431" t="s">
        <v>9</v>
      </c>
      <c r="G16" s="431" t="s">
        <v>37</v>
      </c>
      <c r="H16" s="431" t="s">
        <v>29</v>
      </c>
      <c r="I16" s="431" t="s">
        <v>30</v>
      </c>
      <c r="J16" s="431" t="s">
        <v>33</v>
      </c>
      <c r="K16" s="431" t="s">
        <v>34</v>
      </c>
    </row>
    <row r="17" spans="1:11" ht="18" customHeight="1">
      <c r="A17" s="422" t="s">
        <v>184</v>
      </c>
      <c r="B17" s="419" t="s">
        <v>182</v>
      </c>
    </row>
    <row r="18" spans="1:11" ht="18" customHeight="1">
      <c r="A18" s="427" t="s">
        <v>185</v>
      </c>
      <c r="B18" s="439" t="s">
        <v>183</v>
      </c>
      <c r="F18" s="435" t="s">
        <v>73</v>
      </c>
      <c r="G18" s="435" t="s">
        <v>73</v>
      </c>
      <c r="H18" s="433">
        <v>5086938</v>
      </c>
      <c r="I18" s="434"/>
      <c r="J18" s="433">
        <v>4349968</v>
      </c>
      <c r="K18" s="432">
        <f>(H18+I18)-J18</f>
        <v>736970</v>
      </c>
    </row>
    <row r="19" spans="1:11" ht="45" customHeight="1">
      <c r="A19" s="485" t="s">
        <v>8</v>
      </c>
      <c r="B19" s="484"/>
      <c r="C19" s="484"/>
      <c r="D19" s="484"/>
      <c r="E19" s="484"/>
      <c r="F19" s="431" t="s">
        <v>9</v>
      </c>
      <c r="G19" s="431" t="s">
        <v>37</v>
      </c>
      <c r="H19" s="431" t="s">
        <v>29</v>
      </c>
      <c r="I19" s="431" t="s">
        <v>30</v>
      </c>
      <c r="J19" s="431" t="s">
        <v>33</v>
      </c>
      <c r="K19" s="431" t="s">
        <v>34</v>
      </c>
    </row>
    <row r="20" spans="1:11" ht="18" customHeight="1">
      <c r="A20" s="422" t="s">
        <v>74</v>
      </c>
      <c r="B20" s="419" t="s">
        <v>41</v>
      </c>
    </row>
    <row r="21" spans="1:11" ht="18" customHeight="1">
      <c r="A21" s="427" t="s">
        <v>75</v>
      </c>
      <c r="B21" s="439" t="s">
        <v>42</v>
      </c>
      <c r="F21" s="435">
        <v>2081.5</v>
      </c>
      <c r="G21" s="435">
        <v>126325</v>
      </c>
      <c r="H21" s="433">
        <v>121701</v>
      </c>
      <c r="I21" s="434">
        <v>87338</v>
      </c>
      <c r="J21" s="433">
        <v>2400</v>
      </c>
      <c r="K21" s="432">
        <f t="shared" ref="K21:K34" si="0">(H21+I21)-J21</f>
        <v>206639</v>
      </c>
    </row>
    <row r="22" spans="1:11" ht="18" customHeight="1">
      <c r="A22" s="427" t="s">
        <v>76</v>
      </c>
      <c r="B22" s="418" t="s">
        <v>6</v>
      </c>
      <c r="F22" s="435">
        <v>0.5</v>
      </c>
      <c r="G22" s="435">
        <v>0</v>
      </c>
      <c r="H22" s="433">
        <v>220</v>
      </c>
      <c r="I22" s="434">
        <v>160</v>
      </c>
      <c r="J22" s="433"/>
      <c r="K22" s="432">
        <f t="shared" si="0"/>
        <v>380</v>
      </c>
    </row>
    <row r="23" spans="1:11" ht="18" customHeight="1">
      <c r="A23" s="427" t="s">
        <v>77</v>
      </c>
      <c r="B23" s="418" t="s">
        <v>43</v>
      </c>
      <c r="F23" s="435"/>
      <c r="G23" s="435"/>
      <c r="H23" s="433"/>
      <c r="I23" s="434">
        <f t="shared" ref="I23:I34" si="1">H23*F$114</f>
        <v>0</v>
      </c>
      <c r="J23" s="433"/>
      <c r="K23" s="432">
        <f t="shared" si="0"/>
        <v>0</v>
      </c>
    </row>
    <row r="24" spans="1:11" ht="18" customHeight="1">
      <c r="A24" s="427" t="s">
        <v>78</v>
      </c>
      <c r="B24" s="418" t="s">
        <v>44</v>
      </c>
      <c r="F24" s="435">
        <v>7444.5</v>
      </c>
      <c r="G24" s="435">
        <v>255</v>
      </c>
      <c r="H24" s="433">
        <v>553512</v>
      </c>
      <c r="I24" s="434">
        <v>401849</v>
      </c>
      <c r="J24" s="433">
        <v>554949</v>
      </c>
      <c r="K24" s="432">
        <f t="shared" si="0"/>
        <v>400412</v>
      </c>
    </row>
    <row r="25" spans="1:11" ht="18" customHeight="1">
      <c r="A25" s="427" t="s">
        <v>79</v>
      </c>
      <c r="B25" s="418" t="s">
        <v>5</v>
      </c>
      <c r="F25" s="435">
        <v>45.5</v>
      </c>
      <c r="G25" s="435">
        <v>1349</v>
      </c>
      <c r="H25" s="433">
        <v>10233</v>
      </c>
      <c r="I25" s="434">
        <v>682</v>
      </c>
      <c r="J25" s="433"/>
      <c r="K25" s="432">
        <f t="shared" si="0"/>
        <v>10915</v>
      </c>
    </row>
    <row r="26" spans="1:11" ht="18" customHeight="1">
      <c r="A26" s="427" t="s">
        <v>80</v>
      </c>
      <c r="B26" s="418" t="s">
        <v>45</v>
      </c>
      <c r="F26" s="435">
        <v>152</v>
      </c>
      <c r="G26" s="435">
        <v>570</v>
      </c>
      <c r="H26" s="433">
        <v>14293</v>
      </c>
      <c r="I26" s="434">
        <v>0</v>
      </c>
      <c r="J26" s="433"/>
      <c r="K26" s="432">
        <f t="shared" si="0"/>
        <v>14293</v>
      </c>
    </row>
    <row r="27" spans="1:11" ht="18" customHeight="1">
      <c r="A27" s="427" t="s">
        <v>81</v>
      </c>
      <c r="B27" s="418" t="s">
        <v>46</v>
      </c>
      <c r="F27" s="435"/>
      <c r="G27" s="435"/>
      <c r="H27" s="433"/>
      <c r="I27" s="434">
        <f t="shared" si="1"/>
        <v>0</v>
      </c>
      <c r="J27" s="433"/>
      <c r="K27" s="432">
        <f t="shared" si="0"/>
        <v>0</v>
      </c>
    </row>
    <row r="28" spans="1:11" ht="18" customHeight="1">
      <c r="A28" s="427" t="s">
        <v>82</v>
      </c>
      <c r="B28" s="418" t="s">
        <v>47</v>
      </c>
      <c r="F28" s="435"/>
      <c r="G28" s="435"/>
      <c r="H28" s="433"/>
      <c r="I28" s="434">
        <f t="shared" si="1"/>
        <v>0</v>
      </c>
      <c r="J28" s="433"/>
      <c r="K28" s="432">
        <f t="shared" si="0"/>
        <v>0</v>
      </c>
    </row>
    <row r="29" spans="1:11" ht="18" customHeight="1">
      <c r="A29" s="427" t="s">
        <v>83</v>
      </c>
      <c r="B29" s="418" t="s">
        <v>48</v>
      </c>
      <c r="F29" s="435">
        <v>68</v>
      </c>
      <c r="G29" s="435"/>
      <c r="H29" s="433">
        <v>161650</v>
      </c>
      <c r="I29" s="434">
        <v>24133</v>
      </c>
      <c r="J29" s="433">
        <v>1648</v>
      </c>
      <c r="K29" s="432">
        <f t="shared" si="0"/>
        <v>184135</v>
      </c>
    </row>
    <row r="30" spans="1:11" ht="18" customHeight="1">
      <c r="A30" s="427" t="s">
        <v>84</v>
      </c>
      <c r="B30" s="1016" t="s">
        <v>339</v>
      </c>
      <c r="C30" s="1017"/>
      <c r="D30" s="1018"/>
      <c r="F30" s="435">
        <v>0</v>
      </c>
      <c r="G30" s="435"/>
      <c r="H30" s="433">
        <v>13626</v>
      </c>
      <c r="I30" s="434">
        <v>9892</v>
      </c>
      <c r="J30" s="433"/>
      <c r="K30" s="432">
        <f t="shared" si="0"/>
        <v>23518</v>
      </c>
    </row>
    <row r="31" spans="1:11" ht="18" customHeight="1">
      <c r="A31" s="427" t="s">
        <v>133</v>
      </c>
      <c r="B31" s="1016"/>
      <c r="C31" s="1017"/>
      <c r="D31" s="1018"/>
      <c r="F31" s="435"/>
      <c r="G31" s="435"/>
      <c r="H31" s="433"/>
      <c r="I31" s="434">
        <f t="shared" si="1"/>
        <v>0</v>
      </c>
      <c r="J31" s="433"/>
      <c r="K31" s="432">
        <f t="shared" si="0"/>
        <v>0</v>
      </c>
    </row>
    <row r="32" spans="1:11" ht="18" customHeight="1">
      <c r="A32" s="427" t="s">
        <v>134</v>
      </c>
      <c r="B32" s="483"/>
      <c r="C32" s="482"/>
      <c r="D32" s="481"/>
      <c r="F32" s="435"/>
      <c r="G32" s="480" t="s">
        <v>85</v>
      </c>
      <c r="H32" s="433"/>
      <c r="I32" s="434">
        <f t="shared" si="1"/>
        <v>0</v>
      </c>
      <c r="J32" s="433"/>
      <c r="K32" s="432">
        <f t="shared" si="0"/>
        <v>0</v>
      </c>
    </row>
    <row r="33" spans="1:11" ht="18" customHeight="1">
      <c r="A33" s="427" t="s">
        <v>135</v>
      </c>
      <c r="B33" s="483"/>
      <c r="C33" s="482"/>
      <c r="D33" s="481"/>
      <c r="F33" s="435"/>
      <c r="G33" s="480" t="s">
        <v>85</v>
      </c>
      <c r="H33" s="433"/>
      <c r="I33" s="434">
        <f t="shared" si="1"/>
        <v>0</v>
      </c>
      <c r="J33" s="433"/>
      <c r="K33" s="432">
        <f t="shared" si="0"/>
        <v>0</v>
      </c>
    </row>
    <row r="34" spans="1:11" ht="18" customHeight="1">
      <c r="A34" s="427" t="s">
        <v>136</v>
      </c>
      <c r="B34" s="1016"/>
      <c r="C34" s="1017"/>
      <c r="D34" s="1018"/>
      <c r="F34" s="435"/>
      <c r="G34" s="480" t="s">
        <v>85</v>
      </c>
      <c r="H34" s="433"/>
      <c r="I34" s="434">
        <f t="shared" si="1"/>
        <v>0</v>
      </c>
      <c r="J34" s="433"/>
      <c r="K34" s="432">
        <f t="shared" si="0"/>
        <v>0</v>
      </c>
    </row>
    <row r="35" spans="1:11" ht="18" customHeight="1">
      <c r="K35" s="479"/>
    </row>
    <row r="36" spans="1:11" ht="18" customHeight="1">
      <c r="A36" s="422" t="s">
        <v>137</v>
      </c>
      <c r="B36" s="419" t="s">
        <v>138</v>
      </c>
      <c r="E36" s="419" t="s">
        <v>7</v>
      </c>
      <c r="F36" s="425">
        <f t="shared" ref="F36:K36" si="2">SUM(F21:F34)</f>
        <v>9792</v>
      </c>
      <c r="G36" s="425">
        <f t="shared" si="2"/>
        <v>128499</v>
      </c>
      <c r="H36" s="425">
        <f t="shared" si="2"/>
        <v>875235</v>
      </c>
      <c r="I36" s="432">
        <f t="shared" si="2"/>
        <v>524054</v>
      </c>
      <c r="J36" s="432">
        <f t="shared" si="2"/>
        <v>558997</v>
      </c>
      <c r="K36" s="432">
        <f t="shared" si="2"/>
        <v>840292</v>
      </c>
    </row>
    <row r="37" spans="1:11" ht="18" customHeight="1" thickBot="1">
      <c r="B37" s="419"/>
      <c r="F37" s="478"/>
      <c r="G37" s="478"/>
      <c r="H37" s="477"/>
      <c r="I37" s="477"/>
      <c r="J37" s="477"/>
      <c r="K37" s="476"/>
    </row>
    <row r="38" spans="1:11" ht="42.75" customHeight="1">
      <c r="F38" s="431" t="s">
        <v>9</v>
      </c>
      <c r="G38" s="431" t="s">
        <v>37</v>
      </c>
      <c r="H38" s="431" t="s">
        <v>29</v>
      </c>
      <c r="I38" s="431" t="s">
        <v>30</v>
      </c>
      <c r="J38" s="431" t="s">
        <v>33</v>
      </c>
      <c r="K38" s="431" t="s">
        <v>34</v>
      </c>
    </row>
    <row r="39" spans="1:11" ht="18.75" customHeight="1">
      <c r="A39" s="422" t="s">
        <v>86</v>
      </c>
      <c r="B39" s="419" t="s">
        <v>49</v>
      </c>
    </row>
    <row r="40" spans="1:11" ht="18" customHeight="1">
      <c r="A40" s="427" t="s">
        <v>87</v>
      </c>
      <c r="B40" s="418" t="s">
        <v>31</v>
      </c>
      <c r="F40" s="435">
        <v>103037</v>
      </c>
      <c r="G40" s="435"/>
      <c r="H40" s="433">
        <v>4764767</v>
      </c>
      <c r="I40" s="434">
        <v>3459221</v>
      </c>
      <c r="J40" s="433"/>
      <c r="K40" s="432">
        <f t="shared" ref="K40:K47" si="3">(H40+I40)-J40</f>
        <v>8223988</v>
      </c>
    </row>
    <row r="41" spans="1:11" ht="18" customHeight="1">
      <c r="A41" s="427" t="s">
        <v>88</v>
      </c>
      <c r="B41" s="987" t="s">
        <v>50</v>
      </c>
      <c r="C41" s="1019"/>
      <c r="F41" s="435">
        <v>765</v>
      </c>
      <c r="G41" s="435"/>
      <c r="H41" s="433">
        <v>44241</v>
      </c>
      <c r="I41" s="434">
        <v>32119</v>
      </c>
      <c r="J41" s="433"/>
      <c r="K41" s="432">
        <f t="shared" si="3"/>
        <v>76360</v>
      </c>
    </row>
    <row r="42" spans="1:11" ht="18" customHeight="1">
      <c r="A42" s="427" t="s">
        <v>89</v>
      </c>
      <c r="B42" s="439" t="s">
        <v>11</v>
      </c>
      <c r="F42" s="435">
        <v>710</v>
      </c>
      <c r="G42" s="435"/>
      <c r="H42" s="433">
        <v>51904</v>
      </c>
      <c r="I42" s="434">
        <v>37682</v>
      </c>
      <c r="J42" s="433"/>
      <c r="K42" s="432">
        <f t="shared" si="3"/>
        <v>89586</v>
      </c>
    </row>
    <row r="43" spans="1:11" ht="18" customHeight="1">
      <c r="A43" s="427" t="s">
        <v>90</v>
      </c>
      <c r="B43" s="475" t="s">
        <v>10</v>
      </c>
      <c r="C43" s="442"/>
      <c r="D43" s="442"/>
      <c r="F43" s="435"/>
      <c r="G43" s="435"/>
      <c r="H43" s="433"/>
      <c r="I43" s="434">
        <v>0</v>
      </c>
      <c r="J43" s="433"/>
      <c r="K43" s="432">
        <f t="shared" si="3"/>
        <v>0</v>
      </c>
    </row>
    <row r="44" spans="1:11" ht="18" customHeight="1">
      <c r="A44" s="427" t="s">
        <v>91</v>
      </c>
      <c r="B44" s="1016" t="s">
        <v>339</v>
      </c>
      <c r="C44" s="1017"/>
      <c r="D44" s="1018"/>
      <c r="F44" s="473">
        <v>183</v>
      </c>
      <c r="G44" s="473">
        <v>500</v>
      </c>
      <c r="H44" s="473">
        <v>18549</v>
      </c>
      <c r="I44" s="474">
        <v>13465</v>
      </c>
      <c r="J44" s="473">
        <v>3160</v>
      </c>
      <c r="K44" s="472">
        <f t="shared" si="3"/>
        <v>28854</v>
      </c>
    </row>
    <row r="45" spans="1:11" ht="18" customHeight="1">
      <c r="A45" s="427" t="s">
        <v>139</v>
      </c>
      <c r="B45" s="1016"/>
      <c r="C45" s="1017"/>
      <c r="D45" s="1018"/>
      <c r="F45" s="435"/>
      <c r="G45" s="435"/>
      <c r="H45" s="433"/>
      <c r="I45" s="434">
        <v>0</v>
      </c>
      <c r="J45" s="433"/>
      <c r="K45" s="432">
        <f t="shared" si="3"/>
        <v>0</v>
      </c>
    </row>
    <row r="46" spans="1:11" ht="18" customHeight="1">
      <c r="A46" s="427" t="s">
        <v>140</v>
      </c>
      <c r="B46" s="1016"/>
      <c r="C46" s="1017"/>
      <c r="D46" s="1018"/>
      <c r="F46" s="435"/>
      <c r="G46" s="435"/>
      <c r="H46" s="433"/>
      <c r="I46" s="434">
        <v>0</v>
      </c>
      <c r="J46" s="433"/>
      <c r="K46" s="432">
        <f t="shared" si="3"/>
        <v>0</v>
      </c>
    </row>
    <row r="47" spans="1:11" ht="18" customHeight="1">
      <c r="A47" s="427" t="s">
        <v>141</v>
      </c>
      <c r="B47" s="1016"/>
      <c r="C47" s="1017"/>
      <c r="D47" s="1018"/>
      <c r="F47" s="435"/>
      <c r="G47" s="435"/>
      <c r="H47" s="433"/>
      <c r="I47" s="434">
        <v>0</v>
      </c>
      <c r="J47" s="433"/>
      <c r="K47" s="432">
        <f t="shared" si="3"/>
        <v>0</v>
      </c>
    </row>
    <row r="49" spans="1:11" ht="18" customHeight="1">
      <c r="A49" s="422" t="s">
        <v>142</v>
      </c>
      <c r="B49" s="419" t="s">
        <v>143</v>
      </c>
      <c r="E49" s="419" t="s">
        <v>7</v>
      </c>
      <c r="F49" s="577">
        <f t="shared" ref="F49:K49" si="4">SUM(F40:F47)</f>
        <v>104695</v>
      </c>
      <c r="G49" s="471">
        <f t="shared" si="4"/>
        <v>500</v>
      </c>
      <c r="H49" s="432">
        <f t="shared" si="4"/>
        <v>4879461</v>
      </c>
      <c r="I49" s="432">
        <f t="shared" si="4"/>
        <v>3542487</v>
      </c>
      <c r="J49" s="432">
        <f t="shared" si="4"/>
        <v>3160</v>
      </c>
      <c r="K49" s="432">
        <f t="shared" si="4"/>
        <v>8418788</v>
      </c>
    </row>
    <row r="50" spans="1:11" ht="18" customHeight="1" thickBot="1">
      <c r="G50" s="443"/>
      <c r="H50" s="443"/>
      <c r="I50" s="443"/>
      <c r="J50" s="443"/>
      <c r="K50" s="443"/>
    </row>
    <row r="51" spans="1:11" ht="42.75" customHeight="1">
      <c r="F51" s="431" t="s">
        <v>9</v>
      </c>
      <c r="G51" s="431" t="s">
        <v>37</v>
      </c>
      <c r="H51" s="431" t="s">
        <v>29</v>
      </c>
      <c r="I51" s="431" t="s">
        <v>30</v>
      </c>
      <c r="J51" s="431" t="s">
        <v>33</v>
      </c>
      <c r="K51" s="431" t="s">
        <v>34</v>
      </c>
    </row>
    <row r="52" spans="1:11" ht="18" customHeight="1">
      <c r="A52" s="422" t="s">
        <v>92</v>
      </c>
      <c r="B52" s="992" t="s">
        <v>38</v>
      </c>
      <c r="C52" s="1020"/>
    </row>
    <row r="53" spans="1:11" ht="18" customHeight="1">
      <c r="A53" s="427" t="s">
        <v>51</v>
      </c>
      <c r="B53" s="1021" t="s">
        <v>493</v>
      </c>
      <c r="C53" s="1022"/>
      <c r="D53" s="1015"/>
      <c r="F53" s="435"/>
      <c r="G53" s="435"/>
      <c r="H53" s="433">
        <v>517913</v>
      </c>
      <c r="I53" s="434">
        <v>0</v>
      </c>
      <c r="J53" s="433"/>
      <c r="K53" s="432">
        <f t="shared" ref="K53:K62" si="5">(H53+I53)-J53</f>
        <v>517913</v>
      </c>
    </row>
    <row r="54" spans="1:11" ht="18" customHeight="1">
      <c r="A54" s="427" t="s">
        <v>93</v>
      </c>
      <c r="B54" s="466"/>
      <c r="C54" s="465"/>
      <c r="D54" s="464"/>
      <c r="F54" s="435"/>
      <c r="G54" s="435"/>
      <c r="H54" s="433"/>
      <c r="I54" s="434">
        <v>0</v>
      </c>
      <c r="J54" s="433"/>
      <c r="K54" s="432">
        <f t="shared" si="5"/>
        <v>0</v>
      </c>
    </row>
    <row r="55" spans="1:11" ht="18" customHeight="1">
      <c r="A55" s="427" t="s">
        <v>94</v>
      </c>
      <c r="B55" s="1013"/>
      <c r="C55" s="1014"/>
      <c r="D55" s="1015"/>
      <c r="F55" s="435"/>
      <c r="G55" s="435"/>
      <c r="H55" s="433"/>
      <c r="I55" s="434">
        <v>0</v>
      </c>
      <c r="J55" s="433"/>
      <c r="K55" s="432">
        <f t="shared" si="5"/>
        <v>0</v>
      </c>
    </row>
    <row r="56" spans="1:11" ht="18" customHeight="1">
      <c r="A56" s="427" t="s">
        <v>95</v>
      </c>
      <c r="B56" s="1013"/>
      <c r="C56" s="1014"/>
      <c r="D56" s="1015"/>
      <c r="F56" s="435"/>
      <c r="G56" s="435"/>
      <c r="H56" s="433"/>
      <c r="I56" s="434">
        <v>0</v>
      </c>
      <c r="J56" s="433"/>
      <c r="K56" s="432">
        <f t="shared" si="5"/>
        <v>0</v>
      </c>
    </row>
    <row r="57" spans="1:11" ht="18" customHeight="1">
      <c r="A57" s="427" t="s">
        <v>96</v>
      </c>
      <c r="B57" s="1013" t="s">
        <v>495</v>
      </c>
      <c r="C57" s="1014"/>
      <c r="D57" s="1015"/>
      <c r="F57" s="435">
        <v>75899</v>
      </c>
      <c r="G57" s="435">
        <v>24571</v>
      </c>
      <c r="H57" s="433">
        <v>9497251</v>
      </c>
      <c r="I57" s="434">
        <v>0</v>
      </c>
      <c r="J57" s="433">
        <v>5257002</v>
      </c>
      <c r="K57" s="432">
        <f t="shared" si="5"/>
        <v>4240249</v>
      </c>
    </row>
    <row r="58" spans="1:11" ht="18" customHeight="1">
      <c r="A58" s="427" t="s">
        <v>97</v>
      </c>
      <c r="B58" s="466"/>
      <c r="C58" s="465"/>
      <c r="D58" s="464"/>
      <c r="F58" s="435"/>
      <c r="G58" s="435"/>
      <c r="H58" s="433"/>
      <c r="I58" s="434">
        <v>0</v>
      </c>
      <c r="J58" s="433"/>
      <c r="K58" s="432">
        <f t="shared" si="5"/>
        <v>0</v>
      </c>
    </row>
    <row r="59" spans="1:11" ht="18" customHeight="1">
      <c r="A59" s="427" t="s">
        <v>98</v>
      </c>
      <c r="B59" s="1013"/>
      <c r="C59" s="1014"/>
      <c r="D59" s="1015"/>
      <c r="F59" s="435"/>
      <c r="G59" s="435"/>
      <c r="H59" s="433"/>
      <c r="I59" s="434">
        <v>0</v>
      </c>
      <c r="J59" s="433"/>
      <c r="K59" s="432">
        <f t="shared" si="5"/>
        <v>0</v>
      </c>
    </row>
    <row r="60" spans="1:11" ht="18" customHeight="1">
      <c r="A60" s="427" t="s">
        <v>99</v>
      </c>
      <c r="B60" s="466" t="s">
        <v>812</v>
      </c>
      <c r="C60" s="465"/>
      <c r="D60" s="464"/>
      <c r="F60" s="435"/>
      <c r="G60" s="435"/>
      <c r="H60" s="433">
        <v>114570</v>
      </c>
      <c r="I60" s="434">
        <v>0</v>
      </c>
      <c r="J60" s="433"/>
      <c r="K60" s="432">
        <f t="shared" si="5"/>
        <v>114570</v>
      </c>
    </row>
    <row r="61" spans="1:11" ht="18" customHeight="1">
      <c r="A61" s="427" t="s">
        <v>100</v>
      </c>
      <c r="B61" s="466"/>
      <c r="C61" s="465"/>
      <c r="D61" s="464"/>
      <c r="F61" s="435"/>
      <c r="G61" s="435"/>
      <c r="H61" s="433"/>
      <c r="I61" s="434">
        <v>0</v>
      </c>
      <c r="J61" s="433"/>
      <c r="K61" s="432">
        <f t="shared" si="5"/>
        <v>0</v>
      </c>
    </row>
    <row r="62" spans="1:11" ht="18" customHeight="1">
      <c r="A62" s="427" t="s">
        <v>101</v>
      </c>
      <c r="B62" s="1013" t="s">
        <v>339</v>
      </c>
      <c r="C62" s="1014"/>
      <c r="D62" s="1015"/>
      <c r="F62" s="435">
        <v>50958</v>
      </c>
      <c r="G62" s="435">
        <v>22004</v>
      </c>
      <c r="H62" s="433">
        <v>3682308</v>
      </c>
      <c r="I62" s="434">
        <v>0</v>
      </c>
      <c r="J62" s="433">
        <v>2555044</v>
      </c>
      <c r="K62" s="432">
        <f t="shared" si="5"/>
        <v>1127264</v>
      </c>
    </row>
    <row r="63" spans="1:11" ht="18" customHeight="1">
      <c r="A63" s="427"/>
      <c r="I63" s="470"/>
    </row>
    <row r="64" spans="1:11" ht="18" customHeight="1">
      <c r="A64" s="427" t="s">
        <v>144</v>
      </c>
      <c r="B64" s="419" t="s">
        <v>145</v>
      </c>
      <c r="E64" s="419" t="s">
        <v>7</v>
      </c>
      <c r="F64" s="425">
        <f t="shared" ref="F64:K64" si="6">SUM(F53:F62)</f>
        <v>126857</v>
      </c>
      <c r="G64" s="425">
        <f t="shared" si="6"/>
        <v>46575</v>
      </c>
      <c r="H64" s="432">
        <f t="shared" si="6"/>
        <v>13812042</v>
      </c>
      <c r="I64" s="432">
        <f t="shared" si="6"/>
        <v>0</v>
      </c>
      <c r="J64" s="432">
        <f t="shared" si="6"/>
        <v>7812046</v>
      </c>
      <c r="K64" s="432">
        <f t="shared" si="6"/>
        <v>5999996</v>
      </c>
    </row>
    <row r="65" spans="1:11" ht="18" customHeight="1">
      <c r="F65" s="424"/>
      <c r="G65" s="424"/>
      <c r="H65" s="424"/>
      <c r="I65" s="424"/>
      <c r="J65" s="424"/>
      <c r="K65" s="424"/>
    </row>
    <row r="66" spans="1:11" ht="42.75" customHeight="1">
      <c r="F66" s="469" t="s">
        <v>9</v>
      </c>
      <c r="G66" s="469" t="s">
        <v>37</v>
      </c>
      <c r="H66" s="469" t="s">
        <v>29</v>
      </c>
      <c r="I66" s="469" t="s">
        <v>30</v>
      </c>
      <c r="J66" s="469" t="s">
        <v>33</v>
      </c>
      <c r="K66" s="469" t="s">
        <v>34</v>
      </c>
    </row>
    <row r="67" spans="1:11" ht="18" customHeight="1">
      <c r="A67" s="422" t="s">
        <v>102</v>
      </c>
      <c r="B67" s="419" t="s">
        <v>12</v>
      </c>
      <c r="F67" s="468"/>
      <c r="G67" s="468"/>
      <c r="H67" s="468"/>
      <c r="I67" s="457"/>
      <c r="J67" s="468"/>
      <c r="K67" s="455"/>
    </row>
    <row r="68" spans="1:11" ht="18" customHeight="1">
      <c r="A68" s="427" t="s">
        <v>103</v>
      </c>
      <c r="B68" s="418" t="s">
        <v>52</v>
      </c>
      <c r="F68" s="452"/>
      <c r="G68" s="452"/>
      <c r="H68" s="452"/>
      <c r="I68" s="434">
        <v>0</v>
      </c>
      <c r="J68" s="452"/>
      <c r="K68" s="432">
        <f>(H68+I68)-J68</f>
        <v>0</v>
      </c>
    </row>
    <row r="69" spans="1:11" ht="18" customHeight="1">
      <c r="A69" s="427" t="s">
        <v>104</v>
      </c>
      <c r="B69" s="439" t="s">
        <v>53</v>
      </c>
      <c r="F69" s="452"/>
      <c r="G69" s="452"/>
      <c r="H69" s="452"/>
      <c r="I69" s="434">
        <v>0</v>
      </c>
      <c r="J69" s="452"/>
      <c r="K69" s="432">
        <f>(H69+I69)-J69</f>
        <v>0</v>
      </c>
    </row>
    <row r="70" spans="1:11" ht="18" customHeight="1">
      <c r="A70" s="427" t="s">
        <v>178</v>
      </c>
      <c r="B70" s="466"/>
      <c r="C70" s="465"/>
      <c r="D70" s="464"/>
      <c r="E70" s="419"/>
      <c r="F70" s="463"/>
      <c r="G70" s="463"/>
      <c r="H70" s="462"/>
      <c r="I70" s="434">
        <v>0</v>
      </c>
      <c r="J70" s="462"/>
      <c r="K70" s="432">
        <f>(H70+I70)-J70</f>
        <v>0</v>
      </c>
    </row>
    <row r="71" spans="1:11" ht="18" customHeight="1">
      <c r="A71" s="427" t="s">
        <v>179</v>
      </c>
      <c r="B71" s="466"/>
      <c r="C71" s="465"/>
      <c r="D71" s="464"/>
      <c r="E71" s="419"/>
      <c r="F71" s="463"/>
      <c r="G71" s="463"/>
      <c r="H71" s="462"/>
      <c r="I71" s="434">
        <v>0</v>
      </c>
      <c r="J71" s="462"/>
      <c r="K71" s="432">
        <f>(H71+I71)-J71</f>
        <v>0</v>
      </c>
    </row>
    <row r="72" spans="1:11" ht="18" customHeight="1">
      <c r="A72" s="427" t="s">
        <v>180</v>
      </c>
      <c r="B72" s="461"/>
      <c r="C72" s="460"/>
      <c r="D72" s="459"/>
      <c r="E72" s="419"/>
      <c r="F72" s="435"/>
      <c r="G72" s="435"/>
      <c r="H72" s="433"/>
      <c r="I72" s="434">
        <v>0</v>
      </c>
      <c r="J72" s="433"/>
      <c r="K72" s="432">
        <f>(H72+I72)-J72</f>
        <v>0</v>
      </c>
    </row>
    <row r="73" spans="1:11" ht="18" customHeight="1">
      <c r="A73" s="427"/>
      <c r="B73" s="439"/>
      <c r="E73" s="419"/>
      <c r="F73" s="458"/>
      <c r="G73" s="458"/>
      <c r="H73" s="456"/>
      <c r="I73" s="457"/>
      <c r="J73" s="456"/>
      <c r="K73" s="455"/>
    </row>
    <row r="74" spans="1:11" ht="18" customHeight="1">
      <c r="A74" s="422" t="s">
        <v>146</v>
      </c>
      <c r="B74" s="419" t="s">
        <v>147</v>
      </c>
      <c r="E74" s="419" t="s">
        <v>7</v>
      </c>
      <c r="F74" s="450">
        <f t="shared" ref="F74:K74" si="7">SUM(F68:F72)</f>
        <v>0</v>
      </c>
      <c r="G74" s="450">
        <f t="shared" si="7"/>
        <v>0</v>
      </c>
      <c r="H74" s="450">
        <f t="shared" si="7"/>
        <v>0</v>
      </c>
      <c r="I74" s="454">
        <f t="shared" si="7"/>
        <v>0</v>
      </c>
      <c r="J74" s="450">
        <f t="shared" si="7"/>
        <v>0</v>
      </c>
      <c r="K74" s="438">
        <f t="shared" si="7"/>
        <v>0</v>
      </c>
    </row>
    <row r="75" spans="1:11" ht="42.75" customHeight="1">
      <c r="F75" s="431" t="s">
        <v>9</v>
      </c>
      <c r="G75" s="431" t="s">
        <v>37</v>
      </c>
      <c r="H75" s="431" t="s">
        <v>29</v>
      </c>
      <c r="I75" s="431" t="s">
        <v>30</v>
      </c>
      <c r="J75" s="431" t="s">
        <v>33</v>
      </c>
      <c r="K75" s="431" t="s">
        <v>34</v>
      </c>
    </row>
    <row r="76" spans="1:11" ht="18" customHeight="1">
      <c r="A76" s="422" t="s">
        <v>105</v>
      </c>
      <c r="B76" s="419" t="s">
        <v>106</v>
      </c>
    </row>
    <row r="77" spans="1:11" ht="18" customHeight="1">
      <c r="A77" s="427" t="s">
        <v>107</v>
      </c>
      <c r="B77" s="439" t="s">
        <v>54</v>
      </c>
      <c r="F77" s="435"/>
      <c r="G77" s="435"/>
      <c r="H77" s="433">
        <v>22468</v>
      </c>
      <c r="I77" s="434">
        <v>0</v>
      </c>
      <c r="J77" s="433"/>
      <c r="K77" s="432">
        <f>(H77+I77)-J77</f>
        <v>22468</v>
      </c>
    </row>
    <row r="78" spans="1:11" ht="18" customHeight="1">
      <c r="A78" s="427" t="s">
        <v>108</v>
      </c>
      <c r="B78" s="439" t="s">
        <v>55</v>
      </c>
      <c r="F78" s="435"/>
      <c r="G78" s="435"/>
      <c r="H78" s="433"/>
      <c r="I78" s="434">
        <v>0</v>
      </c>
      <c r="J78" s="433"/>
      <c r="K78" s="432">
        <f>(H78+I78)-J78</f>
        <v>0</v>
      </c>
    </row>
    <row r="79" spans="1:11" ht="18" customHeight="1">
      <c r="A79" s="427" t="s">
        <v>109</v>
      </c>
      <c r="B79" s="439" t="s">
        <v>13</v>
      </c>
      <c r="F79" s="435">
        <v>112.5</v>
      </c>
      <c r="G79" s="435">
        <v>1454</v>
      </c>
      <c r="H79" s="433">
        <v>31342</v>
      </c>
      <c r="I79" s="434">
        <v>16674</v>
      </c>
      <c r="J79" s="433"/>
      <c r="K79" s="432">
        <f>(H79+I79)-J79</f>
        <v>48016</v>
      </c>
    </row>
    <row r="80" spans="1:11" ht="18" customHeight="1">
      <c r="A80" s="427" t="s">
        <v>110</v>
      </c>
      <c r="B80" s="439" t="s">
        <v>56</v>
      </c>
      <c r="F80" s="435"/>
      <c r="G80" s="435"/>
      <c r="H80" s="433"/>
      <c r="I80" s="434">
        <v>0</v>
      </c>
      <c r="J80" s="433"/>
      <c r="K80" s="432">
        <f>(H80+I80)-J80</f>
        <v>0</v>
      </c>
    </row>
    <row r="81" spans="1:11" ht="18" customHeight="1">
      <c r="A81" s="427"/>
      <c r="K81" s="451"/>
    </row>
    <row r="82" spans="1:11" ht="18" customHeight="1">
      <c r="A82" s="427" t="s">
        <v>148</v>
      </c>
      <c r="B82" s="419" t="s">
        <v>149</v>
      </c>
      <c r="E82" s="419" t="s">
        <v>7</v>
      </c>
      <c r="F82" s="450">
        <f t="shared" ref="F82:K82" si="8">SUM(F77:F80)</f>
        <v>112.5</v>
      </c>
      <c r="G82" s="450">
        <f t="shared" si="8"/>
        <v>1454</v>
      </c>
      <c r="H82" s="438">
        <f t="shared" si="8"/>
        <v>53810</v>
      </c>
      <c r="I82" s="438">
        <f t="shared" si="8"/>
        <v>16674</v>
      </c>
      <c r="J82" s="438">
        <f t="shared" si="8"/>
        <v>0</v>
      </c>
      <c r="K82" s="438">
        <f t="shared" si="8"/>
        <v>70484</v>
      </c>
    </row>
    <row r="83" spans="1:11" ht="18" customHeight="1" thickBot="1">
      <c r="A83" s="427"/>
      <c r="F83" s="443"/>
      <c r="G83" s="443"/>
      <c r="H83" s="443"/>
      <c r="I83" s="443"/>
      <c r="J83" s="443"/>
      <c r="K83" s="443"/>
    </row>
    <row r="84" spans="1:11" ht="42.75" customHeight="1">
      <c r="F84" s="431" t="s">
        <v>9</v>
      </c>
      <c r="G84" s="431" t="s">
        <v>37</v>
      </c>
      <c r="H84" s="431" t="s">
        <v>29</v>
      </c>
      <c r="I84" s="431" t="s">
        <v>30</v>
      </c>
      <c r="J84" s="431" t="s">
        <v>33</v>
      </c>
      <c r="K84" s="431" t="s">
        <v>34</v>
      </c>
    </row>
    <row r="85" spans="1:11" ht="18" customHeight="1">
      <c r="A85" s="422" t="s">
        <v>111</v>
      </c>
      <c r="B85" s="419" t="s">
        <v>57</v>
      </c>
    </row>
    <row r="86" spans="1:11" ht="18" customHeight="1">
      <c r="A86" s="427" t="s">
        <v>112</v>
      </c>
      <c r="B86" s="439" t="s">
        <v>113</v>
      </c>
      <c r="F86" s="435"/>
      <c r="G86" s="435"/>
      <c r="H86" s="433"/>
      <c r="I86" s="434">
        <f t="shared" ref="I86:I96" si="9">H86*F$114</f>
        <v>0</v>
      </c>
      <c r="J86" s="433"/>
      <c r="K86" s="432">
        <f t="shared" ref="K86:K96" si="10">(H86+I86)-J86</f>
        <v>0</v>
      </c>
    </row>
    <row r="87" spans="1:11" ht="18" customHeight="1">
      <c r="A87" s="427" t="s">
        <v>114</v>
      </c>
      <c r="B87" s="439" t="s">
        <v>14</v>
      </c>
      <c r="F87" s="435">
        <v>52.5</v>
      </c>
      <c r="G87" s="435"/>
      <c r="H87" s="433">
        <v>6760</v>
      </c>
      <c r="I87" s="434">
        <v>0</v>
      </c>
      <c r="J87" s="433"/>
      <c r="K87" s="432">
        <f t="shared" si="10"/>
        <v>6760</v>
      </c>
    </row>
    <row r="88" spans="1:11" ht="18" customHeight="1">
      <c r="A88" s="427" t="s">
        <v>115</v>
      </c>
      <c r="B88" s="439" t="s">
        <v>116</v>
      </c>
      <c r="F88" s="435">
        <v>41.5</v>
      </c>
      <c r="G88" s="435"/>
      <c r="H88" s="433">
        <v>3347</v>
      </c>
      <c r="I88" s="434">
        <v>768</v>
      </c>
      <c r="J88" s="433"/>
      <c r="K88" s="432">
        <f t="shared" si="10"/>
        <v>4115</v>
      </c>
    </row>
    <row r="89" spans="1:11" ht="18" customHeight="1">
      <c r="A89" s="427" t="s">
        <v>117</v>
      </c>
      <c r="B89" s="439" t="s">
        <v>58</v>
      </c>
      <c r="F89" s="435">
        <v>52</v>
      </c>
      <c r="G89" s="435"/>
      <c r="H89" s="433">
        <v>59101</v>
      </c>
      <c r="I89" s="434">
        <v>1896</v>
      </c>
      <c r="J89" s="433"/>
      <c r="K89" s="432">
        <f t="shared" si="10"/>
        <v>60997</v>
      </c>
    </row>
    <row r="90" spans="1:11" ht="18" customHeight="1">
      <c r="A90" s="427" t="s">
        <v>118</v>
      </c>
      <c r="B90" s="987" t="s">
        <v>59</v>
      </c>
      <c r="C90" s="1019"/>
      <c r="F90" s="435"/>
      <c r="G90" s="435"/>
      <c r="H90" s="433"/>
      <c r="I90" s="434">
        <f t="shared" si="9"/>
        <v>0</v>
      </c>
      <c r="J90" s="433"/>
      <c r="K90" s="432">
        <f t="shared" si="10"/>
        <v>0</v>
      </c>
    </row>
    <row r="91" spans="1:11" ht="18" customHeight="1">
      <c r="A91" s="427" t="s">
        <v>119</v>
      </c>
      <c r="B91" s="439" t="s">
        <v>60</v>
      </c>
      <c r="F91" s="435"/>
      <c r="G91" s="435"/>
      <c r="H91" s="433"/>
      <c r="I91" s="434">
        <f t="shared" si="9"/>
        <v>0</v>
      </c>
      <c r="J91" s="433"/>
      <c r="K91" s="432">
        <f t="shared" si="10"/>
        <v>0</v>
      </c>
    </row>
    <row r="92" spans="1:11" ht="18" customHeight="1">
      <c r="A92" s="427" t="s">
        <v>120</v>
      </c>
      <c r="B92" s="439" t="s">
        <v>121</v>
      </c>
      <c r="F92" s="449">
        <v>38.799999999999997</v>
      </c>
      <c r="G92" s="449"/>
      <c r="H92" s="448">
        <v>31039</v>
      </c>
      <c r="I92" s="434">
        <v>0</v>
      </c>
      <c r="J92" s="448"/>
      <c r="K92" s="432">
        <f t="shared" si="10"/>
        <v>31039</v>
      </c>
    </row>
    <row r="93" spans="1:11" ht="18" customHeight="1">
      <c r="A93" s="427" t="s">
        <v>122</v>
      </c>
      <c r="B93" s="439" t="s">
        <v>123</v>
      </c>
      <c r="F93" s="435">
        <v>69</v>
      </c>
      <c r="G93" s="435"/>
      <c r="H93" s="433">
        <v>4888</v>
      </c>
      <c r="I93" s="434">
        <v>1183</v>
      </c>
      <c r="J93" s="433"/>
      <c r="K93" s="432">
        <f t="shared" si="10"/>
        <v>6071</v>
      </c>
    </row>
    <row r="94" spans="1:11" ht="18" customHeight="1">
      <c r="A94" s="427" t="s">
        <v>124</v>
      </c>
      <c r="B94" s="1013" t="s">
        <v>339</v>
      </c>
      <c r="C94" s="1014"/>
      <c r="D94" s="1015"/>
      <c r="F94" s="435">
        <v>2.5</v>
      </c>
      <c r="G94" s="435"/>
      <c r="H94" s="433">
        <v>105</v>
      </c>
      <c r="I94" s="434">
        <v>0</v>
      </c>
      <c r="J94" s="433"/>
      <c r="K94" s="432">
        <f t="shared" si="10"/>
        <v>105</v>
      </c>
    </row>
    <row r="95" spans="1:11" ht="18" customHeight="1">
      <c r="A95" s="427" t="s">
        <v>125</v>
      </c>
      <c r="B95" s="1013"/>
      <c r="C95" s="1014"/>
      <c r="D95" s="1015"/>
      <c r="F95" s="435"/>
      <c r="G95" s="435"/>
      <c r="H95" s="433"/>
      <c r="I95" s="434">
        <f t="shared" si="9"/>
        <v>0</v>
      </c>
      <c r="J95" s="433"/>
      <c r="K95" s="432">
        <f t="shared" si="10"/>
        <v>0</v>
      </c>
    </row>
    <row r="96" spans="1:11" ht="18" customHeight="1">
      <c r="A96" s="427" t="s">
        <v>126</v>
      </c>
      <c r="B96" s="1013"/>
      <c r="C96" s="1014"/>
      <c r="D96" s="1015"/>
      <c r="F96" s="435"/>
      <c r="G96" s="435"/>
      <c r="H96" s="433"/>
      <c r="I96" s="434">
        <f t="shared" si="9"/>
        <v>0</v>
      </c>
      <c r="J96" s="433"/>
      <c r="K96" s="432">
        <f t="shared" si="10"/>
        <v>0</v>
      </c>
    </row>
    <row r="97" spans="1:11" ht="18" customHeight="1">
      <c r="A97" s="427"/>
      <c r="B97" s="439"/>
    </row>
    <row r="98" spans="1:11" ht="18" customHeight="1">
      <c r="A98" s="422" t="s">
        <v>150</v>
      </c>
      <c r="B98" s="419" t="s">
        <v>151</v>
      </c>
      <c r="E98" s="419" t="s">
        <v>7</v>
      </c>
      <c r="F98" s="425">
        <f t="shared" ref="F98:K98" si="11">SUM(F86:F96)</f>
        <v>256.3</v>
      </c>
      <c r="G98" s="425">
        <f t="shared" si="11"/>
        <v>0</v>
      </c>
      <c r="H98" s="425">
        <f t="shared" si="11"/>
        <v>105240</v>
      </c>
      <c r="I98" s="425">
        <f t="shared" si="11"/>
        <v>3847</v>
      </c>
      <c r="J98" s="425">
        <f t="shared" si="11"/>
        <v>0</v>
      </c>
      <c r="K98" s="425">
        <f t="shared" si="11"/>
        <v>109087</v>
      </c>
    </row>
    <row r="99" spans="1:11" ht="18" customHeight="1" thickBot="1">
      <c r="B99" s="419"/>
      <c r="F99" s="443"/>
      <c r="G99" s="443"/>
      <c r="H99" s="443"/>
      <c r="I99" s="443"/>
      <c r="J99" s="443"/>
      <c r="K99" s="443"/>
    </row>
    <row r="100" spans="1:11" ht="42.75" customHeight="1">
      <c r="F100" s="431" t="s">
        <v>9</v>
      </c>
      <c r="G100" s="431" t="s">
        <v>37</v>
      </c>
      <c r="H100" s="431" t="s">
        <v>29</v>
      </c>
      <c r="I100" s="431" t="s">
        <v>30</v>
      </c>
      <c r="J100" s="431" t="s">
        <v>33</v>
      </c>
      <c r="K100" s="431" t="s">
        <v>34</v>
      </c>
    </row>
    <row r="101" spans="1:11" ht="18" customHeight="1">
      <c r="A101" s="422" t="s">
        <v>130</v>
      </c>
      <c r="B101" s="419" t="s">
        <v>63</v>
      </c>
    </row>
    <row r="102" spans="1:11" ht="18" customHeight="1">
      <c r="A102" s="427" t="s">
        <v>131</v>
      </c>
      <c r="B102" s="439" t="s">
        <v>152</v>
      </c>
      <c r="F102" s="435">
        <v>159</v>
      </c>
      <c r="G102" s="435"/>
      <c r="H102" s="433">
        <v>65740</v>
      </c>
      <c r="I102" s="434">
        <v>4037</v>
      </c>
      <c r="J102" s="433"/>
      <c r="K102" s="432">
        <f>(H102+I102)-J102</f>
        <v>69777</v>
      </c>
    </row>
    <row r="103" spans="1:11" ht="18" customHeight="1">
      <c r="A103" s="427" t="s">
        <v>132</v>
      </c>
      <c r="B103" s="987" t="s">
        <v>62</v>
      </c>
      <c r="C103" s="987"/>
      <c r="F103" s="435">
        <v>39</v>
      </c>
      <c r="G103" s="435">
        <v>290</v>
      </c>
      <c r="H103" s="433">
        <v>2585</v>
      </c>
      <c r="I103" s="434">
        <v>1273</v>
      </c>
      <c r="J103" s="433"/>
      <c r="K103" s="432">
        <f>(H103+I103)-J103</f>
        <v>3858</v>
      </c>
    </row>
    <row r="104" spans="1:11" ht="18" customHeight="1">
      <c r="A104" s="427" t="s">
        <v>128</v>
      </c>
      <c r="B104" s="1013"/>
      <c r="C104" s="1014"/>
      <c r="D104" s="1015"/>
      <c r="F104" s="435"/>
      <c r="G104" s="435"/>
      <c r="H104" s="433"/>
      <c r="I104" s="434">
        <f>H104*F$114</f>
        <v>0</v>
      </c>
      <c r="J104" s="433"/>
      <c r="K104" s="432">
        <f>(H104+I104)-J104</f>
        <v>0</v>
      </c>
    </row>
    <row r="105" spans="1:11" ht="18" customHeight="1">
      <c r="A105" s="427" t="s">
        <v>127</v>
      </c>
      <c r="B105" s="1013"/>
      <c r="C105" s="1014"/>
      <c r="D105" s="1015"/>
      <c r="F105" s="435"/>
      <c r="G105" s="435"/>
      <c r="H105" s="433"/>
      <c r="I105" s="434">
        <f>H105*F$114</f>
        <v>0</v>
      </c>
      <c r="J105" s="433"/>
      <c r="K105" s="432">
        <f>(H105+I105)-J105</f>
        <v>0</v>
      </c>
    </row>
    <row r="106" spans="1:11" ht="18" customHeight="1">
      <c r="A106" s="427" t="s">
        <v>129</v>
      </c>
      <c r="B106" s="1013"/>
      <c r="C106" s="1014"/>
      <c r="D106" s="1015"/>
      <c r="F106" s="435"/>
      <c r="G106" s="435"/>
      <c r="H106" s="433"/>
      <c r="I106" s="434">
        <f>H106*F$114</f>
        <v>0</v>
      </c>
      <c r="J106" s="433"/>
      <c r="K106" s="432">
        <f>(H106+I106)-J106</f>
        <v>0</v>
      </c>
    </row>
    <row r="107" spans="1:11" ht="18" customHeight="1">
      <c r="B107" s="419"/>
    </row>
    <row r="108" spans="1:11" s="442" customFormat="1" ht="18" customHeight="1">
      <c r="A108" s="422" t="s">
        <v>153</v>
      </c>
      <c r="B108" s="447" t="s">
        <v>154</v>
      </c>
      <c r="C108" s="418"/>
      <c r="D108" s="418"/>
      <c r="E108" s="419" t="s">
        <v>7</v>
      </c>
      <c r="F108" s="425">
        <f t="shared" ref="F108:K108" si="12">SUM(F102:F106)</f>
        <v>198</v>
      </c>
      <c r="G108" s="425">
        <f t="shared" si="12"/>
        <v>290</v>
      </c>
      <c r="H108" s="432">
        <f t="shared" si="12"/>
        <v>68325</v>
      </c>
      <c r="I108" s="432">
        <f t="shared" si="12"/>
        <v>5310</v>
      </c>
      <c r="J108" s="432">
        <f t="shared" si="12"/>
        <v>0</v>
      </c>
      <c r="K108" s="432">
        <f t="shared" si="12"/>
        <v>73635</v>
      </c>
    </row>
    <row r="109" spans="1:11" s="442" customFormat="1" ht="18" customHeight="1" thickBot="1">
      <c r="A109" s="446"/>
      <c r="B109" s="445"/>
      <c r="C109" s="444"/>
      <c r="D109" s="444"/>
      <c r="E109" s="444"/>
      <c r="F109" s="443"/>
      <c r="G109" s="443"/>
      <c r="H109" s="443"/>
      <c r="I109" s="443"/>
      <c r="J109" s="443"/>
      <c r="K109" s="443"/>
    </row>
    <row r="110" spans="1:11" s="442" customFormat="1" ht="18" customHeight="1">
      <c r="A110" s="422" t="s">
        <v>156</v>
      </c>
      <c r="B110" s="419" t="s">
        <v>39</v>
      </c>
      <c r="C110" s="418"/>
      <c r="D110" s="418"/>
      <c r="E110" s="418"/>
      <c r="F110" s="418"/>
      <c r="G110" s="418"/>
      <c r="H110" s="418"/>
      <c r="I110" s="418"/>
      <c r="J110" s="418"/>
      <c r="K110" s="418"/>
    </row>
    <row r="111" spans="1:11" ht="18" customHeight="1">
      <c r="A111" s="422" t="s">
        <v>155</v>
      </c>
      <c r="B111" s="419" t="s">
        <v>164</v>
      </c>
      <c r="E111" s="419" t="s">
        <v>7</v>
      </c>
      <c r="F111" s="433">
        <v>2859045</v>
      </c>
    </row>
    <row r="112" spans="1:11" ht="18" customHeight="1">
      <c r="B112" s="419"/>
      <c r="E112" s="419"/>
      <c r="F112" s="441"/>
    </row>
    <row r="113" spans="1:6" ht="15">
      <c r="A113" s="422"/>
      <c r="B113" s="419" t="s">
        <v>15</v>
      </c>
    </row>
    <row r="114" spans="1:6" ht="15">
      <c r="A114" s="427" t="s">
        <v>171</v>
      </c>
      <c r="B114" s="439" t="s">
        <v>35</v>
      </c>
      <c r="F114" s="440">
        <v>0.72599999999999998</v>
      </c>
    </row>
    <row r="115" spans="1:6" ht="15">
      <c r="A115" s="427"/>
      <c r="B115" s="419"/>
    </row>
    <row r="116" spans="1:6" ht="15">
      <c r="A116" s="427" t="s">
        <v>170</v>
      </c>
      <c r="B116" s="419" t="s">
        <v>16</v>
      </c>
    </row>
    <row r="117" spans="1:6" ht="15">
      <c r="A117" s="427" t="s">
        <v>172</v>
      </c>
      <c r="B117" s="439" t="s">
        <v>17</v>
      </c>
      <c r="F117" s="433">
        <v>190072147</v>
      </c>
    </row>
    <row r="118" spans="1:6" ht="15">
      <c r="A118" s="427" t="s">
        <v>173</v>
      </c>
      <c r="B118" s="418" t="s">
        <v>18</v>
      </c>
      <c r="F118" s="433">
        <v>12592218</v>
      </c>
    </row>
    <row r="119" spans="1:6" ht="15">
      <c r="A119" s="427" t="s">
        <v>174</v>
      </c>
      <c r="B119" s="419" t="s">
        <v>19</v>
      </c>
      <c r="F119" s="438">
        <f>SUM(F117:F118)</f>
        <v>202664365</v>
      </c>
    </row>
    <row r="120" spans="1:6" ht="15">
      <c r="A120" s="427"/>
      <c r="B120" s="419"/>
    </row>
    <row r="121" spans="1:6" ht="15">
      <c r="A121" s="427" t="s">
        <v>167</v>
      </c>
      <c r="B121" s="419" t="s">
        <v>36</v>
      </c>
      <c r="F121" s="433">
        <v>191580981</v>
      </c>
    </row>
    <row r="122" spans="1:6" ht="15">
      <c r="A122" s="427"/>
    </row>
    <row r="123" spans="1:6" ht="15">
      <c r="A123" s="427" t="s">
        <v>175</v>
      </c>
      <c r="B123" s="419" t="s">
        <v>20</v>
      </c>
      <c r="F123" s="433">
        <f>+F119-F121</f>
        <v>11083384</v>
      </c>
    </row>
    <row r="124" spans="1:6" ht="15">
      <c r="A124" s="427"/>
    </row>
    <row r="125" spans="1:6" ht="15">
      <c r="A125" s="427" t="s">
        <v>176</v>
      </c>
      <c r="B125" s="419" t="s">
        <v>21</v>
      </c>
      <c r="F125" s="433">
        <v>374536</v>
      </c>
    </row>
    <row r="126" spans="1:6" ht="15">
      <c r="A126" s="427"/>
    </row>
    <row r="127" spans="1:6" ht="15">
      <c r="A127" s="427" t="s">
        <v>177</v>
      </c>
      <c r="B127" s="419" t="s">
        <v>22</v>
      </c>
      <c r="F127" s="433">
        <f>+F123+F125</f>
        <v>11457920</v>
      </c>
    </row>
    <row r="128" spans="1:6" ht="15">
      <c r="A128" s="427"/>
    </row>
    <row r="129" spans="1:11" ht="42.75" customHeight="1">
      <c r="F129" s="431" t="s">
        <v>9</v>
      </c>
      <c r="G129" s="431" t="s">
        <v>37</v>
      </c>
      <c r="H129" s="431" t="s">
        <v>29</v>
      </c>
      <c r="I129" s="431" t="s">
        <v>30</v>
      </c>
      <c r="J129" s="431" t="s">
        <v>33</v>
      </c>
      <c r="K129" s="431" t="s">
        <v>34</v>
      </c>
    </row>
    <row r="130" spans="1:11" ht="18" customHeight="1">
      <c r="A130" s="422" t="s">
        <v>157</v>
      </c>
      <c r="B130" s="419" t="s">
        <v>23</v>
      </c>
    </row>
    <row r="131" spans="1:11" ht="18" customHeight="1">
      <c r="A131" s="427" t="s">
        <v>158</v>
      </c>
      <c r="B131" s="418" t="s">
        <v>24</v>
      </c>
      <c r="F131" s="435"/>
      <c r="G131" s="435"/>
      <c r="H131" s="433"/>
      <c r="I131" s="434">
        <v>0</v>
      </c>
      <c r="J131" s="433"/>
      <c r="K131" s="432">
        <f>(H131+I131)-J131</f>
        <v>0</v>
      </c>
    </row>
    <row r="132" spans="1:11" ht="18" customHeight="1">
      <c r="A132" s="427" t="s">
        <v>159</v>
      </c>
      <c r="B132" s="418" t="s">
        <v>25</v>
      </c>
      <c r="F132" s="435"/>
      <c r="G132" s="435"/>
      <c r="H132" s="433"/>
      <c r="I132" s="434">
        <v>0</v>
      </c>
      <c r="J132" s="433"/>
      <c r="K132" s="432">
        <f>(H132+I132)-J132</f>
        <v>0</v>
      </c>
    </row>
    <row r="133" spans="1:11" ht="18" customHeight="1">
      <c r="A133" s="427" t="s">
        <v>160</v>
      </c>
      <c r="B133" s="1016"/>
      <c r="C133" s="1017"/>
      <c r="D133" s="1018"/>
      <c r="F133" s="435"/>
      <c r="G133" s="435"/>
      <c r="H133" s="433"/>
      <c r="I133" s="434">
        <v>0</v>
      </c>
      <c r="J133" s="433"/>
      <c r="K133" s="432">
        <f>(H133+I133)-J133</f>
        <v>0</v>
      </c>
    </row>
    <row r="134" spans="1:11" ht="18" customHeight="1">
      <c r="A134" s="427" t="s">
        <v>161</v>
      </c>
      <c r="B134" s="1016"/>
      <c r="C134" s="1017"/>
      <c r="D134" s="1018"/>
      <c r="F134" s="435"/>
      <c r="G134" s="435"/>
      <c r="H134" s="433"/>
      <c r="I134" s="434">
        <v>0</v>
      </c>
      <c r="J134" s="433"/>
      <c r="K134" s="432">
        <f>(H134+I134)-J134</f>
        <v>0</v>
      </c>
    </row>
    <row r="135" spans="1:11" ht="18" customHeight="1">
      <c r="A135" s="427" t="s">
        <v>162</v>
      </c>
      <c r="B135" s="1016"/>
      <c r="C135" s="1017"/>
      <c r="D135" s="1018"/>
      <c r="F135" s="435"/>
      <c r="G135" s="435"/>
      <c r="H135" s="433"/>
      <c r="I135" s="434">
        <v>0</v>
      </c>
      <c r="J135" s="433"/>
      <c r="K135" s="432">
        <f>(H135+I135)-J135</f>
        <v>0</v>
      </c>
    </row>
    <row r="136" spans="1:11" ht="18" customHeight="1">
      <c r="A136" s="422"/>
    </row>
    <row r="137" spans="1:11" ht="18" customHeight="1">
      <c r="A137" s="422" t="s">
        <v>163</v>
      </c>
      <c r="B137" s="419" t="s">
        <v>27</v>
      </c>
      <c r="F137" s="425">
        <f t="shared" ref="F137:K137" si="13">SUM(F131:F135)</f>
        <v>0</v>
      </c>
      <c r="G137" s="425">
        <f t="shared" si="13"/>
        <v>0</v>
      </c>
      <c r="H137" s="432">
        <f t="shared" si="13"/>
        <v>0</v>
      </c>
      <c r="I137" s="432">
        <f t="shared" si="13"/>
        <v>0</v>
      </c>
      <c r="J137" s="432">
        <f t="shared" si="13"/>
        <v>0</v>
      </c>
      <c r="K137" s="432">
        <f t="shared" si="13"/>
        <v>0</v>
      </c>
    </row>
    <row r="138" spans="1:11" ht="18" customHeight="1">
      <c r="A138" s="418"/>
    </row>
    <row r="139" spans="1:11" ht="42.75" customHeight="1">
      <c r="F139" s="431" t="s">
        <v>9</v>
      </c>
      <c r="G139" s="431" t="s">
        <v>37</v>
      </c>
      <c r="H139" s="431" t="s">
        <v>29</v>
      </c>
      <c r="I139" s="431" t="s">
        <v>30</v>
      </c>
      <c r="J139" s="431" t="s">
        <v>33</v>
      </c>
      <c r="K139" s="431" t="s">
        <v>34</v>
      </c>
    </row>
    <row r="140" spans="1:11" ht="18" customHeight="1">
      <c r="A140" s="422" t="s">
        <v>166</v>
      </c>
      <c r="B140" s="419" t="s">
        <v>26</v>
      </c>
    </row>
    <row r="141" spans="1:11" ht="18" customHeight="1">
      <c r="A141" s="427" t="s">
        <v>137</v>
      </c>
      <c r="B141" s="419" t="s">
        <v>64</v>
      </c>
      <c r="F141" s="430">
        <f t="shared" ref="F141:K141" si="14">F36</f>
        <v>9792</v>
      </c>
      <c r="G141" s="430">
        <f t="shared" si="14"/>
        <v>128499</v>
      </c>
      <c r="H141" s="430">
        <f t="shared" si="14"/>
        <v>875235</v>
      </c>
      <c r="I141" s="430">
        <f t="shared" si="14"/>
        <v>524054</v>
      </c>
      <c r="J141" s="430">
        <f t="shared" si="14"/>
        <v>558997</v>
      </c>
      <c r="K141" s="430">
        <f t="shared" si="14"/>
        <v>840292</v>
      </c>
    </row>
    <row r="142" spans="1:11" ht="18" customHeight="1">
      <c r="A142" s="427" t="s">
        <v>142</v>
      </c>
      <c r="B142" s="419" t="s">
        <v>65</v>
      </c>
      <c r="F142" s="430">
        <f t="shared" ref="F142:K142" si="15">F49</f>
        <v>104695</v>
      </c>
      <c r="G142" s="430">
        <f t="shared" si="15"/>
        <v>500</v>
      </c>
      <c r="H142" s="430">
        <f t="shared" si="15"/>
        <v>4879461</v>
      </c>
      <c r="I142" s="430">
        <f t="shared" si="15"/>
        <v>3542487</v>
      </c>
      <c r="J142" s="430">
        <f t="shared" si="15"/>
        <v>3160</v>
      </c>
      <c r="K142" s="430">
        <f t="shared" si="15"/>
        <v>8418788</v>
      </c>
    </row>
    <row r="143" spans="1:11" ht="18" customHeight="1">
      <c r="A143" s="427" t="s">
        <v>144</v>
      </c>
      <c r="B143" s="419" t="s">
        <v>66</v>
      </c>
      <c r="F143" s="430">
        <f t="shared" ref="F143:K143" si="16">F64</f>
        <v>126857</v>
      </c>
      <c r="G143" s="430">
        <f t="shared" si="16"/>
        <v>46575</v>
      </c>
      <c r="H143" s="430">
        <f t="shared" si="16"/>
        <v>13812042</v>
      </c>
      <c r="I143" s="430">
        <f t="shared" si="16"/>
        <v>0</v>
      </c>
      <c r="J143" s="430">
        <f t="shared" si="16"/>
        <v>7812046</v>
      </c>
      <c r="K143" s="430">
        <f t="shared" si="16"/>
        <v>5999996</v>
      </c>
    </row>
    <row r="144" spans="1:11" ht="18" customHeight="1">
      <c r="A144" s="427" t="s">
        <v>146</v>
      </c>
      <c r="B144" s="419" t="s">
        <v>67</v>
      </c>
      <c r="F144" s="430">
        <f t="shared" ref="F144:K144" si="17">F74</f>
        <v>0</v>
      </c>
      <c r="G144" s="430">
        <f t="shared" si="17"/>
        <v>0</v>
      </c>
      <c r="H144" s="430">
        <f t="shared" si="17"/>
        <v>0</v>
      </c>
      <c r="I144" s="430">
        <f t="shared" si="17"/>
        <v>0</v>
      </c>
      <c r="J144" s="430">
        <f t="shared" si="17"/>
        <v>0</v>
      </c>
      <c r="K144" s="430">
        <f t="shared" si="17"/>
        <v>0</v>
      </c>
    </row>
    <row r="145" spans="1:11" ht="18" customHeight="1">
      <c r="A145" s="427" t="s">
        <v>148</v>
      </c>
      <c r="B145" s="419" t="s">
        <v>68</v>
      </c>
      <c r="F145" s="430">
        <f t="shared" ref="F145:K145" si="18">F82</f>
        <v>112.5</v>
      </c>
      <c r="G145" s="430">
        <f t="shared" si="18"/>
        <v>1454</v>
      </c>
      <c r="H145" s="430">
        <f t="shared" si="18"/>
        <v>53810</v>
      </c>
      <c r="I145" s="430">
        <f t="shared" si="18"/>
        <v>16674</v>
      </c>
      <c r="J145" s="430">
        <f t="shared" si="18"/>
        <v>0</v>
      </c>
      <c r="K145" s="430">
        <f t="shared" si="18"/>
        <v>70484</v>
      </c>
    </row>
    <row r="146" spans="1:11" ht="18" customHeight="1">
      <c r="A146" s="427" t="s">
        <v>150</v>
      </c>
      <c r="B146" s="419" t="s">
        <v>69</v>
      </c>
      <c r="F146" s="430">
        <f t="shared" ref="F146:K146" si="19">F98</f>
        <v>256.3</v>
      </c>
      <c r="G146" s="430">
        <f t="shared" si="19"/>
        <v>0</v>
      </c>
      <c r="H146" s="430">
        <f t="shared" si="19"/>
        <v>105240</v>
      </c>
      <c r="I146" s="430">
        <f t="shared" si="19"/>
        <v>3847</v>
      </c>
      <c r="J146" s="430">
        <f t="shared" si="19"/>
        <v>0</v>
      </c>
      <c r="K146" s="430">
        <f t="shared" si="19"/>
        <v>109087</v>
      </c>
    </row>
    <row r="147" spans="1:11" ht="18" customHeight="1">
      <c r="A147" s="427" t="s">
        <v>153</v>
      </c>
      <c r="B147" s="419" t="s">
        <v>61</v>
      </c>
      <c r="F147" s="425">
        <f t="shared" ref="F147:K147" si="20">F108</f>
        <v>198</v>
      </c>
      <c r="G147" s="425">
        <f t="shared" si="20"/>
        <v>290</v>
      </c>
      <c r="H147" s="425">
        <f t="shared" si="20"/>
        <v>68325</v>
      </c>
      <c r="I147" s="425">
        <f t="shared" si="20"/>
        <v>5310</v>
      </c>
      <c r="J147" s="425">
        <f t="shared" si="20"/>
        <v>0</v>
      </c>
      <c r="K147" s="425">
        <f t="shared" si="20"/>
        <v>73635</v>
      </c>
    </row>
    <row r="148" spans="1:11" ht="18" customHeight="1">
      <c r="A148" s="427" t="s">
        <v>155</v>
      </c>
      <c r="B148" s="419" t="s">
        <v>70</v>
      </c>
      <c r="F148" s="426" t="s">
        <v>73</v>
      </c>
      <c r="G148" s="426" t="s">
        <v>73</v>
      </c>
      <c r="H148" s="429" t="s">
        <v>73</v>
      </c>
      <c r="I148" s="429" t="s">
        <v>73</v>
      </c>
      <c r="J148" s="429" t="s">
        <v>73</v>
      </c>
      <c r="K148" s="428">
        <f>F111</f>
        <v>2859045</v>
      </c>
    </row>
    <row r="149" spans="1:11" ht="18" customHeight="1">
      <c r="A149" s="427" t="s">
        <v>163</v>
      </c>
      <c r="B149" s="419" t="s">
        <v>71</v>
      </c>
      <c r="F149" s="425">
        <f t="shared" ref="F149:K149" si="21">F137</f>
        <v>0</v>
      </c>
      <c r="G149" s="425">
        <f t="shared" si="21"/>
        <v>0</v>
      </c>
      <c r="H149" s="425">
        <f t="shared" si="21"/>
        <v>0</v>
      </c>
      <c r="I149" s="425">
        <f t="shared" si="21"/>
        <v>0</v>
      </c>
      <c r="J149" s="425">
        <f t="shared" si="21"/>
        <v>0</v>
      </c>
      <c r="K149" s="425">
        <f t="shared" si="21"/>
        <v>0</v>
      </c>
    </row>
    <row r="150" spans="1:11" ht="18" customHeight="1">
      <c r="A150" s="427" t="s">
        <v>185</v>
      </c>
      <c r="B150" s="419" t="s">
        <v>186</v>
      </c>
      <c r="F150" s="426" t="s">
        <v>73</v>
      </c>
      <c r="G150" s="426" t="s">
        <v>73</v>
      </c>
      <c r="H150" s="425">
        <f>H18</f>
        <v>5086938</v>
      </c>
      <c r="I150" s="425">
        <f>I18</f>
        <v>0</v>
      </c>
      <c r="J150" s="425">
        <f>J18</f>
        <v>4349968</v>
      </c>
      <c r="K150" s="425">
        <f>K18</f>
        <v>736970</v>
      </c>
    </row>
    <row r="151" spans="1:11" ht="18" customHeight="1">
      <c r="B151" s="419"/>
      <c r="F151" s="424"/>
      <c r="G151" s="424"/>
      <c r="H151" s="424"/>
      <c r="I151" s="424"/>
      <c r="J151" s="424"/>
      <c r="K151" s="424"/>
    </row>
    <row r="152" spans="1:11" ht="18" customHeight="1">
      <c r="A152" s="422" t="s">
        <v>165</v>
      </c>
      <c r="B152" s="419" t="s">
        <v>26</v>
      </c>
      <c r="F152" s="423">
        <f t="shared" ref="F152:K152" si="22">SUM(F141:F150)</f>
        <v>241910.8</v>
      </c>
      <c r="G152" s="423">
        <f t="shared" si="22"/>
        <v>177318</v>
      </c>
      <c r="H152" s="423">
        <f t="shared" si="22"/>
        <v>24881051</v>
      </c>
      <c r="I152" s="423">
        <f t="shared" si="22"/>
        <v>4092372</v>
      </c>
      <c r="J152" s="423">
        <f t="shared" si="22"/>
        <v>12724171</v>
      </c>
      <c r="K152" s="423">
        <f t="shared" si="22"/>
        <v>19108297</v>
      </c>
    </row>
    <row r="154" spans="1:11" ht="18" customHeight="1">
      <c r="A154" s="422" t="s">
        <v>168</v>
      </c>
      <c r="B154" s="419" t="s">
        <v>28</v>
      </c>
      <c r="F154" s="421">
        <f>K152/F121</f>
        <v>9.9740051962673687E-2</v>
      </c>
      <c r="H154" s="568"/>
      <c r="J154" s="568"/>
    </row>
    <row r="155" spans="1:11" ht="18" customHeight="1">
      <c r="A155" s="422" t="s">
        <v>169</v>
      </c>
      <c r="B155" s="419" t="s">
        <v>72</v>
      </c>
      <c r="F155" s="421">
        <f>K152/F127</f>
        <v>1.667693350974697</v>
      </c>
      <c r="G155" s="419"/>
      <c r="H155" s="568"/>
      <c r="K155" s="568"/>
    </row>
    <row r="156" spans="1:11" ht="18" customHeight="1">
      <c r="G156" s="419"/>
      <c r="H156" s="568"/>
      <c r="K156" s="568"/>
    </row>
    <row r="157" spans="1:11" ht="18" customHeight="1">
      <c r="H157" s="568"/>
    </row>
  </sheetData>
  <mergeCells count="34">
    <mergeCell ref="B41:C41"/>
    <mergeCell ref="D2:H2"/>
    <mergeCell ref="C5:G5"/>
    <mergeCell ref="C6:G6"/>
    <mergeCell ref="C7:G7"/>
    <mergeCell ref="C9:G9"/>
    <mergeCell ref="C10:G10"/>
    <mergeCell ref="C11:G11"/>
    <mergeCell ref="B13:H13"/>
    <mergeCell ref="B30:D30"/>
    <mergeCell ref="B31:D31"/>
    <mergeCell ref="B34:D34"/>
    <mergeCell ref="B90:C90"/>
    <mergeCell ref="B44:D44"/>
    <mergeCell ref="B45:D45"/>
    <mergeCell ref="B46:D46"/>
    <mergeCell ref="B47:D47"/>
    <mergeCell ref="B52:C52"/>
    <mergeCell ref="B53:D53"/>
    <mergeCell ref="B55:D55"/>
    <mergeCell ref="B56:D56"/>
    <mergeCell ref="B57:D57"/>
    <mergeCell ref="B59:D59"/>
    <mergeCell ref="B62:D62"/>
    <mergeCell ref="B106:D106"/>
    <mergeCell ref="B133:D133"/>
    <mergeCell ref="B134:D134"/>
    <mergeCell ref="B135:D135"/>
    <mergeCell ref="B94:D94"/>
    <mergeCell ref="B95:D95"/>
    <mergeCell ref="B96:D96"/>
    <mergeCell ref="B103:C103"/>
    <mergeCell ref="B104:D104"/>
    <mergeCell ref="B105:D105"/>
  </mergeCells>
  <pageMargins left="0.7" right="0.7" top="0.75" bottom="0.75" header="0.3" footer="0.3"/>
  <pageSetup scale="17"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K156"/>
  <sheetViews>
    <sheetView showGridLines="0" zoomScaleNormal="100" zoomScaleSheetLayoutView="100" workbookViewId="0">
      <selection activeCell="K19" sqref="K19"/>
    </sheetView>
  </sheetViews>
  <sheetFormatPr defaultRowHeight="18" customHeight="1"/>
  <cols>
    <col min="1" max="1" width="8.28515625" style="146" customWidth="1"/>
    <col min="2" max="2" width="55.42578125" style="147" bestFit="1" customWidth="1"/>
    <col min="3" max="3" width="9.5703125" style="147" customWidth="1"/>
    <col min="4" max="4" width="9.140625" style="147"/>
    <col min="5" max="5" width="12.42578125" style="147" customWidth="1"/>
    <col min="6" max="6" width="18.5703125" style="147" customWidth="1"/>
    <col min="7" max="7" width="23.5703125" style="147" customWidth="1"/>
    <col min="8" max="8" width="17.140625" style="147" customWidth="1"/>
    <col min="9" max="9" width="21.140625" style="147" customWidth="1"/>
    <col min="10" max="10" width="19.85546875" style="147" customWidth="1"/>
    <col min="11" max="11" width="17.5703125" style="147" customWidth="1"/>
    <col min="12" max="16384" width="9.140625" style="147"/>
  </cols>
  <sheetData>
    <row r="1" spans="1:11" ht="18" customHeight="1">
      <c r="C1" s="148"/>
      <c r="D1" s="149"/>
      <c r="E1" s="148"/>
      <c r="F1" s="148"/>
      <c r="G1" s="148"/>
      <c r="H1" s="148"/>
      <c r="I1" s="148"/>
      <c r="J1" s="148"/>
      <c r="K1" s="148"/>
    </row>
    <row r="2" spans="1:11" ht="18" customHeight="1">
      <c r="D2" s="910" t="s">
        <v>713</v>
      </c>
      <c r="E2" s="911"/>
      <c r="F2" s="911"/>
      <c r="G2" s="911"/>
      <c r="H2" s="911"/>
    </row>
    <row r="3" spans="1:11" ht="18" customHeight="1">
      <c r="B3" s="150" t="s">
        <v>0</v>
      </c>
    </row>
    <row r="5" spans="1:11" ht="18" customHeight="1">
      <c r="B5" s="151" t="s">
        <v>40</v>
      </c>
      <c r="C5" s="912" t="s">
        <v>813</v>
      </c>
      <c r="D5" s="918"/>
      <c r="E5" s="918"/>
      <c r="F5" s="918"/>
      <c r="G5" s="919"/>
    </row>
    <row r="6" spans="1:11" ht="18" customHeight="1">
      <c r="B6" s="151" t="s">
        <v>3</v>
      </c>
      <c r="C6" s="929">
        <v>35</v>
      </c>
      <c r="D6" s="921"/>
      <c r="E6" s="921"/>
      <c r="F6" s="921"/>
      <c r="G6" s="922"/>
    </row>
    <row r="7" spans="1:11" ht="18" customHeight="1">
      <c r="B7" s="151" t="s">
        <v>4</v>
      </c>
      <c r="C7" s="930">
        <v>890</v>
      </c>
      <c r="D7" s="924"/>
      <c r="E7" s="924"/>
      <c r="F7" s="924"/>
      <c r="G7" s="925"/>
    </row>
    <row r="9" spans="1:11" ht="18" customHeight="1">
      <c r="B9" s="151" t="s">
        <v>1</v>
      </c>
      <c r="C9" s="912" t="s">
        <v>814</v>
      </c>
      <c r="D9" s="918"/>
      <c r="E9" s="918"/>
      <c r="F9" s="918"/>
      <c r="G9" s="919"/>
    </row>
    <row r="10" spans="1:11" ht="18" customHeight="1">
      <c r="B10" s="151" t="s">
        <v>2</v>
      </c>
      <c r="C10" s="926" t="s">
        <v>815</v>
      </c>
      <c r="D10" s="927"/>
      <c r="E10" s="927"/>
      <c r="F10" s="927"/>
      <c r="G10" s="928"/>
    </row>
    <row r="11" spans="1:11" ht="18" customHeight="1">
      <c r="B11" s="151" t="s">
        <v>32</v>
      </c>
      <c r="C11" s="926" t="s">
        <v>816</v>
      </c>
      <c r="D11" s="927"/>
      <c r="E11" s="927"/>
      <c r="F11" s="927"/>
      <c r="G11" s="928"/>
    </row>
    <row r="12" spans="1:11" ht="18" customHeight="1">
      <c r="B12" s="151"/>
      <c r="C12" s="151"/>
      <c r="D12" s="151"/>
      <c r="E12" s="151"/>
      <c r="F12" s="151"/>
      <c r="G12" s="151"/>
    </row>
    <row r="13" spans="1:11" ht="24.6" customHeight="1">
      <c r="B13" s="914"/>
      <c r="C13" s="915"/>
      <c r="D13" s="915"/>
      <c r="E13" s="915"/>
      <c r="F13" s="915"/>
      <c r="G13" s="915"/>
      <c r="H13" s="916"/>
      <c r="I13" s="148"/>
    </row>
    <row r="14" spans="1:11" ht="18" customHeight="1">
      <c r="B14" s="152"/>
    </row>
    <row r="15" spans="1:11" ht="18" customHeight="1">
      <c r="B15" s="152"/>
    </row>
    <row r="16" spans="1:11" ht="45.2" customHeight="1">
      <c r="A16" s="149" t="s">
        <v>181</v>
      </c>
      <c r="B16" s="148"/>
      <c r="C16" s="148"/>
      <c r="D16" s="148"/>
      <c r="E16" s="148"/>
      <c r="F16" s="153" t="s">
        <v>9</v>
      </c>
      <c r="G16" s="153" t="s">
        <v>37</v>
      </c>
      <c r="H16" s="153" t="s">
        <v>29</v>
      </c>
      <c r="I16" s="153" t="s">
        <v>30</v>
      </c>
      <c r="J16" s="153" t="s">
        <v>33</v>
      </c>
      <c r="K16" s="153" t="s">
        <v>34</v>
      </c>
    </row>
    <row r="17" spans="1:11" ht="18" customHeight="1">
      <c r="A17" s="154" t="s">
        <v>184</v>
      </c>
      <c r="B17" s="150" t="s">
        <v>182</v>
      </c>
    </row>
    <row r="18" spans="1:11" ht="18" customHeight="1">
      <c r="A18" s="151" t="s">
        <v>185</v>
      </c>
      <c r="B18" s="155" t="s">
        <v>183</v>
      </c>
      <c r="F18" s="156" t="s">
        <v>73</v>
      </c>
      <c r="G18" s="156" t="s">
        <v>73</v>
      </c>
      <c r="H18" s="157">
        <v>3644860</v>
      </c>
      <c r="I18" s="158">
        <v>0</v>
      </c>
      <c r="J18" s="157">
        <v>3116811</v>
      </c>
      <c r="K18" s="159">
        <f>(H18+I18)-J18</f>
        <v>528049</v>
      </c>
    </row>
    <row r="19" spans="1:11" ht="45.2" customHeight="1">
      <c r="A19" s="149" t="s">
        <v>8</v>
      </c>
      <c r="B19" s="148"/>
      <c r="C19" s="148"/>
      <c r="D19" s="148"/>
      <c r="E19" s="148"/>
      <c r="F19" s="153" t="s">
        <v>9</v>
      </c>
      <c r="G19" s="153" t="s">
        <v>37</v>
      </c>
      <c r="H19" s="153" t="s">
        <v>29</v>
      </c>
      <c r="I19" s="153" t="s">
        <v>30</v>
      </c>
      <c r="J19" s="153" t="s">
        <v>33</v>
      </c>
      <c r="K19" s="153" t="s">
        <v>34</v>
      </c>
    </row>
    <row r="20" spans="1:11" ht="18" customHeight="1">
      <c r="A20" s="154" t="s">
        <v>74</v>
      </c>
      <c r="B20" s="150" t="s">
        <v>41</v>
      </c>
    </row>
    <row r="21" spans="1:11" ht="18" customHeight="1">
      <c r="A21" s="151" t="s">
        <v>75</v>
      </c>
      <c r="B21" s="155" t="s">
        <v>42</v>
      </c>
      <c r="F21" s="156">
        <v>2657</v>
      </c>
      <c r="G21" s="156">
        <v>167951</v>
      </c>
      <c r="H21" s="157">
        <v>246031</v>
      </c>
      <c r="I21" s="158">
        <v>66776</v>
      </c>
      <c r="J21" s="157"/>
      <c r="K21" s="159">
        <f t="shared" ref="K21:K34" si="0">(H21+I21)-J21</f>
        <v>312807</v>
      </c>
    </row>
    <row r="22" spans="1:11" ht="18" customHeight="1">
      <c r="A22" s="151" t="s">
        <v>76</v>
      </c>
      <c r="B22" s="147" t="s">
        <v>6</v>
      </c>
      <c r="F22" s="156"/>
      <c r="G22" s="156"/>
      <c r="H22" s="157"/>
      <c r="I22" s="158">
        <f t="shared" ref="I22:I34" si="1">H22*F$114</f>
        <v>0</v>
      </c>
      <c r="J22" s="157"/>
      <c r="K22" s="159">
        <f t="shared" si="0"/>
        <v>0</v>
      </c>
    </row>
    <row r="23" spans="1:11" ht="18" customHeight="1">
      <c r="A23" s="151" t="s">
        <v>77</v>
      </c>
      <c r="B23" s="147" t="s">
        <v>43</v>
      </c>
      <c r="F23" s="156"/>
      <c r="G23" s="156"/>
      <c r="H23" s="157"/>
      <c r="I23" s="158">
        <f t="shared" si="1"/>
        <v>0</v>
      </c>
      <c r="J23" s="157"/>
      <c r="K23" s="159">
        <f t="shared" si="0"/>
        <v>0</v>
      </c>
    </row>
    <row r="24" spans="1:11" ht="18" customHeight="1">
      <c r="A24" s="151" t="s">
        <v>78</v>
      </c>
      <c r="B24" s="147" t="s">
        <v>44</v>
      </c>
      <c r="F24" s="156">
        <v>86</v>
      </c>
      <c r="G24" s="156">
        <v>676</v>
      </c>
      <c r="H24" s="157">
        <v>2451</v>
      </c>
      <c r="I24" s="158">
        <v>0</v>
      </c>
      <c r="J24" s="157"/>
      <c r="K24" s="159">
        <f t="shared" si="0"/>
        <v>2451</v>
      </c>
    </row>
    <row r="25" spans="1:11" ht="18" customHeight="1">
      <c r="A25" s="151" t="s">
        <v>79</v>
      </c>
      <c r="B25" s="147" t="s">
        <v>5</v>
      </c>
      <c r="F25" s="156"/>
      <c r="G25" s="156"/>
      <c r="H25" s="157"/>
      <c r="I25" s="158">
        <f t="shared" si="1"/>
        <v>0</v>
      </c>
      <c r="J25" s="157"/>
      <c r="K25" s="159">
        <f t="shared" si="0"/>
        <v>0</v>
      </c>
    </row>
    <row r="26" spans="1:11" ht="18" customHeight="1">
      <c r="A26" s="151" t="s">
        <v>80</v>
      </c>
      <c r="B26" s="147" t="s">
        <v>45</v>
      </c>
      <c r="F26" s="156"/>
      <c r="G26" s="156"/>
      <c r="H26" s="157"/>
      <c r="I26" s="158">
        <f t="shared" si="1"/>
        <v>0</v>
      </c>
      <c r="J26" s="157"/>
      <c r="K26" s="159">
        <f t="shared" si="0"/>
        <v>0</v>
      </c>
    </row>
    <row r="27" spans="1:11" ht="18" customHeight="1">
      <c r="A27" s="151" t="s">
        <v>81</v>
      </c>
      <c r="B27" s="147" t="s">
        <v>46</v>
      </c>
      <c r="F27" s="156"/>
      <c r="G27" s="156"/>
      <c r="H27" s="157"/>
      <c r="I27" s="158">
        <f t="shared" si="1"/>
        <v>0</v>
      </c>
      <c r="J27" s="157"/>
      <c r="K27" s="159">
        <f t="shared" si="0"/>
        <v>0</v>
      </c>
    </row>
    <row r="28" spans="1:11" ht="18" customHeight="1">
      <c r="A28" s="151" t="s">
        <v>82</v>
      </c>
      <c r="B28" s="147" t="s">
        <v>47</v>
      </c>
      <c r="F28" s="156"/>
      <c r="G28" s="156"/>
      <c r="H28" s="157"/>
      <c r="I28" s="158">
        <f t="shared" si="1"/>
        <v>0</v>
      </c>
      <c r="J28" s="157"/>
      <c r="K28" s="159">
        <f t="shared" si="0"/>
        <v>0</v>
      </c>
    </row>
    <row r="29" spans="1:11" ht="18" customHeight="1">
      <c r="A29" s="151" t="s">
        <v>83</v>
      </c>
      <c r="B29" s="147" t="s">
        <v>48</v>
      </c>
      <c r="F29" s="156">
        <v>194</v>
      </c>
      <c r="G29" s="156">
        <v>156</v>
      </c>
      <c r="H29" s="157">
        <v>182098</v>
      </c>
      <c r="I29" s="158">
        <v>36860</v>
      </c>
      <c r="J29" s="157"/>
      <c r="K29" s="159">
        <f t="shared" si="0"/>
        <v>218958</v>
      </c>
    </row>
    <row r="30" spans="1:11" ht="18" customHeight="1">
      <c r="A30" s="151" t="s">
        <v>84</v>
      </c>
      <c r="B30" s="898" t="s">
        <v>339</v>
      </c>
      <c r="C30" s="899"/>
      <c r="D30" s="900"/>
      <c r="F30" s="156">
        <v>208</v>
      </c>
      <c r="G30" s="156">
        <v>243</v>
      </c>
      <c r="H30" s="157">
        <v>49757</v>
      </c>
      <c r="I30" s="158">
        <v>24598</v>
      </c>
      <c r="J30" s="157"/>
      <c r="K30" s="159">
        <f t="shared" si="0"/>
        <v>74355</v>
      </c>
    </row>
    <row r="31" spans="1:11" ht="18" customHeight="1">
      <c r="A31" s="151" t="s">
        <v>133</v>
      </c>
      <c r="B31" s="898"/>
      <c r="C31" s="899"/>
      <c r="D31" s="900"/>
      <c r="F31" s="156"/>
      <c r="G31" s="156"/>
      <c r="H31" s="157"/>
      <c r="I31" s="158">
        <f t="shared" si="1"/>
        <v>0</v>
      </c>
      <c r="J31" s="157"/>
      <c r="K31" s="159">
        <f t="shared" si="0"/>
        <v>0</v>
      </c>
    </row>
    <row r="32" spans="1:11" ht="18" customHeight="1">
      <c r="A32" s="151" t="s">
        <v>134</v>
      </c>
      <c r="B32" s="393"/>
      <c r="C32" s="394"/>
      <c r="D32" s="395"/>
      <c r="F32" s="156"/>
      <c r="G32" s="160" t="s">
        <v>85</v>
      </c>
      <c r="H32" s="157"/>
      <c r="I32" s="158">
        <f t="shared" si="1"/>
        <v>0</v>
      </c>
      <c r="J32" s="157"/>
      <c r="K32" s="159">
        <f t="shared" si="0"/>
        <v>0</v>
      </c>
    </row>
    <row r="33" spans="1:11" ht="18" customHeight="1">
      <c r="A33" s="151" t="s">
        <v>135</v>
      </c>
      <c r="B33" s="393"/>
      <c r="C33" s="394"/>
      <c r="D33" s="395"/>
      <c r="F33" s="156"/>
      <c r="G33" s="160" t="s">
        <v>85</v>
      </c>
      <c r="H33" s="157"/>
      <c r="I33" s="158">
        <f t="shared" si="1"/>
        <v>0</v>
      </c>
      <c r="J33" s="157"/>
      <c r="K33" s="159">
        <f t="shared" si="0"/>
        <v>0</v>
      </c>
    </row>
    <row r="34" spans="1:11" ht="18" customHeight="1">
      <c r="A34" s="151" t="s">
        <v>136</v>
      </c>
      <c r="B34" s="898"/>
      <c r="C34" s="899"/>
      <c r="D34" s="900"/>
      <c r="F34" s="156"/>
      <c r="G34" s="160" t="s">
        <v>85</v>
      </c>
      <c r="H34" s="157"/>
      <c r="I34" s="158">
        <f t="shared" si="1"/>
        <v>0</v>
      </c>
      <c r="J34" s="157"/>
      <c r="K34" s="159">
        <f t="shared" si="0"/>
        <v>0</v>
      </c>
    </row>
    <row r="35" spans="1:11" ht="18" customHeight="1">
      <c r="K35" s="161"/>
    </row>
    <row r="36" spans="1:11" ht="18" customHeight="1">
      <c r="A36" s="154" t="s">
        <v>137</v>
      </c>
      <c r="B36" s="150" t="s">
        <v>138</v>
      </c>
      <c r="E36" s="150" t="s">
        <v>7</v>
      </c>
      <c r="F36" s="162">
        <f t="shared" ref="F36:K36" si="2">SUM(F21:F34)</f>
        <v>3145</v>
      </c>
      <c r="G36" s="162">
        <f t="shared" si="2"/>
        <v>169026</v>
      </c>
      <c r="H36" s="162">
        <f t="shared" si="2"/>
        <v>480337</v>
      </c>
      <c r="I36" s="159">
        <f t="shared" si="2"/>
        <v>128234</v>
      </c>
      <c r="J36" s="159">
        <f t="shared" si="2"/>
        <v>0</v>
      </c>
      <c r="K36" s="159">
        <f t="shared" si="2"/>
        <v>608571</v>
      </c>
    </row>
    <row r="37" spans="1:11" ht="18" customHeight="1" thickBot="1">
      <c r="B37" s="150"/>
      <c r="F37" s="163"/>
      <c r="G37" s="163"/>
      <c r="H37" s="164"/>
      <c r="I37" s="164"/>
      <c r="J37" s="164"/>
      <c r="K37" s="165"/>
    </row>
    <row r="38" spans="1:11" ht="42.75" customHeight="1">
      <c r="F38" s="153" t="s">
        <v>9</v>
      </c>
      <c r="G38" s="153" t="s">
        <v>37</v>
      </c>
      <c r="H38" s="153" t="s">
        <v>29</v>
      </c>
      <c r="I38" s="153" t="s">
        <v>30</v>
      </c>
      <c r="J38" s="153" t="s">
        <v>33</v>
      </c>
      <c r="K38" s="153" t="s">
        <v>34</v>
      </c>
    </row>
    <row r="39" spans="1:11" ht="18.75" customHeight="1">
      <c r="A39" s="154" t="s">
        <v>86</v>
      </c>
      <c r="B39" s="150" t="s">
        <v>49</v>
      </c>
    </row>
    <row r="40" spans="1:11" ht="18" customHeight="1">
      <c r="A40" s="151" t="s">
        <v>87</v>
      </c>
      <c r="B40" s="147" t="s">
        <v>31</v>
      </c>
      <c r="F40" s="156"/>
      <c r="G40" s="156"/>
      <c r="H40" s="157"/>
      <c r="I40" s="158">
        <v>0</v>
      </c>
      <c r="J40" s="157"/>
      <c r="K40" s="159">
        <f t="shared" ref="K40:K47" si="3">(H40+I40)-J40</f>
        <v>0</v>
      </c>
    </row>
    <row r="41" spans="1:11" ht="18" customHeight="1">
      <c r="A41" s="151" t="s">
        <v>88</v>
      </c>
      <c r="B41" s="904" t="s">
        <v>50</v>
      </c>
      <c r="C41" s="907"/>
      <c r="F41" s="156">
        <v>4878</v>
      </c>
      <c r="G41" s="156">
        <v>110</v>
      </c>
      <c r="H41" s="157">
        <v>275457</v>
      </c>
      <c r="I41" s="158">
        <v>87306</v>
      </c>
      <c r="J41" s="157"/>
      <c r="K41" s="159">
        <f t="shared" si="3"/>
        <v>362763</v>
      </c>
    </row>
    <row r="42" spans="1:11" ht="18" customHeight="1">
      <c r="A42" s="151" t="s">
        <v>89</v>
      </c>
      <c r="B42" s="155" t="s">
        <v>11</v>
      </c>
      <c r="F42" s="156">
        <v>2497</v>
      </c>
      <c r="G42" s="156">
        <v>22</v>
      </c>
      <c r="H42" s="157">
        <v>69850</v>
      </c>
      <c r="I42" s="158">
        <v>45685</v>
      </c>
      <c r="J42" s="157"/>
      <c r="K42" s="159">
        <f t="shared" si="3"/>
        <v>115535</v>
      </c>
    </row>
    <row r="43" spans="1:11" ht="18" customHeight="1">
      <c r="A43" s="151" t="s">
        <v>90</v>
      </c>
      <c r="B43" s="166" t="s">
        <v>10</v>
      </c>
      <c r="C43" s="167"/>
      <c r="D43" s="167"/>
      <c r="F43" s="156"/>
      <c r="G43" s="156"/>
      <c r="H43" s="157"/>
      <c r="I43" s="158">
        <v>0</v>
      </c>
      <c r="J43" s="157"/>
      <c r="K43" s="159">
        <f t="shared" si="3"/>
        <v>0</v>
      </c>
    </row>
    <row r="44" spans="1:11" ht="18" customHeight="1">
      <c r="A44" s="151" t="s">
        <v>91</v>
      </c>
      <c r="B44" s="898" t="s">
        <v>339</v>
      </c>
      <c r="C44" s="899"/>
      <c r="D44" s="900"/>
      <c r="F44" s="168">
        <v>548</v>
      </c>
      <c r="G44" s="168"/>
      <c r="H44" s="168">
        <v>14885</v>
      </c>
      <c r="I44" s="169">
        <v>9808</v>
      </c>
      <c r="J44" s="168"/>
      <c r="K44" s="170">
        <f t="shared" si="3"/>
        <v>24693</v>
      </c>
    </row>
    <row r="45" spans="1:11" ht="18" customHeight="1">
      <c r="A45" s="151" t="s">
        <v>139</v>
      </c>
      <c r="B45" s="898"/>
      <c r="C45" s="899"/>
      <c r="D45" s="900"/>
      <c r="F45" s="156"/>
      <c r="G45" s="156"/>
      <c r="H45" s="157"/>
      <c r="I45" s="158">
        <v>0</v>
      </c>
      <c r="J45" s="157"/>
      <c r="K45" s="159">
        <f t="shared" si="3"/>
        <v>0</v>
      </c>
    </row>
    <row r="46" spans="1:11" ht="18" customHeight="1">
      <c r="A46" s="151" t="s">
        <v>140</v>
      </c>
      <c r="B46" s="898"/>
      <c r="C46" s="899"/>
      <c r="D46" s="900"/>
      <c r="F46" s="156"/>
      <c r="G46" s="156"/>
      <c r="H46" s="157"/>
      <c r="I46" s="158">
        <v>0</v>
      </c>
      <c r="J46" s="157"/>
      <c r="K46" s="159">
        <f t="shared" si="3"/>
        <v>0</v>
      </c>
    </row>
    <row r="47" spans="1:11" ht="18" customHeight="1">
      <c r="A47" s="151" t="s">
        <v>141</v>
      </c>
      <c r="B47" s="898"/>
      <c r="C47" s="899"/>
      <c r="D47" s="900"/>
      <c r="F47" s="156"/>
      <c r="G47" s="156"/>
      <c r="H47" s="157"/>
      <c r="I47" s="158">
        <v>0</v>
      </c>
      <c r="J47" s="157"/>
      <c r="K47" s="159">
        <f t="shared" si="3"/>
        <v>0</v>
      </c>
    </row>
    <row r="49" spans="1:11" ht="18" customHeight="1">
      <c r="A49" s="154" t="s">
        <v>142</v>
      </c>
      <c r="B49" s="150" t="s">
        <v>143</v>
      </c>
      <c r="E49" s="150" t="s">
        <v>7</v>
      </c>
      <c r="F49" s="171">
        <f t="shared" ref="F49:K49" si="4">SUM(F40:F47)</f>
        <v>7923</v>
      </c>
      <c r="G49" s="171">
        <f t="shared" si="4"/>
        <v>132</v>
      </c>
      <c r="H49" s="159">
        <f t="shared" si="4"/>
        <v>360192</v>
      </c>
      <c r="I49" s="159">
        <f t="shared" si="4"/>
        <v>142799</v>
      </c>
      <c r="J49" s="159">
        <f t="shared" si="4"/>
        <v>0</v>
      </c>
      <c r="K49" s="159">
        <f t="shared" si="4"/>
        <v>502991</v>
      </c>
    </row>
    <row r="50" spans="1:11" ht="18" customHeight="1" thickBot="1">
      <c r="G50" s="172"/>
      <c r="H50" s="172"/>
      <c r="I50" s="172"/>
      <c r="J50" s="172"/>
      <c r="K50" s="172"/>
    </row>
    <row r="51" spans="1:11" ht="42.75" customHeight="1">
      <c r="F51" s="153" t="s">
        <v>9</v>
      </c>
      <c r="G51" s="153" t="s">
        <v>37</v>
      </c>
      <c r="H51" s="153" t="s">
        <v>29</v>
      </c>
      <c r="I51" s="153" t="s">
        <v>30</v>
      </c>
      <c r="J51" s="153" t="s">
        <v>33</v>
      </c>
      <c r="K51" s="153" t="s">
        <v>34</v>
      </c>
    </row>
    <row r="52" spans="1:11" ht="18" customHeight="1">
      <c r="A52" s="154" t="s">
        <v>92</v>
      </c>
      <c r="B52" s="905" t="s">
        <v>38</v>
      </c>
      <c r="C52" s="906"/>
    </row>
    <row r="53" spans="1:11" ht="18" customHeight="1">
      <c r="A53" s="151" t="s">
        <v>51</v>
      </c>
      <c r="B53" s="908" t="s">
        <v>493</v>
      </c>
      <c r="C53" s="909"/>
      <c r="D53" s="903"/>
      <c r="F53" s="156">
        <v>0</v>
      </c>
      <c r="G53" s="156">
        <v>0</v>
      </c>
      <c r="H53" s="157">
        <v>2220056</v>
      </c>
      <c r="I53" s="158">
        <v>0</v>
      </c>
      <c r="J53" s="157"/>
      <c r="K53" s="159">
        <f t="shared" ref="K53:K62" si="5">(H53+I53)-J53</f>
        <v>2220056</v>
      </c>
    </row>
    <row r="54" spans="1:11" ht="18" customHeight="1">
      <c r="A54" s="151" t="s">
        <v>93</v>
      </c>
      <c r="B54" s="396" t="s">
        <v>339</v>
      </c>
      <c r="C54" s="397"/>
      <c r="D54" s="392"/>
      <c r="F54" s="156">
        <v>63</v>
      </c>
      <c r="G54" s="156">
        <v>0</v>
      </c>
      <c r="H54" s="157">
        <v>7222940</v>
      </c>
      <c r="I54" s="158">
        <v>4796</v>
      </c>
      <c r="J54" s="157">
        <v>3021051</v>
      </c>
      <c r="K54" s="159">
        <f t="shared" si="5"/>
        <v>4206685</v>
      </c>
    </row>
    <row r="55" spans="1:11" ht="18" customHeight="1">
      <c r="A55" s="151" t="s">
        <v>94</v>
      </c>
      <c r="B55" s="901" t="s">
        <v>495</v>
      </c>
      <c r="C55" s="902"/>
      <c r="D55" s="903"/>
      <c r="F55" s="156">
        <v>0</v>
      </c>
      <c r="G55" s="156">
        <v>0</v>
      </c>
      <c r="H55" s="157">
        <v>3090765</v>
      </c>
      <c r="I55" s="158">
        <v>0</v>
      </c>
      <c r="J55" s="157">
        <v>1930854</v>
      </c>
      <c r="K55" s="159">
        <f t="shared" si="5"/>
        <v>1159911</v>
      </c>
    </row>
    <row r="56" spans="1:11" ht="18" customHeight="1">
      <c r="A56" s="151" t="s">
        <v>95</v>
      </c>
      <c r="B56" s="901"/>
      <c r="C56" s="902"/>
      <c r="D56" s="903"/>
      <c r="F56" s="156"/>
      <c r="G56" s="156"/>
      <c r="H56" s="157"/>
      <c r="I56" s="158">
        <v>0</v>
      </c>
      <c r="J56" s="157"/>
      <c r="K56" s="159">
        <f t="shared" si="5"/>
        <v>0</v>
      </c>
    </row>
    <row r="57" spans="1:11" ht="18" customHeight="1">
      <c r="A57" s="151" t="s">
        <v>96</v>
      </c>
      <c r="B57" s="901"/>
      <c r="C57" s="902"/>
      <c r="D57" s="903"/>
      <c r="F57" s="156"/>
      <c r="G57" s="156"/>
      <c r="H57" s="157"/>
      <c r="I57" s="158">
        <v>0</v>
      </c>
      <c r="J57" s="157"/>
      <c r="K57" s="159">
        <f t="shared" si="5"/>
        <v>0</v>
      </c>
    </row>
    <row r="58" spans="1:11" ht="18" customHeight="1">
      <c r="A58" s="151" t="s">
        <v>97</v>
      </c>
      <c r="B58" s="396"/>
      <c r="C58" s="397"/>
      <c r="D58" s="392"/>
      <c r="F58" s="156"/>
      <c r="G58" s="156"/>
      <c r="H58" s="157"/>
      <c r="I58" s="158">
        <v>0</v>
      </c>
      <c r="J58" s="157"/>
      <c r="K58" s="159">
        <f t="shared" si="5"/>
        <v>0</v>
      </c>
    </row>
    <row r="59" spans="1:11" ht="18" customHeight="1">
      <c r="A59" s="151" t="s">
        <v>98</v>
      </c>
      <c r="B59" s="901"/>
      <c r="C59" s="902"/>
      <c r="D59" s="903"/>
      <c r="F59" s="156"/>
      <c r="G59" s="156"/>
      <c r="H59" s="157"/>
      <c r="I59" s="158">
        <v>0</v>
      </c>
      <c r="J59" s="157"/>
      <c r="K59" s="159">
        <f t="shared" si="5"/>
        <v>0</v>
      </c>
    </row>
    <row r="60" spans="1:11" ht="18" customHeight="1">
      <c r="A60" s="151" t="s">
        <v>99</v>
      </c>
      <c r="B60" s="396"/>
      <c r="C60" s="397"/>
      <c r="D60" s="392"/>
      <c r="F60" s="156"/>
      <c r="G60" s="156"/>
      <c r="H60" s="157"/>
      <c r="I60" s="158">
        <v>0</v>
      </c>
      <c r="J60" s="157"/>
      <c r="K60" s="159">
        <f t="shared" si="5"/>
        <v>0</v>
      </c>
    </row>
    <row r="61" spans="1:11" ht="18" customHeight="1">
      <c r="A61" s="151" t="s">
        <v>100</v>
      </c>
      <c r="B61" s="396"/>
      <c r="C61" s="397"/>
      <c r="D61" s="392"/>
      <c r="F61" s="156"/>
      <c r="G61" s="156"/>
      <c r="H61" s="157"/>
      <c r="I61" s="158">
        <v>0</v>
      </c>
      <c r="J61" s="157"/>
      <c r="K61" s="159">
        <f t="shared" si="5"/>
        <v>0</v>
      </c>
    </row>
    <row r="62" spans="1:11" ht="18" customHeight="1">
      <c r="A62" s="151" t="s">
        <v>101</v>
      </c>
      <c r="B62" s="901"/>
      <c r="C62" s="902"/>
      <c r="D62" s="903"/>
      <c r="F62" s="156"/>
      <c r="G62" s="156"/>
      <c r="H62" s="157"/>
      <c r="I62" s="158">
        <v>0</v>
      </c>
      <c r="J62" s="157"/>
      <c r="K62" s="159">
        <f t="shared" si="5"/>
        <v>0</v>
      </c>
    </row>
    <row r="63" spans="1:11" ht="18" customHeight="1">
      <c r="A63" s="151"/>
      <c r="I63" s="173"/>
    </row>
    <row r="64" spans="1:11" ht="18" customHeight="1">
      <c r="A64" s="151" t="s">
        <v>144</v>
      </c>
      <c r="B64" s="150" t="s">
        <v>145</v>
      </c>
      <c r="E64" s="150" t="s">
        <v>7</v>
      </c>
      <c r="F64" s="162">
        <f t="shared" ref="F64:K64" si="6">SUM(F53:F62)</f>
        <v>63</v>
      </c>
      <c r="G64" s="162">
        <f t="shared" si="6"/>
        <v>0</v>
      </c>
      <c r="H64" s="159">
        <f t="shared" si="6"/>
        <v>12533761</v>
      </c>
      <c r="I64" s="159">
        <f t="shared" si="6"/>
        <v>4796</v>
      </c>
      <c r="J64" s="159">
        <f t="shared" si="6"/>
        <v>4951905</v>
      </c>
      <c r="K64" s="159">
        <f t="shared" si="6"/>
        <v>7586652</v>
      </c>
    </row>
    <row r="65" spans="1:11" ht="18" customHeight="1">
      <c r="F65" s="174"/>
      <c r="G65" s="174"/>
      <c r="H65" s="174"/>
      <c r="I65" s="174"/>
      <c r="J65" s="174"/>
      <c r="K65" s="174"/>
    </row>
    <row r="66" spans="1:11" ht="42.75" customHeight="1">
      <c r="F66" s="175" t="s">
        <v>9</v>
      </c>
      <c r="G66" s="175" t="s">
        <v>37</v>
      </c>
      <c r="H66" s="175" t="s">
        <v>29</v>
      </c>
      <c r="I66" s="175" t="s">
        <v>30</v>
      </c>
      <c r="J66" s="175" t="s">
        <v>33</v>
      </c>
      <c r="K66" s="175" t="s">
        <v>34</v>
      </c>
    </row>
    <row r="67" spans="1:11" ht="18" customHeight="1">
      <c r="A67" s="154" t="s">
        <v>102</v>
      </c>
      <c r="B67" s="150" t="s">
        <v>12</v>
      </c>
      <c r="F67" s="176"/>
      <c r="G67" s="176"/>
      <c r="H67" s="176"/>
      <c r="I67" s="177"/>
      <c r="J67" s="176"/>
      <c r="K67" s="178"/>
    </row>
    <row r="68" spans="1:11" ht="18" customHeight="1">
      <c r="A68" s="151" t="s">
        <v>103</v>
      </c>
      <c r="B68" s="147" t="s">
        <v>52</v>
      </c>
      <c r="F68" s="179"/>
      <c r="G68" s="179"/>
      <c r="H68" s="179"/>
      <c r="I68" s="158">
        <v>0</v>
      </c>
      <c r="J68" s="179"/>
      <c r="K68" s="159">
        <f>(H68+I68)-J68</f>
        <v>0</v>
      </c>
    </row>
    <row r="69" spans="1:11" ht="18" customHeight="1">
      <c r="A69" s="151" t="s">
        <v>104</v>
      </c>
      <c r="B69" s="155" t="s">
        <v>53</v>
      </c>
      <c r="F69" s="179"/>
      <c r="G69" s="179"/>
      <c r="H69" s="179"/>
      <c r="I69" s="158">
        <v>0</v>
      </c>
      <c r="J69" s="179"/>
      <c r="K69" s="159">
        <f>(H69+I69)-J69</f>
        <v>0</v>
      </c>
    </row>
    <row r="70" spans="1:11" ht="18" customHeight="1">
      <c r="A70" s="151" t="s">
        <v>178</v>
      </c>
      <c r="B70" s="396"/>
      <c r="C70" s="397"/>
      <c r="D70" s="392"/>
      <c r="E70" s="150"/>
      <c r="F70" s="180"/>
      <c r="G70" s="180"/>
      <c r="H70" s="181"/>
      <c r="I70" s="158">
        <v>0</v>
      </c>
      <c r="J70" s="181"/>
      <c r="K70" s="159">
        <f>(H70+I70)-J70</f>
        <v>0</v>
      </c>
    </row>
    <row r="71" spans="1:11" ht="18" customHeight="1">
      <c r="A71" s="151" t="s">
        <v>179</v>
      </c>
      <c r="B71" s="396"/>
      <c r="C71" s="397"/>
      <c r="D71" s="392"/>
      <c r="E71" s="150"/>
      <c r="F71" s="180"/>
      <c r="G71" s="180"/>
      <c r="H71" s="181"/>
      <c r="I71" s="158">
        <v>0</v>
      </c>
      <c r="J71" s="181"/>
      <c r="K71" s="159">
        <f>(H71+I71)-J71</f>
        <v>0</v>
      </c>
    </row>
    <row r="72" spans="1:11" ht="18" customHeight="1">
      <c r="A72" s="151" t="s">
        <v>180</v>
      </c>
      <c r="B72" s="390"/>
      <c r="C72" s="391"/>
      <c r="D72" s="182"/>
      <c r="E72" s="150"/>
      <c r="F72" s="156"/>
      <c r="G72" s="156"/>
      <c r="H72" s="157"/>
      <c r="I72" s="158">
        <v>0</v>
      </c>
      <c r="J72" s="157"/>
      <c r="K72" s="159">
        <f>(H72+I72)-J72</f>
        <v>0</v>
      </c>
    </row>
    <row r="73" spans="1:11" ht="18" customHeight="1">
      <c r="A73" s="151"/>
      <c r="B73" s="155"/>
      <c r="E73" s="150"/>
      <c r="F73" s="183"/>
      <c r="G73" s="183"/>
      <c r="H73" s="184"/>
      <c r="I73" s="177"/>
      <c r="J73" s="184"/>
      <c r="K73" s="178"/>
    </row>
    <row r="74" spans="1:11" ht="18" customHeight="1">
      <c r="A74" s="154" t="s">
        <v>146</v>
      </c>
      <c r="B74" s="150" t="s">
        <v>147</v>
      </c>
      <c r="E74" s="150" t="s">
        <v>7</v>
      </c>
      <c r="F74" s="185">
        <f t="shared" ref="F74:K74" si="7">SUM(F68:F72)</f>
        <v>0</v>
      </c>
      <c r="G74" s="185">
        <f t="shared" si="7"/>
        <v>0</v>
      </c>
      <c r="H74" s="185">
        <f t="shared" si="7"/>
        <v>0</v>
      </c>
      <c r="I74" s="186">
        <f t="shared" si="7"/>
        <v>0</v>
      </c>
      <c r="J74" s="185">
        <f t="shared" si="7"/>
        <v>0</v>
      </c>
      <c r="K74" s="187">
        <f t="shared" si="7"/>
        <v>0</v>
      </c>
    </row>
    <row r="75" spans="1:11" ht="42.75" customHeight="1">
      <c r="F75" s="153" t="s">
        <v>9</v>
      </c>
      <c r="G75" s="153" t="s">
        <v>37</v>
      </c>
      <c r="H75" s="153" t="s">
        <v>29</v>
      </c>
      <c r="I75" s="153" t="s">
        <v>30</v>
      </c>
      <c r="J75" s="153" t="s">
        <v>33</v>
      </c>
      <c r="K75" s="153" t="s">
        <v>34</v>
      </c>
    </row>
    <row r="76" spans="1:11" ht="18" customHeight="1">
      <c r="A76" s="154" t="s">
        <v>105</v>
      </c>
      <c r="B76" s="150" t="s">
        <v>106</v>
      </c>
    </row>
    <row r="77" spans="1:11" ht="18" customHeight="1">
      <c r="A77" s="151" t="s">
        <v>107</v>
      </c>
      <c r="B77" s="155" t="s">
        <v>54</v>
      </c>
      <c r="F77" s="156">
        <v>0</v>
      </c>
      <c r="G77" s="156">
        <v>10</v>
      </c>
      <c r="H77" s="157">
        <v>35000</v>
      </c>
      <c r="I77" s="158">
        <v>0</v>
      </c>
      <c r="J77" s="157"/>
      <c r="K77" s="159">
        <f>(H77+I77)-J77</f>
        <v>35000</v>
      </c>
    </row>
    <row r="78" spans="1:11" ht="18" customHeight="1">
      <c r="A78" s="151" t="s">
        <v>108</v>
      </c>
      <c r="B78" s="155" t="s">
        <v>55</v>
      </c>
      <c r="F78" s="156"/>
      <c r="G78" s="156"/>
      <c r="H78" s="157"/>
      <c r="I78" s="158">
        <v>0</v>
      </c>
      <c r="J78" s="157"/>
      <c r="K78" s="159">
        <f>(H78+I78)-J78</f>
        <v>0</v>
      </c>
    </row>
    <row r="79" spans="1:11" ht="18" customHeight="1">
      <c r="A79" s="151" t="s">
        <v>109</v>
      </c>
      <c r="B79" s="155" t="s">
        <v>13</v>
      </c>
      <c r="F79" s="156">
        <v>108</v>
      </c>
      <c r="G79" s="156">
        <v>1400</v>
      </c>
      <c r="H79" s="157">
        <v>19041</v>
      </c>
      <c r="I79" s="158">
        <v>4570</v>
      </c>
      <c r="J79" s="157"/>
      <c r="K79" s="159">
        <f>(H79+I79)-J79</f>
        <v>23611</v>
      </c>
    </row>
    <row r="80" spans="1:11" ht="18" customHeight="1">
      <c r="A80" s="151" t="s">
        <v>110</v>
      </c>
      <c r="B80" s="155" t="s">
        <v>56</v>
      </c>
      <c r="F80" s="156"/>
      <c r="G80" s="156"/>
      <c r="H80" s="157"/>
      <c r="I80" s="158">
        <v>0</v>
      </c>
      <c r="J80" s="157"/>
      <c r="K80" s="159">
        <f>(H80+I80)-J80</f>
        <v>0</v>
      </c>
    </row>
    <row r="81" spans="1:11" ht="18" customHeight="1">
      <c r="A81" s="151"/>
      <c r="K81" s="188"/>
    </row>
    <row r="82" spans="1:11" ht="18" customHeight="1">
      <c r="A82" s="151" t="s">
        <v>148</v>
      </c>
      <c r="B82" s="150" t="s">
        <v>149</v>
      </c>
      <c r="E82" s="150" t="s">
        <v>7</v>
      </c>
      <c r="F82" s="185">
        <f t="shared" ref="F82:K82" si="8">SUM(F77:F80)</f>
        <v>108</v>
      </c>
      <c r="G82" s="185">
        <f t="shared" si="8"/>
        <v>1410</v>
      </c>
      <c r="H82" s="187">
        <f t="shared" si="8"/>
        <v>54041</v>
      </c>
      <c r="I82" s="187">
        <f t="shared" si="8"/>
        <v>4570</v>
      </c>
      <c r="J82" s="187">
        <f t="shared" si="8"/>
        <v>0</v>
      </c>
      <c r="K82" s="187">
        <f t="shared" si="8"/>
        <v>58611</v>
      </c>
    </row>
    <row r="83" spans="1:11" ht="18" customHeight="1" thickBot="1">
      <c r="A83" s="151"/>
      <c r="F83" s="172"/>
      <c r="G83" s="172"/>
      <c r="H83" s="172"/>
      <c r="I83" s="172"/>
      <c r="J83" s="172"/>
      <c r="K83" s="172"/>
    </row>
    <row r="84" spans="1:11" ht="42.75" customHeight="1">
      <c r="F84" s="153" t="s">
        <v>9</v>
      </c>
      <c r="G84" s="153" t="s">
        <v>37</v>
      </c>
      <c r="H84" s="153" t="s">
        <v>29</v>
      </c>
      <c r="I84" s="153" t="s">
        <v>30</v>
      </c>
      <c r="J84" s="153" t="s">
        <v>33</v>
      </c>
      <c r="K84" s="153" t="s">
        <v>34</v>
      </c>
    </row>
    <row r="85" spans="1:11" ht="18" customHeight="1">
      <c r="A85" s="154" t="s">
        <v>111</v>
      </c>
      <c r="B85" s="150" t="s">
        <v>57</v>
      </c>
    </row>
    <row r="86" spans="1:11" ht="18" customHeight="1">
      <c r="A86" s="151" t="s">
        <v>112</v>
      </c>
      <c r="B86" s="155" t="s">
        <v>113</v>
      </c>
      <c r="F86" s="156"/>
      <c r="G86" s="156"/>
      <c r="H86" s="157"/>
      <c r="I86" s="158">
        <f t="shared" ref="I86:I96" si="9">H86*F$114</f>
        <v>0</v>
      </c>
      <c r="J86" s="157"/>
      <c r="K86" s="159">
        <f t="shared" ref="K86:K96" si="10">(H86+I86)-J86</f>
        <v>0</v>
      </c>
    </row>
    <row r="87" spans="1:11" ht="18" customHeight="1">
      <c r="A87" s="151" t="s">
        <v>114</v>
      </c>
      <c r="B87" s="155" t="s">
        <v>14</v>
      </c>
      <c r="F87" s="156">
        <v>1</v>
      </c>
      <c r="G87" s="156"/>
      <c r="H87" s="157">
        <v>105</v>
      </c>
      <c r="I87" s="158">
        <v>0</v>
      </c>
      <c r="J87" s="157"/>
      <c r="K87" s="159">
        <f t="shared" si="10"/>
        <v>105</v>
      </c>
    </row>
    <row r="88" spans="1:11" ht="18" customHeight="1">
      <c r="A88" s="151" t="s">
        <v>115</v>
      </c>
      <c r="B88" s="155" t="s">
        <v>116</v>
      </c>
      <c r="F88" s="156">
        <v>563</v>
      </c>
      <c r="G88" s="156">
        <v>160</v>
      </c>
      <c r="H88" s="157">
        <v>87242</v>
      </c>
      <c r="I88" s="158">
        <v>17388</v>
      </c>
      <c r="J88" s="157"/>
      <c r="K88" s="159">
        <f t="shared" si="10"/>
        <v>104630</v>
      </c>
    </row>
    <row r="89" spans="1:11" ht="18" customHeight="1">
      <c r="A89" s="151" t="s">
        <v>117</v>
      </c>
      <c r="B89" s="155" t="s">
        <v>58</v>
      </c>
      <c r="F89" s="156"/>
      <c r="G89" s="156"/>
      <c r="H89" s="157"/>
      <c r="I89" s="158">
        <f t="shared" si="9"/>
        <v>0</v>
      </c>
      <c r="J89" s="157"/>
      <c r="K89" s="159">
        <f t="shared" si="10"/>
        <v>0</v>
      </c>
    </row>
    <row r="90" spans="1:11" ht="18" customHeight="1">
      <c r="A90" s="151" t="s">
        <v>118</v>
      </c>
      <c r="B90" s="904" t="s">
        <v>59</v>
      </c>
      <c r="C90" s="907"/>
      <c r="F90" s="156"/>
      <c r="G90" s="156"/>
      <c r="H90" s="157"/>
      <c r="I90" s="158">
        <f t="shared" si="9"/>
        <v>0</v>
      </c>
      <c r="J90" s="157"/>
      <c r="K90" s="159">
        <f t="shared" si="10"/>
        <v>0</v>
      </c>
    </row>
    <row r="91" spans="1:11" ht="18" customHeight="1">
      <c r="A91" s="151" t="s">
        <v>119</v>
      </c>
      <c r="B91" s="155" t="s">
        <v>60</v>
      </c>
      <c r="F91" s="156">
        <v>87</v>
      </c>
      <c r="G91" s="156">
        <v>0</v>
      </c>
      <c r="H91" s="157">
        <v>11635</v>
      </c>
      <c r="I91" s="158">
        <v>138</v>
      </c>
      <c r="J91" s="157"/>
      <c r="K91" s="159">
        <f t="shared" si="10"/>
        <v>11773</v>
      </c>
    </row>
    <row r="92" spans="1:11" ht="18" customHeight="1">
      <c r="A92" s="151" t="s">
        <v>120</v>
      </c>
      <c r="B92" s="155" t="s">
        <v>121</v>
      </c>
      <c r="F92" s="189">
        <v>7</v>
      </c>
      <c r="G92" s="189">
        <v>0</v>
      </c>
      <c r="H92" s="190">
        <v>735</v>
      </c>
      <c r="I92" s="158">
        <v>0</v>
      </c>
      <c r="J92" s="190"/>
      <c r="K92" s="159">
        <f t="shared" si="10"/>
        <v>735</v>
      </c>
    </row>
    <row r="93" spans="1:11" ht="18" customHeight="1">
      <c r="A93" s="151" t="s">
        <v>122</v>
      </c>
      <c r="B93" s="155" t="s">
        <v>123</v>
      </c>
      <c r="F93" s="156">
        <v>754</v>
      </c>
      <c r="G93" s="156">
        <v>0</v>
      </c>
      <c r="H93" s="157">
        <v>22303</v>
      </c>
      <c r="I93" s="158">
        <v>14491</v>
      </c>
      <c r="J93" s="157"/>
      <c r="K93" s="159">
        <f t="shared" si="10"/>
        <v>36794</v>
      </c>
    </row>
    <row r="94" spans="1:11" ht="18" customHeight="1">
      <c r="A94" s="151" t="s">
        <v>124</v>
      </c>
      <c r="B94" s="901"/>
      <c r="C94" s="902"/>
      <c r="D94" s="903"/>
      <c r="F94" s="156"/>
      <c r="G94" s="156"/>
      <c r="H94" s="157"/>
      <c r="I94" s="158">
        <f t="shared" si="9"/>
        <v>0</v>
      </c>
      <c r="J94" s="157"/>
      <c r="K94" s="159">
        <f t="shared" si="10"/>
        <v>0</v>
      </c>
    </row>
    <row r="95" spans="1:11" ht="18" customHeight="1">
      <c r="A95" s="151" t="s">
        <v>125</v>
      </c>
      <c r="B95" s="901"/>
      <c r="C95" s="902"/>
      <c r="D95" s="903"/>
      <c r="F95" s="156"/>
      <c r="G95" s="156"/>
      <c r="H95" s="157"/>
      <c r="I95" s="158">
        <f t="shared" si="9"/>
        <v>0</v>
      </c>
      <c r="J95" s="157"/>
      <c r="K95" s="159">
        <f t="shared" si="10"/>
        <v>0</v>
      </c>
    </row>
    <row r="96" spans="1:11" ht="18" customHeight="1">
      <c r="A96" s="151" t="s">
        <v>126</v>
      </c>
      <c r="B96" s="901"/>
      <c r="C96" s="902"/>
      <c r="D96" s="903"/>
      <c r="F96" s="156"/>
      <c r="G96" s="156"/>
      <c r="H96" s="157"/>
      <c r="I96" s="158">
        <f t="shared" si="9"/>
        <v>0</v>
      </c>
      <c r="J96" s="157"/>
      <c r="K96" s="159">
        <f t="shared" si="10"/>
        <v>0</v>
      </c>
    </row>
    <row r="97" spans="1:11" ht="18" customHeight="1">
      <c r="A97" s="151"/>
      <c r="B97" s="155"/>
    </row>
    <row r="98" spans="1:11" ht="18" customHeight="1">
      <c r="A98" s="154" t="s">
        <v>150</v>
      </c>
      <c r="B98" s="150" t="s">
        <v>151</v>
      </c>
      <c r="E98" s="150" t="s">
        <v>7</v>
      </c>
      <c r="F98" s="162">
        <f t="shared" ref="F98:K98" si="11">SUM(F86:F96)</f>
        <v>1412</v>
      </c>
      <c r="G98" s="162">
        <f t="shared" si="11"/>
        <v>160</v>
      </c>
      <c r="H98" s="162">
        <f t="shared" si="11"/>
        <v>122020</v>
      </c>
      <c r="I98" s="162">
        <f t="shared" si="11"/>
        <v>32017</v>
      </c>
      <c r="J98" s="162">
        <f t="shared" si="11"/>
        <v>0</v>
      </c>
      <c r="K98" s="162">
        <f t="shared" si="11"/>
        <v>154037</v>
      </c>
    </row>
    <row r="99" spans="1:11" ht="18" customHeight="1" thickBot="1">
      <c r="B99" s="150"/>
      <c r="F99" s="172"/>
      <c r="G99" s="172"/>
      <c r="H99" s="172"/>
      <c r="I99" s="172"/>
      <c r="J99" s="172"/>
      <c r="K99" s="172"/>
    </row>
    <row r="100" spans="1:11" ht="42.75" customHeight="1">
      <c r="F100" s="153" t="s">
        <v>9</v>
      </c>
      <c r="G100" s="153" t="s">
        <v>37</v>
      </c>
      <c r="H100" s="153" t="s">
        <v>29</v>
      </c>
      <c r="I100" s="153" t="s">
        <v>30</v>
      </c>
      <c r="J100" s="153" t="s">
        <v>33</v>
      </c>
      <c r="K100" s="153" t="s">
        <v>34</v>
      </c>
    </row>
    <row r="101" spans="1:11" ht="18" customHeight="1">
      <c r="A101" s="154" t="s">
        <v>130</v>
      </c>
      <c r="B101" s="150" t="s">
        <v>63</v>
      </c>
    </row>
    <row r="102" spans="1:11" ht="18" customHeight="1">
      <c r="A102" s="151" t="s">
        <v>131</v>
      </c>
      <c r="B102" s="155" t="s">
        <v>152</v>
      </c>
      <c r="F102" s="156"/>
      <c r="G102" s="156"/>
      <c r="H102" s="157"/>
      <c r="I102" s="158">
        <f>H102*F$114</f>
        <v>0</v>
      </c>
      <c r="J102" s="157"/>
      <c r="K102" s="159">
        <f>(H102+I102)-J102</f>
        <v>0</v>
      </c>
    </row>
    <row r="103" spans="1:11" ht="18" customHeight="1">
      <c r="A103" s="151" t="s">
        <v>132</v>
      </c>
      <c r="B103" s="904" t="s">
        <v>62</v>
      </c>
      <c r="C103" s="904"/>
      <c r="F103" s="156">
        <v>1664</v>
      </c>
      <c r="G103" s="156">
        <v>0</v>
      </c>
      <c r="H103" s="157">
        <v>92276</v>
      </c>
      <c r="I103" s="158">
        <v>40776</v>
      </c>
      <c r="J103" s="157"/>
      <c r="K103" s="159">
        <f>(H103+I103)-J103</f>
        <v>133052</v>
      </c>
    </row>
    <row r="104" spans="1:11" ht="18" customHeight="1">
      <c r="A104" s="151" t="s">
        <v>128</v>
      </c>
      <c r="B104" s="901" t="s">
        <v>496</v>
      </c>
      <c r="C104" s="902"/>
      <c r="D104" s="903"/>
      <c r="F104" s="156">
        <v>6</v>
      </c>
      <c r="G104" s="156">
        <v>0</v>
      </c>
      <c r="H104" s="157">
        <v>229</v>
      </c>
      <c r="I104" s="158">
        <v>151</v>
      </c>
      <c r="J104" s="157"/>
      <c r="K104" s="159">
        <f>(H104+I104)-J104</f>
        <v>380</v>
      </c>
    </row>
    <row r="105" spans="1:11" ht="18" customHeight="1">
      <c r="A105" s="151" t="s">
        <v>127</v>
      </c>
      <c r="B105" s="901"/>
      <c r="C105" s="902"/>
      <c r="D105" s="903"/>
      <c r="F105" s="156"/>
      <c r="G105" s="156"/>
      <c r="H105" s="157"/>
      <c r="I105" s="158">
        <f>H105*F$114</f>
        <v>0</v>
      </c>
      <c r="J105" s="157"/>
      <c r="K105" s="159">
        <f>(H105+I105)-J105</f>
        <v>0</v>
      </c>
    </row>
    <row r="106" spans="1:11" ht="18" customHeight="1">
      <c r="A106" s="151" t="s">
        <v>129</v>
      </c>
      <c r="B106" s="901"/>
      <c r="C106" s="902"/>
      <c r="D106" s="903"/>
      <c r="F106" s="156"/>
      <c r="G106" s="156"/>
      <c r="H106" s="157"/>
      <c r="I106" s="158">
        <f>H106*F$114</f>
        <v>0</v>
      </c>
      <c r="J106" s="157"/>
      <c r="K106" s="159">
        <f>(H106+I106)-J106</f>
        <v>0</v>
      </c>
    </row>
    <row r="107" spans="1:11" ht="18" customHeight="1">
      <c r="B107" s="150"/>
    </row>
    <row r="108" spans="1:11" s="167" customFormat="1" ht="18" customHeight="1">
      <c r="A108" s="154" t="s">
        <v>153</v>
      </c>
      <c r="B108" s="191" t="s">
        <v>154</v>
      </c>
      <c r="C108" s="147"/>
      <c r="D108" s="147"/>
      <c r="E108" s="150" t="s">
        <v>7</v>
      </c>
      <c r="F108" s="162">
        <f t="shared" ref="F108:K108" si="12">SUM(F102:F106)</f>
        <v>1670</v>
      </c>
      <c r="G108" s="162">
        <f t="shared" si="12"/>
        <v>0</v>
      </c>
      <c r="H108" s="159">
        <f t="shared" si="12"/>
        <v>92505</v>
      </c>
      <c r="I108" s="159">
        <f t="shared" si="12"/>
        <v>40927</v>
      </c>
      <c r="J108" s="159">
        <f t="shared" si="12"/>
        <v>0</v>
      </c>
      <c r="K108" s="159">
        <f t="shared" si="12"/>
        <v>133432</v>
      </c>
    </row>
    <row r="109" spans="1:11" s="167" customFormat="1" ht="18" customHeight="1" thickBot="1">
      <c r="A109" s="192"/>
      <c r="B109" s="193"/>
      <c r="C109" s="194"/>
      <c r="D109" s="194"/>
      <c r="E109" s="194"/>
      <c r="F109" s="172"/>
      <c r="G109" s="172"/>
      <c r="H109" s="172"/>
      <c r="I109" s="172"/>
      <c r="J109" s="172"/>
      <c r="K109" s="172"/>
    </row>
    <row r="110" spans="1:11" s="167" customFormat="1" ht="18" customHeight="1">
      <c r="A110" s="154" t="s">
        <v>156</v>
      </c>
      <c r="B110" s="150" t="s">
        <v>39</v>
      </c>
      <c r="C110" s="147"/>
      <c r="D110" s="147"/>
      <c r="E110" s="147"/>
      <c r="F110" s="147"/>
      <c r="G110" s="147"/>
      <c r="H110" s="147"/>
      <c r="I110" s="147"/>
      <c r="J110" s="147"/>
      <c r="K110" s="147"/>
    </row>
    <row r="111" spans="1:11" ht="18" customHeight="1">
      <c r="A111" s="154" t="s">
        <v>155</v>
      </c>
      <c r="B111" s="150" t="s">
        <v>164</v>
      </c>
      <c r="E111" s="150" t="s">
        <v>7</v>
      </c>
      <c r="F111" s="157">
        <v>1464645</v>
      </c>
    </row>
    <row r="112" spans="1:11" ht="18" customHeight="1">
      <c r="B112" s="150"/>
      <c r="E112" s="150"/>
      <c r="F112" s="195"/>
    </row>
    <row r="113" spans="1:6" ht="18" customHeight="1">
      <c r="A113" s="154"/>
      <c r="B113" s="150" t="s">
        <v>15</v>
      </c>
    </row>
    <row r="114" spans="1:6" ht="18" customHeight="1">
      <c r="A114" s="151" t="s">
        <v>171</v>
      </c>
      <c r="B114" s="155" t="s">
        <v>35</v>
      </c>
      <c r="F114" s="196">
        <v>0.7581</v>
      </c>
    </row>
    <row r="115" spans="1:6" ht="18" customHeight="1">
      <c r="A115" s="151"/>
      <c r="B115" s="150"/>
    </row>
    <row r="116" spans="1:6" ht="18" customHeight="1">
      <c r="A116" s="151" t="s">
        <v>170</v>
      </c>
      <c r="B116" s="150" t="s">
        <v>16</v>
      </c>
    </row>
    <row r="117" spans="1:6" ht="18" customHeight="1">
      <c r="A117" s="151" t="s">
        <v>172</v>
      </c>
      <c r="B117" s="155" t="s">
        <v>17</v>
      </c>
      <c r="F117" s="157">
        <v>124429000</v>
      </c>
    </row>
    <row r="118" spans="1:6" ht="18" customHeight="1">
      <c r="A118" s="151" t="s">
        <v>173</v>
      </c>
      <c r="B118" s="147" t="s">
        <v>18</v>
      </c>
      <c r="F118" s="157">
        <v>544000</v>
      </c>
    </row>
    <row r="119" spans="1:6" ht="18" customHeight="1">
      <c r="A119" s="151" t="s">
        <v>174</v>
      </c>
      <c r="B119" s="150" t="s">
        <v>19</v>
      </c>
      <c r="F119" s="187">
        <f>SUM(F117:F118)</f>
        <v>124973000</v>
      </c>
    </row>
    <row r="120" spans="1:6" ht="18" customHeight="1">
      <c r="A120" s="151"/>
      <c r="B120" s="150"/>
    </row>
    <row r="121" spans="1:6" ht="18" customHeight="1">
      <c r="A121" s="151" t="s">
        <v>167</v>
      </c>
      <c r="B121" s="150" t="s">
        <v>36</v>
      </c>
      <c r="F121" s="157">
        <v>109684000</v>
      </c>
    </row>
    <row r="122" spans="1:6" ht="18" customHeight="1">
      <c r="A122" s="151"/>
    </row>
    <row r="123" spans="1:6" ht="18" customHeight="1">
      <c r="A123" s="151" t="s">
        <v>175</v>
      </c>
      <c r="B123" s="150" t="s">
        <v>20</v>
      </c>
      <c r="F123" s="157">
        <v>15289000</v>
      </c>
    </row>
    <row r="124" spans="1:6" ht="18" customHeight="1">
      <c r="A124" s="151"/>
    </row>
    <row r="125" spans="1:6" ht="18" customHeight="1">
      <c r="A125" s="151" t="s">
        <v>176</v>
      </c>
      <c r="B125" s="150" t="s">
        <v>21</v>
      </c>
      <c r="F125" s="157">
        <v>-1005000</v>
      </c>
    </row>
    <row r="126" spans="1:6" ht="18" customHeight="1">
      <c r="A126" s="151"/>
    </row>
    <row r="127" spans="1:6" ht="18" customHeight="1">
      <c r="A127" s="151" t="s">
        <v>177</v>
      </c>
      <c r="B127" s="150" t="s">
        <v>22</v>
      </c>
      <c r="F127" s="157">
        <v>14284000</v>
      </c>
    </row>
    <row r="128" spans="1:6" ht="18" customHeight="1">
      <c r="A128" s="151"/>
    </row>
    <row r="129" spans="1:11" ht="42.75" customHeight="1">
      <c r="F129" s="153" t="s">
        <v>9</v>
      </c>
      <c r="G129" s="153" t="s">
        <v>37</v>
      </c>
      <c r="H129" s="153" t="s">
        <v>29</v>
      </c>
      <c r="I129" s="153" t="s">
        <v>30</v>
      </c>
      <c r="J129" s="153" t="s">
        <v>33</v>
      </c>
      <c r="K129" s="153" t="s">
        <v>34</v>
      </c>
    </row>
    <row r="130" spans="1:11" ht="18" customHeight="1">
      <c r="A130" s="154" t="s">
        <v>157</v>
      </c>
      <c r="B130" s="150" t="s">
        <v>23</v>
      </c>
    </row>
    <row r="131" spans="1:11" ht="18" customHeight="1">
      <c r="A131" s="151" t="s">
        <v>158</v>
      </c>
      <c r="B131" s="147" t="s">
        <v>24</v>
      </c>
      <c r="F131" s="156"/>
      <c r="G131" s="156"/>
      <c r="H131" s="157"/>
      <c r="I131" s="158">
        <v>0</v>
      </c>
      <c r="J131" s="157"/>
      <c r="K131" s="159">
        <f>(H131+I131)-J131</f>
        <v>0</v>
      </c>
    </row>
    <row r="132" spans="1:11" ht="18" customHeight="1">
      <c r="A132" s="151" t="s">
        <v>159</v>
      </c>
      <c r="B132" s="147" t="s">
        <v>25</v>
      </c>
      <c r="F132" s="156"/>
      <c r="G132" s="156"/>
      <c r="H132" s="157"/>
      <c r="I132" s="158">
        <v>0</v>
      </c>
      <c r="J132" s="157"/>
      <c r="K132" s="159">
        <f>(H132+I132)-J132</f>
        <v>0</v>
      </c>
    </row>
    <row r="133" spans="1:11" ht="18" customHeight="1">
      <c r="A133" s="151" t="s">
        <v>160</v>
      </c>
      <c r="B133" s="898"/>
      <c r="C133" s="899"/>
      <c r="D133" s="900"/>
      <c r="F133" s="156"/>
      <c r="G133" s="156"/>
      <c r="H133" s="157"/>
      <c r="I133" s="158">
        <v>0</v>
      </c>
      <c r="J133" s="157"/>
      <c r="K133" s="159">
        <f>(H133+I133)-J133</f>
        <v>0</v>
      </c>
    </row>
    <row r="134" spans="1:11" ht="18" customHeight="1">
      <c r="A134" s="151" t="s">
        <v>161</v>
      </c>
      <c r="B134" s="898"/>
      <c r="C134" s="899"/>
      <c r="D134" s="900"/>
      <c r="F134" s="156"/>
      <c r="G134" s="156"/>
      <c r="H134" s="157"/>
      <c r="I134" s="158">
        <v>0</v>
      </c>
      <c r="J134" s="157"/>
      <c r="K134" s="159">
        <f>(H134+I134)-J134</f>
        <v>0</v>
      </c>
    </row>
    <row r="135" spans="1:11" ht="18" customHeight="1">
      <c r="A135" s="151" t="s">
        <v>162</v>
      </c>
      <c r="B135" s="898"/>
      <c r="C135" s="899"/>
      <c r="D135" s="900"/>
      <c r="F135" s="156"/>
      <c r="G135" s="156"/>
      <c r="H135" s="157"/>
      <c r="I135" s="158">
        <v>0</v>
      </c>
      <c r="J135" s="157"/>
      <c r="K135" s="159">
        <f>(H135+I135)-J135</f>
        <v>0</v>
      </c>
    </row>
    <row r="136" spans="1:11" ht="18" customHeight="1">
      <c r="A136" s="154"/>
    </row>
    <row r="137" spans="1:11" ht="18" customHeight="1">
      <c r="A137" s="154" t="s">
        <v>163</v>
      </c>
      <c r="B137" s="150" t="s">
        <v>27</v>
      </c>
      <c r="F137" s="162">
        <f t="shared" ref="F137:K137" si="13">SUM(F131:F135)</f>
        <v>0</v>
      </c>
      <c r="G137" s="162">
        <f t="shared" si="13"/>
        <v>0</v>
      </c>
      <c r="H137" s="159">
        <f t="shared" si="13"/>
        <v>0</v>
      </c>
      <c r="I137" s="159">
        <f t="shared" si="13"/>
        <v>0</v>
      </c>
      <c r="J137" s="159">
        <f t="shared" si="13"/>
        <v>0</v>
      </c>
      <c r="K137" s="159">
        <f t="shared" si="13"/>
        <v>0</v>
      </c>
    </row>
    <row r="138" spans="1:11" ht="18" customHeight="1">
      <c r="A138" s="147"/>
    </row>
    <row r="139" spans="1:11" ht="42.75" customHeight="1">
      <c r="F139" s="153" t="s">
        <v>9</v>
      </c>
      <c r="G139" s="153" t="s">
        <v>37</v>
      </c>
      <c r="H139" s="153" t="s">
        <v>29</v>
      </c>
      <c r="I139" s="153" t="s">
        <v>30</v>
      </c>
      <c r="J139" s="153" t="s">
        <v>33</v>
      </c>
      <c r="K139" s="153" t="s">
        <v>34</v>
      </c>
    </row>
    <row r="140" spans="1:11" ht="18" customHeight="1">
      <c r="A140" s="154" t="s">
        <v>166</v>
      </c>
      <c r="B140" s="150" t="s">
        <v>26</v>
      </c>
    </row>
    <row r="141" spans="1:11" ht="18" customHeight="1">
      <c r="A141" s="151" t="s">
        <v>137</v>
      </c>
      <c r="B141" s="150" t="s">
        <v>64</v>
      </c>
      <c r="F141" s="197">
        <f t="shared" ref="F141:K141" si="14">F36</f>
        <v>3145</v>
      </c>
      <c r="G141" s="197">
        <f t="shared" si="14"/>
        <v>169026</v>
      </c>
      <c r="H141" s="197">
        <f t="shared" si="14"/>
        <v>480337</v>
      </c>
      <c r="I141" s="197">
        <f t="shared" si="14"/>
        <v>128234</v>
      </c>
      <c r="J141" s="197">
        <f t="shared" si="14"/>
        <v>0</v>
      </c>
      <c r="K141" s="197">
        <f t="shared" si="14"/>
        <v>608571</v>
      </c>
    </row>
    <row r="142" spans="1:11" ht="18" customHeight="1">
      <c r="A142" s="151" t="s">
        <v>142</v>
      </c>
      <c r="B142" s="150" t="s">
        <v>65</v>
      </c>
      <c r="F142" s="197">
        <f t="shared" ref="F142:K142" si="15">F49</f>
        <v>7923</v>
      </c>
      <c r="G142" s="197">
        <f t="shared" si="15"/>
        <v>132</v>
      </c>
      <c r="H142" s="197">
        <f t="shared" si="15"/>
        <v>360192</v>
      </c>
      <c r="I142" s="197">
        <f t="shared" si="15"/>
        <v>142799</v>
      </c>
      <c r="J142" s="197">
        <f t="shared" si="15"/>
        <v>0</v>
      </c>
      <c r="K142" s="197">
        <f t="shared" si="15"/>
        <v>502991</v>
      </c>
    </row>
    <row r="143" spans="1:11" ht="18" customHeight="1">
      <c r="A143" s="151" t="s">
        <v>144</v>
      </c>
      <c r="B143" s="150" t="s">
        <v>66</v>
      </c>
      <c r="F143" s="197">
        <f t="shared" ref="F143:K143" si="16">F64</f>
        <v>63</v>
      </c>
      <c r="G143" s="197">
        <f t="shared" si="16"/>
        <v>0</v>
      </c>
      <c r="H143" s="197">
        <f t="shared" si="16"/>
        <v>12533761</v>
      </c>
      <c r="I143" s="197">
        <f t="shared" si="16"/>
        <v>4796</v>
      </c>
      <c r="J143" s="197">
        <f t="shared" si="16"/>
        <v>4951905</v>
      </c>
      <c r="K143" s="197">
        <f t="shared" si="16"/>
        <v>7586652</v>
      </c>
    </row>
    <row r="144" spans="1:11" ht="18" customHeight="1">
      <c r="A144" s="151" t="s">
        <v>146</v>
      </c>
      <c r="B144" s="150" t="s">
        <v>67</v>
      </c>
      <c r="F144" s="197">
        <f t="shared" ref="F144:K144" si="17">F74</f>
        <v>0</v>
      </c>
      <c r="G144" s="197">
        <f t="shared" si="17"/>
        <v>0</v>
      </c>
      <c r="H144" s="197">
        <f t="shared" si="17"/>
        <v>0</v>
      </c>
      <c r="I144" s="197">
        <f t="shared" si="17"/>
        <v>0</v>
      </c>
      <c r="J144" s="197">
        <f t="shared" si="17"/>
        <v>0</v>
      </c>
      <c r="K144" s="197">
        <f t="shared" si="17"/>
        <v>0</v>
      </c>
    </row>
    <row r="145" spans="1:11" ht="18" customHeight="1">
      <c r="A145" s="151" t="s">
        <v>148</v>
      </c>
      <c r="B145" s="150" t="s">
        <v>68</v>
      </c>
      <c r="F145" s="197">
        <f t="shared" ref="F145:K145" si="18">F82</f>
        <v>108</v>
      </c>
      <c r="G145" s="197">
        <f t="shared" si="18"/>
        <v>1410</v>
      </c>
      <c r="H145" s="197">
        <f t="shared" si="18"/>
        <v>54041</v>
      </c>
      <c r="I145" s="197">
        <f t="shared" si="18"/>
        <v>4570</v>
      </c>
      <c r="J145" s="197">
        <f t="shared" si="18"/>
        <v>0</v>
      </c>
      <c r="K145" s="197">
        <f t="shared" si="18"/>
        <v>58611</v>
      </c>
    </row>
    <row r="146" spans="1:11" ht="18" customHeight="1">
      <c r="A146" s="151" t="s">
        <v>150</v>
      </c>
      <c r="B146" s="150" t="s">
        <v>69</v>
      </c>
      <c r="F146" s="197">
        <f t="shared" ref="F146:K146" si="19">F98</f>
        <v>1412</v>
      </c>
      <c r="G146" s="197">
        <f t="shared" si="19"/>
        <v>160</v>
      </c>
      <c r="H146" s="197">
        <f t="shared" si="19"/>
        <v>122020</v>
      </c>
      <c r="I146" s="197">
        <f t="shared" si="19"/>
        <v>32017</v>
      </c>
      <c r="J146" s="197">
        <f t="shared" si="19"/>
        <v>0</v>
      </c>
      <c r="K146" s="197">
        <f t="shared" si="19"/>
        <v>154037</v>
      </c>
    </row>
    <row r="147" spans="1:11" ht="18" customHeight="1">
      <c r="A147" s="151" t="s">
        <v>153</v>
      </c>
      <c r="B147" s="150" t="s">
        <v>61</v>
      </c>
      <c r="F147" s="162">
        <f t="shared" ref="F147:K147" si="20">F108</f>
        <v>1670</v>
      </c>
      <c r="G147" s="162">
        <f t="shared" si="20"/>
        <v>0</v>
      </c>
      <c r="H147" s="162">
        <f t="shared" si="20"/>
        <v>92505</v>
      </c>
      <c r="I147" s="162">
        <f t="shared" si="20"/>
        <v>40927</v>
      </c>
      <c r="J147" s="162">
        <f t="shared" si="20"/>
        <v>0</v>
      </c>
      <c r="K147" s="162">
        <f t="shared" si="20"/>
        <v>133432</v>
      </c>
    </row>
    <row r="148" spans="1:11" ht="18" customHeight="1">
      <c r="A148" s="151" t="s">
        <v>155</v>
      </c>
      <c r="B148" s="150" t="s">
        <v>70</v>
      </c>
      <c r="F148" s="198" t="s">
        <v>73</v>
      </c>
      <c r="G148" s="198" t="s">
        <v>73</v>
      </c>
      <c r="H148" s="199" t="s">
        <v>73</v>
      </c>
      <c r="I148" s="199" t="s">
        <v>73</v>
      </c>
      <c r="J148" s="199" t="s">
        <v>73</v>
      </c>
      <c r="K148" s="200">
        <f>F111</f>
        <v>1464645</v>
      </c>
    </row>
    <row r="149" spans="1:11" ht="18" customHeight="1">
      <c r="A149" s="151" t="s">
        <v>163</v>
      </c>
      <c r="B149" s="150" t="s">
        <v>71</v>
      </c>
      <c r="F149" s="162">
        <f t="shared" ref="F149:K149" si="21">F137</f>
        <v>0</v>
      </c>
      <c r="G149" s="162">
        <f t="shared" si="21"/>
        <v>0</v>
      </c>
      <c r="H149" s="162">
        <f t="shared" si="21"/>
        <v>0</v>
      </c>
      <c r="I149" s="162">
        <f t="shared" si="21"/>
        <v>0</v>
      </c>
      <c r="J149" s="162">
        <f t="shared" si="21"/>
        <v>0</v>
      </c>
      <c r="K149" s="162">
        <f t="shared" si="21"/>
        <v>0</v>
      </c>
    </row>
    <row r="150" spans="1:11" ht="18" customHeight="1">
      <c r="A150" s="151" t="s">
        <v>185</v>
      </c>
      <c r="B150" s="150" t="s">
        <v>186</v>
      </c>
      <c r="F150" s="198" t="s">
        <v>73</v>
      </c>
      <c r="G150" s="198" t="s">
        <v>73</v>
      </c>
      <c r="H150" s="162">
        <f>H18</f>
        <v>3644860</v>
      </c>
      <c r="I150" s="162">
        <f>I18</f>
        <v>0</v>
      </c>
      <c r="J150" s="162">
        <f>J18</f>
        <v>3116811</v>
      </c>
      <c r="K150" s="162">
        <f>K18</f>
        <v>528049</v>
      </c>
    </row>
    <row r="151" spans="1:11" ht="18" customHeight="1">
      <c r="B151" s="150"/>
      <c r="F151" s="174"/>
      <c r="G151" s="174"/>
      <c r="H151" s="174"/>
      <c r="I151" s="174"/>
      <c r="J151" s="174"/>
      <c r="K151" s="174"/>
    </row>
    <row r="152" spans="1:11" ht="18" customHeight="1">
      <c r="A152" s="154" t="s">
        <v>165</v>
      </c>
      <c r="B152" s="150" t="s">
        <v>26</v>
      </c>
      <c r="F152" s="201">
        <f t="shared" ref="F152:K152" si="22">SUM(F141:F150)</f>
        <v>14321</v>
      </c>
      <c r="G152" s="201">
        <f t="shared" si="22"/>
        <v>170728</v>
      </c>
      <c r="H152" s="201">
        <f t="shared" si="22"/>
        <v>17287716</v>
      </c>
      <c r="I152" s="201">
        <f t="shared" si="22"/>
        <v>353343</v>
      </c>
      <c r="J152" s="201">
        <f t="shared" si="22"/>
        <v>8068716</v>
      </c>
      <c r="K152" s="201">
        <f t="shared" si="22"/>
        <v>11036988</v>
      </c>
    </row>
    <row r="154" spans="1:11" ht="18" customHeight="1">
      <c r="A154" s="154" t="s">
        <v>168</v>
      </c>
      <c r="B154" s="150" t="s">
        <v>28</v>
      </c>
      <c r="F154" s="53">
        <f>K152/F121</f>
        <v>0.10062532365705117</v>
      </c>
    </row>
    <row r="155" spans="1:11" ht="18" customHeight="1">
      <c r="A155" s="154" t="s">
        <v>169</v>
      </c>
      <c r="B155" s="150" t="s">
        <v>72</v>
      </c>
      <c r="F155" s="53">
        <f>K152/F127</f>
        <v>0.77268188182581909</v>
      </c>
      <c r="G155" s="150"/>
    </row>
    <row r="156" spans="1:11" ht="18" customHeight="1">
      <c r="G156" s="150"/>
    </row>
  </sheetData>
  <sheetProtection algorithmName="SHA-512" hashValue="iVvdvBFvLJrCQayOzWBOnlmmkvSOlg0vsuWfxw4ykvUWsRMIU69Eos4F9LU4n3blGdfrud4L5z60Zw6vfmvLvQ==" saltValue="dNfDTr1s26G+Dg2uXX89nw==" spinCount="100000" sheet="1" objects="1" scenarios="1"/>
  <mergeCells count="34">
    <mergeCell ref="B41:C41"/>
    <mergeCell ref="D2:H2"/>
    <mergeCell ref="C5:G5"/>
    <mergeCell ref="C6:G6"/>
    <mergeCell ref="C7:G7"/>
    <mergeCell ref="C9:G9"/>
    <mergeCell ref="C10:G10"/>
    <mergeCell ref="C11:G11"/>
    <mergeCell ref="B13:H13"/>
    <mergeCell ref="B30:D30"/>
    <mergeCell ref="B31:D31"/>
    <mergeCell ref="B34:D34"/>
    <mergeCell ref="B90:C90"/>
    <mergeCell ref="B44:D44"/>
    <mergeCell ref="B45:D45"/>
    <mergeCell ref="B46:D46"/>
    <mergeCell ref="B47:D47"/>
    <mergeCell ref="B52:C52"/>
    <mergeCell ref="B53:D53"/>
    <mergeCell ref="B55:D55"/>
    <mergeCell ref="B56:D56"/>
    <mergeCell ref="B57:D57"/>
    <mergeCell ref="B59:D59"/>
    <mergeCell ref="B62:D62"/>
    <mergeCell ref="B106:D106"/>
    <mergeCell ref="B133:D133"/>
    <mergeCell ref="B134:D134"/>
    <mergeCell ref="B135:D135"/>
    <mergeCell ref="B94:D94"/>
    <mergeCell ref="B95:D95"/>
    <mergeCell ref="B96:D96"/>
    <mergeCell ref="B103:C103"/>
    <mergeCell ref="B104:D104"/>
    <mergeCell ref="B105:D105"/>
  </mergeCells>
  <printOptions headings="1" gridLines="1"/>
  <pageMargins left="0.25" right="0.25" top="1.25" bottom="0.75" header="0.3" footer="0.3"/>
  <pageSetup scale="59" fitToHeight="3" orientation="landscape" horizontalDpi="4294967294" r:id="rId1"/>
  <headerFooter alignWithMargins="0">
    <oddHeader>&amp;R&amp;"Arial,Bold Italic"&amp;16FINAL DRAFT</oddHeader>
  </headerFooter>
  <rowBreaks count="4" manualBreakCount="4">
    <brk id="37" max="16383" man="1"/>
    <brk id="74" max="16383" man="1"/>
    <brk id="109" max="16383" man="1"/>
    <brk id="138" max="1638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fitToPage="1"/>
  </sheetPr>
  <dimension ref="A1:K166"/>
  <sheetViews>
    <sheetView zoomScaleNormal="100" workbookViewId="0">
      <pane ySplit="11" topLeftCell="A12" activePane="bottomLeft" state="frozenSplit"/>
      <selection pane="bottomLeft" activeCell="K18" sqref="K18"/>
    </sheetView>
  </sheetViews>
  <sheetFormatPr defaultRowHeight="18" customHeight="1"/>
  <cols>
    <col min="1" max="1" width="8.28515625" style="7" customWidth="1"/>
    <col min="2" max="2" width="55.42578125" bestFit="1" customWidth="1"/>
    <col min="3" max="4" width="4.7109375" customWidth="1"/>
    <col min="5" max="5" width="12.42578125" customWidth="1"/>
    <col min="6" max="6" width="18.5703125" customWidth="1"/>
    <col min="7" max="7" width="23.5703125" customWidth="1"/>
    <col min="8" max="8" width="17.140625" style="654" customWidth="1"/>
    <col min="9" max="9" width="21.140625" style="654" customWidth="1"/>
    <col min="10" max="10" width="19.85546875" style="654" customWidth="1"/>
    <col min="11" max="11" width="17.5703125" customWidth="1"/>
  </cols>
  <sheetData>
    <row r="1" spans="1:11" ht="18" customHeight="1">
      <c r="C1" s="3"/>
      <c r="D1" s="2"/>
      <c r="E1" s="3"/>
      <c r="F1" s="3"/>
      <c r="G1" s="3"/>
      <c r="H1" s="653"/>
      <c r="I1" s="653"/>
      <c r="J1" s="653"/>
      <c r="K1" s="3"/>
    </row>
    <row r="2" spans="1:11" ht="18" customHeight="1">
      <c r="D2" s="270" t="s">
        <v>776</v>
      </c>
      <c r="E2" s="270"/>
      <c r="F2" s="270"/>
      <c r="G2" s="270"/>
      <c r="H2" s="270"/>
    </row>
    <row r="3" spans="1:11" ht="18" customHeight="1">
      <c r="B3" s="1" t="s">
        <v>0</v>
      </c>
    </row>
    <row r="5" spans="1:11" ht="18" customHeight="1">
      <c r="B5" s="4" t="s">
        <v>40</v>
      </c>
      <c r="C5" s="975" t="s">
        <v>560</v>
      </c>
      <c r="D5" s="943"/>
      <c r="E5" s="943"/>
      <c r="F5" s="943"/>
      <c r="G5" s="944"/>
    </row>
    <row r="6" spans="1:11" ht="18" customHeight="1">
      <c r="B6" s="4" t="s">
        <v>3</v>
      </c>
      <c r="C6" s="1116">
        <v>210037</v>
      </c>
      <c r="D6" s="946"/>
      <c r="E6" s="946"/>
      <c r="F6" s="946"/>
      <c r="G6" s="947"/>
    </row>
    <row r="7" spans="1:11" ht="18" customHeight="1">
      <c r="B7" s="4" t="s">
        <v>4</v>
      </c>
      <c r="C7" s="977">
        <f>+'[11]MHE 2015'!D20</f>
        <v>1353</v>
      </c>
      <c r="D7" s="978"/>
      <c r="E7" s="978"/>
      <c r="F7" s="978"/>
      <c r="G7" s="979"/>
    </row>
    <row r="9" spans="1:11" ht="18" customHeight="1">
      <c r="B9" s="4" t="s">
        <v>1</v>
      </c>
      <c r="C9" s="975" t="s">
        <v>872</v>
      </c>
      <c r="D9" s="943"/>
      <c r="E9" s="943"/>
      <c r="F9" s="943"/>
      <c r="G9" s="944"/>
    </row>
    <row r="10" spans="1:11" ht="18" customHeight="1">
      <c r="B10" s="4" t="s">
        <v>2</v>
      </c>
      <c r="C10" s="951" t="s">
        <v>562</v>
      </c>
      <c r="D10" s="952"/>
      <c r="E10" s="952"/>
      <c r="F10" s="952"/>
      <c r="G10" s="953"/>
    </row>
    <row r="11" spans="1:11" ht="18" customHeight="1">
      <c r="B11" s="4" t="s">
        <v>32</v>
      </c>
      <c r="C11" s="942" t="s">
        <v>870</v>
      </c>
      <c r="D11" s="954"/>
      <c r="E11" s="954"/>
      <c r="F11" s="954"/>
      <c r="G11" s="954"/>
    </row>
    <row r="12" spans="1:11" ht="18" customHeight="1">
      <c r="B12" s="4"/>
      <c r="C12" s="4"/>
      <c r="D12" s="4"/>
      <c r="E12" s="4"/>
      <c r="F12" s="4"/>
      <c r="G12" s="4"/>
    </row>
    <row r="13" spans="1:11" ht="24.6" customHeight="1">
      <c r="B13" s="955"/>
      <c r="C13" s="956"/>
      <c r="D13" s="956"/>
      <c r="E13" s="956"/>
      <c r="F13" s="956"/>
      <c r="G13" s="956"/>
      <c r="H13" s="957"/>
      <c r="I13" s="653"/>
    </row>
    <row r="14" spans="1:11" ht="18" customHeight="1">
      <c r="B14" s="6"/>
    </row>
    <row r="15" spans="1:11" ht="18" customHeight="1">
      <c r="B15" s="6"/>
    </row>
    <row r="16" spans="1:11" ht="45.2" customHeight="1">
      <c r="A16" s="2" t="s">
        <v>181</v>
      </c>
      <c r="B16" s="3"/>
      <c r="C16" s="3"/>
      <c r="D16" s="3"/>
      <c r="E16" s="3"/>
      <c r="F16" s="8" t="s">
        <v>9</v>
      </c>
      <c r="G16" s="8" t="s">
        <v>37</v>
      </c>
      <c r="H16" s="655" t="s">
        <v>29</v>
      </c>
      <c r="I16" s="655" t="s">
        <v>30</v>
      </c>
      <c r="J16" s="655" t="s">
        <v>33</v>
      </c>
      <c r="K16" s="8" t="s">
        <v>34</v>
      </c>
    </row>
    <row r="17" spans="1:11" ht="18" customHeight="1">
      <c r="A17" s="5" t="s">
        <v>184</v>
      </c>
      <c r="B17" s="1" t="s">
        <v>182</v>
      </c>
    </row>
    <row r="18" spans="1:11" ht="18" customHeight="1">
      <c r="A18" s="4" t="s">
        <v>185</v>
      </c>
      <c r="B18" s="257" t="s">
        <v>183</v>
      </c>
      <c r="F18" s="13" t="s">
        <v>73</v>
      </c>
      <c r="G18" s="13" t="s">
        <v>73</v>
      </c>
      <c r="H18" s="656">
        <v>4595250</v>
      </c>
      <c r="I18" s="657">
        <v>0</v>
      </c>
      <c r="J18" s="656">
        <v>3929513</v>
      </c>
      <c r="K18" s="15">
        <f>(H18+I18)-J18</f>
        <v>665737</v>
      </c>
    </row>
    <row r="19" spans="1:11" ht="45.2" customHeight="1">
      <c r="A19" s="2" t="s">
        <v>8</v>
      </c>
      <c r="B19" s="3"/>
      <c r="C19" s="3"/>
      <c r="D19" s="3"/>
      <c r="E19" s="3"/>
      <c r="F19" s="8" t="s">
        <v>9</v>
      </c>
      <c r="G19" s="8" t="s">
        <v>37</v>
      </c>
      <c r="H19" s="655" t="s">
        <v>29</v>
      </c>
      <c r="I19" s="655" t="s">
        <v>30</v>
      </c>
      <c r="J19" s="655" t="s">
        <v>33</v>
      </c>
      <c r="K19" s="8" t="s">
        <v>34</v>
      </c>
    </row>
    <row r="20" spans="1:11" ht="18" customHeight="1">
      <c r="A20" s="5" t="s">
        <v>74</v>
      </c>
      <c r="B20" s="1" t="s">
        <v>41</v>
      </c>
    </row>
    <row r="21" spans="1:11" ht="18" customHeight="1">
      <c r="A21" s="4" t="s">
        <v>75</v>
      </c>
      <c r="B21" s="257" t="s">
        <v>42</v>
      </c>
      <c r="F21" s="13">
        <f>+'[11]2015 CBR Initiatives'!E50</f>
        <v>3420</v>
      </c>
      <c r="G21" s="13">
        <f>+'[11]2015 CBR Initiatives'!F50</f>
        <v>6011</v>
      </c>
      <c r="H21" s="13">
        <f>+'[11]2015 CBR Initiatives'!G50</f>
        <v>178547.89886862144</v>
      </c>
      <c r="I21" s="13">
        <f>+'[11]2015 CBR Initiatives'!H50</f>
        <v>102276.12163720855</v>
      </c>
      <c r="J21" s="13">
        <f>+'[11]2015 CBR Initiatives'!I50</f>
        <v>5030</v>
      </c>
      <c r="K21" s="15">
        <f t="shared" ref="K21:K34" si="0">(H21+I21)-J21</f>
        <v>275794.02050583001</v>
      </c>
    </row>
    <row r="22" spans="1:11" ht="18" customHeight="1">
      <c r="A22" s="4" t="s">
        <v>76</v>
      </c>
      <c r="B22" t="s">
        <v>6</v>
      </c>
      <c r="F22" s="13">
        <f>+'[11]2015 CBR Initiatives'!E56</f>
        <v>282</v>
      </c>
      <c r="G22" s="13">
        <f>+'[11]2015 CBR Initiatives'!F56</f>
        <v>183</v>
      </c>
      <c r="H22" s="13">
        <f>+'[11]2015 CBR Initiatives'!G56</f>
        <v>10487.90938467279</v>
      </c>
      <c r="I22" s="13">
        <f>+'[11]2015 CBR Initiatives'!H56</f>
        <v>6007.7027102743941</v>
      </c>
      <c r="J22" s="13">
        <f>+'[11]2015 CBR Initiatives'!I56</f>
        <v>460</v>
      </c>
      <c r="K22" s="15">
        <f t="shared" si="0"/>
        <v>16035.612094947184</v>
      </c>
    </row>
    <row r="23" spans="1:11" ht="18" customHeight="1">
      <c r="A23" s="4" t="s">
        <v>77</v>
      </c>
      <c r="B23" t="s">
        <v>43</v>
      </c>
      <c r="F23" s="13">
        <f>+'[11]2015 CBR Initiatives'!E58</f>
        <v>40</v>
      </c>
      <c r="G23" s="13">
        <f>+'[11]2015 CBR Initiatives'!F58</f>
        <v>0</v>
      </c>
      <c r="H23" s="13">
        <f>+'[11]2015 CBR Initiatives'!G58</f>
        <v>1619.6426298585968</v>
      </c>
      <c r="I23" s="13">
        <f>+'[11]2015 CBR Initiatives'!H58</f>
        <v>927.76654147083991</v>
      </c>
      <c r="J23" s="13">
        <f>+'[11]2015 CBR Initiatives'!I58</f>
        <v>0</v>
      </c>
      <c r="K23" s="15">
        <f t="shared" si="0"/>
        <v>2547.4091713294365</v>
      </c>
    </row>
    <row r="24" spans="1:11" ht="18" customHeight="1">
      <c r="A24" s="4" t="s">
        <v>78</v>
      </c>
      <c r="B24" t="s">
        <v>44</v>
      </c>
      <c r="F24" s="13">
        <f>+'[11]2015 CBR Initiatives'!E60</f>
        <v>0</v>
      </c>
      <c r="G24" s="13">
        <f>+'[11]2015 CBR Initiatives'!F60</f>
        <v>0</v>
      </c>
      <c r="H24" s="13">
        <f>+'[11]2015 CBR Initiatives'!G60</f>
        <v>0</v>
      </c>
      <c r="I24" s="13">
        <f>+'[11]2015 CBR Initiatives'!H60</f>
        <v>0</v>
      </c>
      <c r="J24" s="13">
        <f>+'[11]2015 CBR Initiatives'!I60</f>
        <v>0</v>
      </c>
      <c r="K24" s="15">
        <f t="shared" si="0"/>
        <v>0</v>
      </c>
    </row>
    <row r="25" spans="1:11" ht="18" customHeight="1">
      <c r="A25" s="4" t="s">
        <v>79</v>
      </c>
      <c r="B25" t="s">
        <v>5</v>
      </c>
      <c r="F25" s="13">
        <f>+'[11]2015 CBR Initiatives'!E63</f>
        <v>60</v>
      </c>
      <c r="G25" s="13">
        <f>+'[11]2015 CBR Initiatives'!F63</f>
        <v>98</v>
      </c>
      <c r="H25" s="13">
        <f>+'[11]2015 CBR Initiatives'!G63</f>
        <v>3829.4639447878949</v>
      </c>
      <c r="I25" s="13">
        <f>+'[11]2015 CBR Initiatives'!H63</f>
        <v>2193.6002759160069</v>
      </c>
      <c r="J25" s="13">
        <f>+'[11]2015 CBR Initiatives'!I63</f>
        <v>0</v>
      </c>
      <c r="K25" s="15">
        <f t="shared" si="0"/>
        <v>6023.0642207039018</v>
      </c>
    </row>
    <row r="26" spans="1:11" ht="18" customHeight="1">
      <c r="A26" s="4" t="s">
        <v>80</v>
      </c>
      <c r="B26" t="s">
        <v>45</v>
      </c>
      <c r="F26" s="13"/>
      <c r="G26" s="13"/>
      <c r="H26" s="13"/>
      <c r="I26" s="13"/>
      <c r="J26" s="13"/>
      <c r="K26" s="15">
        <f t="shared" si="0"/>
        <v>0</v>
      </c>
    </row>
    <row r="27" spans="1:11" ht="18" customHeight="1">
      <c r="A27" s="4" t="s">
        <v>81</v>
      </c>
      <c r="B27" t="s">
        <v>46</v>
      </c>
      <c r="F27" s="13"/>
      <c r="G27" s="13"/>
      <c r="H27" s="13"/>
      <c r="I27" s="13"/>
      <c r="J27" s="13"/>
      <c r="K27" s="15">
        <f t="shared" si="0"/>
        <v>0</v>
      </c>
    </row>
    <row r="28" spans="1:11" ht="18" customHeight="1">
      <c r="A28" s="4" t="s">
        <v>82</v>
      </c>
      <c r="B28" t="s">
        <v>47</v>
      </c>
      <c r="F28" s="13"/>
      <c r="G28" s="13"/>
      <c r="H28" s="13"/>
      <c r="I28" s="13"/>
      <c r="J28" s="13"/>
      <c r="K28" s="15">
        <f t="shared" si="0"/>
        <v>0</v>
      </c>
    </row>
    <row r="29" spans="1:11" ht="18" customHeight="1">
      <c r="A29" s="4" t="s">
        <v>83</v>
      </c>
      <c r="B29" t="s">
        <v>48</v>
      </c>
      <c r="F29" s="13">
        <f>+'[11]2015 CBR Initiatives'!E66</f>
        <v>526</v>
      </c>
      <c r="G29" s="13">
        <f>+'[11]2015 CBR Initiatives'!F66</f>
        <v>364</v>
      </c>
      <c r="H29" s="13">
        <f>+'[11]2015 CBR Initiatives'!G66</f>
        <v>189040.30058264054</v>
      </c>
      <c r="I29" s="13">
        <f>+'[11]2015 CBR Initiatives'!H66</f>
        <v>108286.39765148467</v>
      </c>
      <c r="J29" s="13">
        <f>+'[11]2015 CBR Initiatives'!I66</f>
        <v>0</v>
      </c>
      <c r="K29" s="15">
        <f t="shared" si="0"/>
        <v>297326.69823412522</v>
      </c>
    </row>
    <row r="30" spans="1:11" ht="18" customHeight="1">
      <c r="A30" s="4" t="s">
        <v>84</v>
      </c>
      <c r="B30" s="974" t="s">
        <v>563</v>
      </c>
      <c r="C30" s="1114"/>
      <c r="D30" s="1115"/>
      <c r="F30" s="13">
        <f>+'[11]2015 CBR Initiatives'!E68</f>
        <v>13728</v>
      </c>
      <c r="G30" s="13">
        <f>+'[11]2015 CBR Initiatives'!F68</f>
        <v>115</v>
      </c>
      <c r="H30" s="13">
        <f>+'[11]2015 CBR Initiatives'!G68</f>
        <v>582158.35056747042</v>
      </c>
      <c r="I30" s="13">
        <f>+'[11]2015 CBR Initiatives'!H68</f>
        <v>333472.97085006029</v>
      </c>
      <c r="J30" s="13">
        <f>+'[11]2015 CBR Initiatives'!I68</f>
        <v>35289</v>
      </c>
      <c r="K30" s="15">
        <f t="shared" si="0"/>
        <v>880342.32141753077</v>
      </c>
    </row>
    <row r="31" spans="1:11" ht="18" customHeight="1">
      <c r="A31" s="4" t="s">
        <v>133</v>
      </c>
      <c r="B31" s="893"/>
      <c r="C31" s="894"/>
      <c r="D31" s="895"/>
      <c r="F31" s="13"/>
      <c r="G31" s="13"/>
      <c r="H31" s="656"/>
      <c r="I31" s="657">
        <f>H31*F$114</f>
        <v>0</v>
      </c>
      <c r="J31" s="656"/>
      <c r="K31" s="15">
        <f t="shared" si="0"/>
        <v>0</v>
      </c>
    </row>
    <row r="32" spans="1:11" ht="18" customHeight="1">
      <c r="A32" s="4" t="s">
        <v>134</v>
      </c>
      <c r="B32" s="601"/>
      <c r="C32" s="602"/>
      <c r="D32" s="603"/>
      <c r="F32" s="13"/>
      <c r="G32" s="258" t="s">
        <v>85</v>
      </c>
      <c r="H32" s="656"/>
      <c r="I32" s="657">
        <f>H32*F$114</f>
        <v>0</v>
      </c>
      <c r="J32" s="656"/>
      <c r="K32" s="15">
        <f t="shared" si="0"/>
        <v>0</v>
      </c>
    </row>
    <row r="33" spans="1:11" ht="18" customHeight="1">
      <c r="A33" s="4" t="s">
        <v>135</v>
      </c>
      <c r="B33" s="601"/>
      <c r="C33" s="602"/>
      <c r="D33" s="603"/>
      <c r="F33" s="13"/>
      <c r="G33" s="258" t="s">
        <v>85</v>
      </c>
      <c r="H33" s="656"/>
      <c r="I33" s="657">
        <f>H33*F$114</f>
        <v>0</v>
      </c>
      <c r="J33" s="656"/>
      <c r="K33" s="15">
        <f t="shared" si="0"/>
        <v>0</v>
      </c>
    </row>
    <row r="34" spans="1:11" ht="18" customHeight="1">
      <c r="A34" s="4" t="s">
        <v>136</v>
      </c>
      <c r="B34" s="893"/>
      <c r="C34" s="894"/>
      <c r="D34" s="895"/>
      <c r="F34" s="13"/>
      <c r="G34" s="258" t="s">
        <v>85</v>
      </c>
      <c r="H34" s="656"/>
      <c r="I34" s="657">
        <f>H34*F$114</f>
        <v>0</v>
      </c>
      <c r="J34" s="656"/>
      <c r="K34" s="15">
        <f t="shared" si="0"/>
        <v>0</v>
      </c>
    </row>
    <row r="35" spans="1:11" ht="18" customHeight="1">
      <c r="K35" s="35"/>
    </row>
    <row r="36" spans="1:11" ht="18" customHeight="1">
      <c r="A36" s="5" t="s">
        <v>137</v>
      </c>
      <c r="B36" s="1" t="s">
        <v>138</v>
      </c>
      <c r="E36" s="1" t="s">
        <v>7</v>
      </c>
      <c r="F36" s="17">
        <f t="shared" ref="F36:K36" si="1">SUM(F21:F34)</f>
        <v>18056</v>
      </c>
      <c r="G36" s="17">
        <f t="shared" si="1"/>
        <v>6771</v>
      </c>
      <c r="H36" s="658">
        <f t="shared" si="1"/>
        <v>965683.56597805163</v>
      </c>
      <c r="I36" s="658">
        <f t="shared" si="1"/>
        <v>553164.55966641475</v>
      </c>
      <c r="J36" s="658">
        <f t="shared" si="1"/>
        <v>40779</v>
      </c>
      <c r="K36" s="15">
        <f t="shared" si="1"/>
        <v>1478069.1256444666</v>
      </c>
    </row>
    <row r="37" spans="1:11" ht="18" customHeight="1" thickBot="1">
      <c r="B37" s="1"/>
      <c r="F37" s="18"/>
      <c r="G37" s="18"/>
      <c r="H37" s="660"/>
      <c r="I37" s="660"/>
      <c r="J37" s="660"/>
      <c r="K37" s="36"/>
    </row>
    <row r="38" spans="1:11" ht="42.75" customHeight="1">
      <c r="F38" s="8" t="s">
        <v>9</v>
      </c>
      <c r="G38" s="8" t="s">
        <v>37</v>
      </c>
      <c r="H38" s="655" t="s">
        <v>29</v>
      </c>
      <c r="I38" s="655" t="s">
        <v>30</v>
      </c>
      <c r="J38" s="655" t="s">
        <v>33</v>
      </c>
      <c r="K38" s="8" t="s">
        <v>34</v>
      </c>
    </row>
    <row r="39" spans="1:11" ht="18.75" customHeight="1">
      <c r="A39" s="5" t="s">
        <v>86</v>
      </c>
      <c r="B39" s="1" t="s">
        <v>49</v>
      </c>
    </row>
    <row r="40" spans="1:11" ht="18" customHeight="1">
      <c r="A40" s="4" t="s">
        <v>87</v>
      </c>
      <c r="B40" t="s">
        <v>31</v>
      </c>
      <c r="F40" s="13"/>
      <c r="G40" s="13"/>
      <c r="H40" s="656"/>
      <c r="I40" s="657">
        <v>0</v>
      </c>
      <c r="J40" s="656"/>
      <c r="K40" s="15">
        <f t="shared" ref="K40:K47" si="2">(H40+I40)-J40</f>
        <v>0</v>
      </c>
    </row>
    <row r="41" spans="1:11" ht="18" customHeight="1">
      <c r="A41" s="4" t="s">
        <v>88</v>
      </c>
      <c r="B41" s="931" t="s">
        <v>50</v>
      </c>
      <c r="C41" s="939"/>
      <c r="F41" s="13">
        <f>+'[11]MHE 2015'!H28</f>
        <v>10192</v>
      </c>
      <c r="G41" s="13">
        <f>+'[11]MHE 2015'!H29</f>
        <v>25</v>
      </c>
      <c r="H41" s="656">
        <f>+'[11]MHE 2015'!F28</f>
        <v>885000</v>
      </c>
      <c r="I41" s="657">
        <f>+'[11]MHE 2015'!E32</f>
        <v>132899.99999999997</v>
      </c>
      <c r="J41" s="656">
        <f>+'[11]MHE 2015'!H78</f>
        <v>0</v>
      </c>
      <c r="K41" s="15">
        <f t="shared" si="2"/>
        <v>1017900</v>
      </c>
    </row>
    <row r="42" spans="1:11" ht="18" customHeight="1">
      <c r="A42" s="4" t="s">
        <v>89</v>
      </c>
      <c r="B42" s="257" t="s">
        <v>11</v>
      </c>
      <c r="F42" s="13">
        <f>+'[11]2015 CBR Initiatives'!E73</f>
        <v>106</v>
      </c>
      <c r="G42" s="13">
        <f>+'[11]2015 CBR Initiatives'!F73</f>
        <v>7</v>
      </c>
      <c r="H42" s="13">
        <f>+'[11]2015 CBR Initiatives'!G73</f>
        <v>4292.0529691252814</v>
      </c>
      <c r="I42" s="13">
        <f>+'[11]2015 CBR Initiatives'!H73</f>
        <v>2458.5813348977254</v>
      </c>
      <c r="J42" s="13">
        <f>+'[11]2015 CBR Initiatives'!I73</f>
        <v>0</v>
      </c>
      <c r="K42" s="15">
        <f t="shared" si="2"/>
        <v>6750.6343040230067</v>
      </c>
    </row>
    <row r="43" spans="1:11" ht="18" customHeight="1">
      <c r="A43" s="4" t="s">
        <v>90</v>
      </c>
      <c r="B43" s="259" t="s">
        <v>10</v>
      </c>
      <c r="C43" s="9"/>
      <c r="D43" s="9"/>
      <c r="F43" s="13"/>
      <c r="G43" s="13"/>
      <c r="H43" s="13"/>
      <c r="I43" s="13"/>
      <c r="J43" s="13"/>
      <c r="K43" s="15">
        <f t="shared" si="2"/>
        <v>0</v>
      </c>
    </row>
    <row r="44" spans="1:11" ht="18" customHeight="1">
      <c r="A44" s="4" t="s">
        <v>91</v>
      </c>
      <c r="B44" s="974" t="s">
        <v>873</v>
      </c>
      <c r="C44" s="1114"/>
      <c r="D44" s="1115"/>
      <c r="F44" s="13">
        <f>+'[11]2015 CBR Initiatives'!E75</f>
        <v>6</v>
      </c>
      <c r="G44" s="13">
        <f>+'[11]2015 CBR Initiatives'!F75</f>
        <v>60</v>
      </c>
      <c r="H44" s="13">
        <f>+'[11]2015 CBR Initiatives'!G75</f>
        <v>242.94639447878947</v>
      </c>
      <c r="I44" s="13">
        <f>+'[11]2015 CBR Initiatives'!H75</f>
        <v>139.16498122062598</v>
      </c>
      <c r="J44" s="13">
        <f>+'[11]2015 CBR Initiatives'!I75</f>
        <v>0</v>
      </c>
      <c r="K44" s="16">
        <f t="shared" si="2"/>
        <v>382.11137569941548</v>
      </c>
    </row>
    <row r="45" spans="1:11" ht="18" customHeight="1">
      <c r="A45" s="4" t="s">
        <v>139</v>
      </c>
      <c r="B45" s="893"/>
      <c r="C45" s="894"/>
      <c r="D45" s="895"/>
      <c r="F45" s="13"/>
      <c r="G45" s="13"/>
      <c r="H45" s="656"/>
      <c r="I45" s="657">
        <v>0</v>
      </c>
      <c r="J45" s="656"/>
      <c r="K45" s="15">
        <f t="shared" si="2"/>
        <v>0</v>
      </c>
    </row>
    <row r="46" spans="1:11" ht="18" customHeight="1">
      <c r="A46" s="4" t="s">
        <v>140</v>
      </c>
      <c r="B46" s="893"/>
      <c r="C46" s="894"/>
      <c r="D46" s="895"/>
      <c r="F46" s="13"/>
      <c r="G46" s="13"/>
      <c r="H46" s="656"/>
      <c r="I46" s="657">
        <v>0</v>
      </c>
      <c r="J46" s="656"/>
      <c r="K46" s="15">
        <f t="shared" si="2"/>
        <v>0</v>
      </c>
    </row>
    <row r="47" spans="1:11" ht="18" customHeight="1">
      <c r="A47" s="4" t="s">
        <v>141</v>
      </c>
      <c r="B47" s="893"/>
      <c r="C47" s="894"/>
      <c r="D47" s="895"/>
      <c r="F47" s="13"/>
      <c r="G47" s="13"/>
      <c r="H47" s="656"/>
      <c r="I47" s="657">
        <v>0</v>
      </c>
      <c r="J47" s="656"/>
      <c r="K47" s="15">
        <f t="shared" si="2"/>
        <v>0</v>
      </c>
    </row>
    <row r="49" spans="1:11" ht="18" customHeight="1">
      <c r="A49" s="5" t="s">
        <v>142</v>
      </c>
      <c r="B49" s="1" t="s">
        <v>143</v>
      </c>
      <c r="E49" s="1" t="s">
        <v>7</v>
      </c>
      <c r="F49" s="22">
        <f t="shared" ref="F49:K49" si="3">SUM(F40:F47)</f>
        <v>10304</v>
      </c>
      <c r="G49" s="22">
        <f t="shared" si="3"/>
        <v>92</v>
      </c>
      <c r="H49" s="658">
        <f t="shared" si="3"/>
        <v>889534.99936360412</v>
      </c>
      <c r="I49" s="658">
        <f t="shared" si="3"/>
        <v>135497.74631611831</v>
      </c>
      <c r="J49" s="658">
        <f t="shared" si="3"/>
        <v>0</v>
      </c>
      <c r="K49" s="15">
        <f t="shared" si="3"/>
        <v>1025032.7456797224</v>
      </c>
    </row>
    <row r="50" spans="1:11" ht="18" customHeight="1" thickBot="1">
      <c r="G50" s="23"/>
      <c r="H50" s="663"/>
      <c r="I50" s="663"/>
      <c r="J50" s="663"/>
      <c r="K50" s="23"/>
    </row>
    <row r="51" spans="1:11" ht="42.75" customHeight="1">
      <c r="F51" s="8" t="s">
        <v>9</v>
      </c>
      <c r="G51" s="8" t="s">
        <v>37</v>
      </c>
      <c r="H51" s="655" t="s">
        <v>29</v>
      </c>
      <c r="I51" s="655" t="s">
        <v>30</v>
      </c>
      <c r="J51" s="655" t="s">
        <v>33</v>
      </c>
      <c r="K51" s="8" t="s">
        <v>34</v>
      </c>
    </row>
    <row r="52" spans="1:11" ht="18" customHeight="1">
      <c r="A52" s="5" t="s">
        <v>92</v>
      </c>
      <c r="B52" s="935" t="s">
        <v>38</v>
      </c>
      <c r="C52" s="936"/>
    </row>
    <row r="53" spans="1:11" ht="18" customHeight="1">
      <c r="A53" s="4" t="s">
        <v>51</v>
      </c>
      <c r="B53" s="937" t="s">
        <v>564</v>
      </c>
      <c r="C53" s="938"/>
      <c r="D53" s="934"/>
      <c r="F53" s="13">
        <f>+'[11]2015 CBR Initiatives'!E77</f>
        <v>7280</v>
      </c>
      <c r="G53" s="13">
        <f>+'[11]2015 CBR Initiatives'!F77</f>
        <v>1456</v>
      </c>
      <c r="H53" s="13">
        <f>+'[11]2015 CBR Initiatives'!G77</f>
        <v>265344.83041622932</v>
      </c>
      <c r="I53" s="13">
        <f>+'[11]2015 CBR Initiatives'!H77</f>
        <v>151995.29271091378</v>
      </c>
      <c r="J53" s="13">
        <f>+'[11]2015 CBR Initiatives'!I77</f>
        <v>0</v>
      </c>
      <c r="K53" s="15">
        <f t="shared" ref="K53:K62" si="4">(H53+I53)-J53</f>
        <v>417340.12312714313</v>
      </c>
    </row>
    <row r="54" spans="1:11" ht="18" customHeight="1">
      <c r="A54" s="4" t="s">
        <v>93</v>
      </c>
      <c r="B54" s="604" t="s">
        <v>565</v>
      </c>
      <c r="C54" s="605"/>
      <c r="D54" s="606"/>
      <c r="F54" s="13">
        <f>+'[11]MHE 2015'!N90</f>
        <v>1478.1328795981203</v>
      </c>
      <c r="G54" s="13">
        <f>+'[11]MHE 2015'!N90</f>
        <v>1478.1328795981203</v>
      </c>
      <c r="H54" s="656">
        <f>+'[11]MHE 2015'!L90</f>
        <v>912155.8</v>
      </c>
      <c r="I54" s="657">
        <v>0</v>
      </c>
      <c r="J54" s="656"/>
      <c r="K54" s="15">
        <f t="shared" si="4"/>
        <v>912155.8</v>
      </c>
    </row>
    <row r="55" spans="1:11" ht="18" customHeight="1">
      <c r="A55" s="4" t="s">
        <v>94</v>
      </c>
      <c r="B55" s="608" t="s">
        <v>566</v>
      </c>
      <c r="C55" s="605"/>
      <c r="D55" s="606"/>
      <c r="F55" s="13">
        <f>+'[11]MHE 2015'!N96+'[11]MHE 2015'!N98</f>
        <v>33013</v>
      </c>
      <c r="G55" s="13">
        <f>+'[11]MHE 2015'!N95+'[11]MHE 2015'!N97</f>
        <v>52397</v>
      </c>
      <c r="H55" s="656">
        <f>+'[11]MHE 2015'!I94+'[11]MHE 2015'!I93</f>
        <v>1838643.19</v>
      </c>
      <c r="I55" s="657">
        <v>0</v>
      </c>
      <c r="J55" s="656"/>
      <c r="K55" s="15">
        <f t="shared" si="4"/>
        <v>1838643.19</v>
      </c>
    </row>
    <row r="56" spans="1:11" ht="18" customHeight="1">
      <c r="A56" s="4" t="s">
        <v>95</v>
      </c>
      <c r="B56" s="608" t="s">
        <v>567</v>
      </c>
      <c r="C56" s="605"/>
      <c r="D56" s="606"/>
      <c r="F56" s="13"/>
      <c r="G56" s="13"/>
      <c r="H56" s="656">
        <f>+'[11]MHE 2015'!I113</f>
        <v>473633.94</v>
      </c>
      <c r="I56" s="657">
        <v>0</v>
      </c>
      <c r="J56" s="656"/>
      <c r="K56" s="15">
        <f t="shared" si="4"/>
        <v>473633.94</v>
      </c>
    </row>
    <row r="57" spans="1:11" ht="18" customHeight="1">
      <c r="A57" s="4" t="s">
        <v>96</v>
      </c>
      <c r="B57" s="974" t="s">
        <v>568</v>
      </c>
      <c r="C57" s="933"/>
      <c r="D57" s="934"/>
      <c r="F57" s="13"/>
      <c r="G57" s="13"/>
      <c r="H57" s="656">
        <f>+'[11]MHE 2015'!I104</f>
        <v>1205624.1499999999</v>
      </c>
      <c r="I57" s="657">
        <v>0</v>
      </c>
      <c r="J57" s="656"/>
      <c r="K57" s="15">
        <f t="shared" si="4"/>
        <v>1205624.1499999999</v>
      </c>
    </row>
    <row r="58" spans="1:11" ht="18" customHeight="1">
      <c r="A58" s="4" t="s">
        <v>97</v>
      </c>
      <c r="B58" s="271" t="s">
        <v>569</v>
      </c>
      <c r="C58" s="605"/>
      <c r="D58" s="606"/>
      <c r="F58" s="13"/>
      <c r="G58" s="13"/>
      <c r="H58" s="656">
        <f>+'[11]MHE 2015'!I111</f>
        <v>299802.23999999999</v>
      </c>
      <c r="I58" s="657">
        <v>0</v>
      </c>
      <c r="J58" s="656"/>
      <c r="K58" s="15">
        <f t="shared" si="4"/>
        <v>299802.23999999999</v>
      </c>
    </row>
    <row r="59" spans="1:11" ht="18" customHeight="1">
      <c r="A59" s="4" t="s">
        <v>98</v>
      </c>
      <c r="B59" s="971" t="s">
        <v>570</v>
      </c>
      <c r="C59" s="972"/>
      <c r="D59" s="973"/>
      <c r="F59" s="13"/>
      <c r="G59" s="13"/>
      <c r="H59" s="656"/>
      <c r="I59" s="657">
        <v>0</v>
      </c>
      <c r="J59" s="656"/>
      <c r="K59" s="15">
        <f t="shared" si="4"/>
        <v>0</v>
      </c>
    </row>
    <row r="60" spans="1:11" ht="18" customHeight="1">
      <c r="A60" s="4" t="s">
        <v>99</v>
      </c>
      <c r="B60" s="608" t="s">
        <v>571</v>
      </c>
      <c r="C60" s="605"/>
      <c r="D60" s="606"/>
      <c r="F60" s="13"/>
      <c r="G60" s="13"/>
      <c r="H60" s="680">
        <f>+'[11]MHE 2015'!I108+'[11]MHE 2015'!I106+'[11]MHE 2015'!I109+'[11]MHE 2015'!I107+'[11]MHE 2015'!I110</f>
        <v>1993472</v>
      </c>
      <c r="I60" s="657">
        <v>0</v>
      </c>
      <c r="J60" s="656"/>
      <c r="K60" s="15">
        <f t="shared" si="4"/>
        <v>1993472</v>
      </c>
    </row>
    <row r="61" spans="1:11" ht="18" customHeight="1">
      <c r="A61" s="4" t="s">
        <v>100</v>
      </c>
      <c r="B61" s="974" t="s">
        <v>572</v>
      </c>
      <c r="C61" s="933"/>
      <c r="D61" s="934"/>
      <c r="F61" s="13"/>
      <c r="G61" s="13"/>
      <c r="H61" s="656">
        <f>+'[11]MHE 2015'!I114</f>
        <v>143883.93</v>
      </c>
      <c r="I61" s="657">
        <f>H61*F$114</f>
        <v>82419.845988486268</v>
      </c>
      <c r="J61" s="656"/>
      <c r="K61" s="15">
        <f t="shared" si="4"/>
        <v>226303.77598848625</v>
      </c>
    </row>
    <row r="62" spans="1:11" ht="18" customHeight="1">
      <c r="A62" s="4" t="s">
        <v>101</v>
      </c>
      <c r="B62" s="974" t="s">
        <v>573</v>
      </c>
      <c r="C62" s="933"/>
      <c r="D62" s="934"/>
      <c r="F62" s="13">
        <f>+'[11]2015 CBR Initiatives'!E81</f>
        <v>4070</v>
      </c>
      <c r="G62" s="13">
        <f>+'[11]2015 CBR Initiatives'!F81</f>
        <v>910</v>
      </c>
      <c r="H62" s="13">
        <f>+'[11]2015 CBR Initiatives'!G81</f>
        <v>159970.96049403131</v>
      </c>
      <c r="I62" s="13">
        <f>+'[11]2015 CBR Initiatives'!H81</f>
        <v>91634.847105915745</v>
      </c>
      <c r="J62" s="13">
        <f>+'[11]2015 CBR Initiatives'!I81</f>
        <v>0</v>
      </c>
      <c r="K62" s="15">
        <f t="shared" si="4"/>
        <v>251605.80759994706</v>
      </c>
    </row>
    <row r="63" spans="1:11" ht="18" customHeight="1">
      <c r="A63" s="4"/>
      <c r="I63" s="664"/>
    </row>
    <row r="64" spans="1:11" ht="18" customHeight="1">
      <c r="A64" s="4" t="s">
        <v>144</v>
      </c>
      <c r="B64" s="1" t="s">
        <v>145</v>
      </c>
      <c r="E64" s="1" t="s">
        <v>7</v>
      </c>
      <c r="F64" s="17">
        <f t="shared" ref="F64:K64" si="5">SUM(F53:F62)</f>
        <v>45841.132879598124</v>
      </c>
      <c r="G64" s="17">
        <f t="shared" si="5"/>
        <v>56241.132879598117</v>
      </c>
      <c r="H64" s="658">
        <f t="shared" si="5"/>
        <v>7292531.0409102598</v>
      </c>
      <c r="I64" s="658">
        <f t="shared" si="5"/>
        <v>326049.98580531578</v>
      </c>
      <c r="J64" s="658">
        <f t="shared" si="5"/>
        <v>0</v>
      </c>
      <c r="K64" s="15">
        <f t="shared" si="5"/>
        <v>7618581.0267155766</v>
      </c>
    </row>
    <row r="65" spans="1:11" ht="18" customHeight="1">
      <c r="F65" s="38"/>
      <c r="G65" s="38"/>
      <c r="H65" s="665"/>
      <c r="I65" s="665"/>
      <c r="J65" s="665"/>
      <c r="K65" s="38"/>
    </row>
    <row r="66" spans="1:11" ht="42.75" customHeight="1">
      <c r="F66" s="46" t="s">
        <v>9</v>
      </c>
      <c r="G66" s="46" t="s">
        <v>37</v>
      </c>
      <c r="H66" s="666" t="s">
        <v>29</v>
      </c>
      <c r="I66" s="666" t="s">
        <v>30</v>
      </c>
      <c r="J66" s="666" t="s">
        <v>33</v>
      </c>
      <c r="K66" s="46" t="s">
        <v>34</v>
      </c>
    </row>
    <row r="67" spans="1:11" ht="18" customHeight="1">
      <c r="A67" s="5" t="s">
        <v>102</v>
      </c>
      <c r="B67" s="1" t="s">
        <v>12</v>
      </c>
      <c r="F67" s="47"/>
      <c r="G67" s="47"/>
      <c r="H67" s="667"/>
      <c r="I67" s="668"/>
      <c r="J67" s="667"/>
      <c r="K67" s="49"/>
    </row>
    <row r="68" spans="1:11" ht="18" customHeight="1">
      <c r="A68" s="4" t="s">
        <v>103</v>
      </c>
      <c r="B68" t="s">
        <v>52</v>
      </c>
      <c r="F68" s="41"/>
      <c r="G68" s="41"/>
      <c r="H68" s="656"/>
      <c r="I68" s="657">
        <v>0</v>
      </c>
      <c r="J68" s="656"/>
      <c r="K68" s="15">
        <f>(H68+I68)-J68</f>
        <v>0</v>
      </c>
    </row>
    <row r="69" spans="1:11" ht="18" customHeight="1">
      <c r="A69" s="4" t="s">
        <v>104</v>
      </c>
      <c r="B69" s="257" t="s">
        <v>53</v>
      </c>
      <c r="F69" s="41"/>
      <c r="G69" s="41"/>
      <c r="H69" s="656"/>
      <c r="I69" s="657">
        <v>0</v>
      </c>
      <c r="J69" s="656"/>
      <c r="K69" s="15">
        <f>(H69+I69)-J69</f>
        <v>0</v>
      </c>
    </row>
    <row r="70" spans="1:11" ht="18" customHeight="1">
      <c r="A70" s="4" t="s">
        <v>178</v>
      </c>
      <c r="B70" s="604"/>
      <c r="C70" s="605"/>
      <c r="D70" s="606"/>
      <c r="E70" s="1"/>
      <c r="F70" s="26"/>
      <c r="G70" s="26"/>
      <c r="H70" s="669"/>
      <c r="I70" s="657">
        <v>0</v>
      </c>
      <c r="J70" s="669"/>
      <c r="K70" s="15">
        <f>(H70+I70)-J70</f>
        <v>0</v>
      </c>
    </row>
    <row r="71" spans="1:11" ht="18" customHeight="1">
      <c r="A71" s="4" t="s">
        <v>179</v>
      </c>
      <c r="B71" s="604"/>
      <c r="C71" s="605"/>
      <c r="D71" s="606"/>
      <c r="E71" s="1"/>
      <c r="F71" s="26"/>
      <c r="G71" s="26"/>
      <c r="H71" s="669"/>
      <c r="I71" s="657">
        <v>0</v>
      </c>
      <c r="J71" s="669"/>
      <c r="K71" s="15">
        <f>(H71+I71)-J71</f>
        <v>0</v>
      </c>
    </row>
    <row r="72" spans="1:11" ht="18" customHeight="1">
      <c r="A72" s="4" t="s">
        <v>180</v>
      </c>
      <c r="B72" s="609"/>
      <c r="C72" s="607"/>
      <c r="D72" s="25"/>
      <c r="E72" s="1"/>
      <c r="F72" s="13"/>
      <c r="G72" s="13"/>
      <c r="H72" s="656"/>
      <c r="I72" s="657">
        <v>0</v>
      </c>
      <c r="J72" s="656"/>
      <c r="K72" s="15">
        <f>(H72+I72)-J72</f>
        <v>0</v>
      </c>
    </row>
    <row r="73" spans="1:11" ht="18" customHeight="1">
      <c r="A73" s="4"/>
      <c r="B73" s="257"/>
      <c r="E73" s="1"/>
      <c r="F73" s="50"/>
      <c r="G73" s="50"/>
      <c r="H73" s="670"/>
      <c r="I73" s="668"/>
      <c r="J73" s="670"/>
      <c r="K73" s="49"/>
    </row>
    <row r="74" spans="1:11" ht="18" customHeight="1">
      <c r="A74" s="5" t="s">
        <v>146</v>
      </c>
      <c r="B74" s="1" t="s">
        <v>147</v>
      </c>
      <c r="E74" s="1" t="s">
        <v>7</v>
      </c>
      <c r="F74" s="20">
        <f t="shared" ref="F74:K74" si="6">SUM(F68:F72)</f>
        <v>0</v>
      </c>
      <c r="G74" s="20">
        <f t="shared" si="6"/>
        <v>0</v>
      </c>
      <c r="H74" s="662">
        <f t="shared" si="6"/>
        <v>0</v>
      </c>
      <c r="I74" s="671">
        <f t="shared" si="6"/>
        <v>0</v>
      </c>
      <c r="J74" s="662">
        <f t="shared" si="6"/>
        <v>0</v>
      </c>
      <c r="K74" s="16">
        <f t="shared" si="6"/>
        <v>0</v>
      </c>
    </row>
    <row r="75" spans="1:11" ht="42.75" customHeight="1">
      <c r="F75" s="8" t="s">
        <v>9</v>
      </c>
      <c r="G75" s="8" t="s">
        <v>37</v>
      </c>
      <c r="H75" s="655" t="s">
        <v>29</v>
      </c>
      <c r="I75" s="655" t="s">
        <v>30</v>
      </c>
      <c r="J75" s="655" t="s">
        <v>33</v>
      </c>
      <c r="K75" s="8" t="s">
        <v>34</v>
      </c>
    </row>
    <row r="76" spans="1:11" ht="18" customHeight="1">
      <c r="A76" s="5" t="s">
        <v>105</v>
      </c>
      <c r="B76" s="1" t="s">
        <v>106</v>
      </c>
    </row>
    <row r="77" spans="1:11" ht="18" customHeight="1">
      <c r="A77" s="4" t="s">
        <v>107</v>
      </c>
      <c r="B77" s="257" t="s">
        <v>54</v>
      </c>
      <c r="F77" s="13">
        <f>+'[11]2015 CBR Initiatives'!E103</f>
        <v>0</v>
      </c>
      <c r="G77" s="13">
        <f>+'[11]2015 CBR Initiatives'!F103</f>
        <v>0</v>
      </c>
      <c r="H77" s="13">
        <f>+'[11]2015 CBR Initiatives'!G103</f>
        <v>19112</v>
      </c>
      <c r="I77" s="13">
        <f>+'[11]2015 CBR Initiatives'!H103</f>
        <v>10947.769473157634</v>
      </c>
      <c r="J77" s="13">
        <f>+'[11]2015 CBR Initiatives'!I103</f>
        <v>0</v>
      </c>
      <c r="K77" s="15">
        <f>(H77+I77)-J77</f>
        <v>30059.769473157634</v>
      </c>
    </row>
    <row r="78" spans="1:11" ht="18" customHeight="1">
      <c r="A78" s="4" t="s">
        <v>108</v>
      </c>
      <c r="B78" s="257" t="s">
        <v>55</v>
      </c>
      <c r="F78" s="13">
        <f>+'[11]2015 CBR Initiatives'!E106</f>
        <v>0</v>
      </c>
      <c r="G78" s="13">
        <f>+'[11]2015 CBR Initiatives'!F106</f>
        <v>0</v>
      </c>
      <c r="H78" s="13">
        <f>+'[11]2015 CBR Initiatives'!G106</f>
        <v>170000</v>
      </c>
      <c r="I78" s="13">
        <f>+'[11]2015 CBR Initiatives'!H106</f>
        <v>97379.699164755002</v>
      </c>
      <c r="J78" s="13">
        <f>+'[11]2015 CBR Initiatives'!I106</f>
        <v>120000</v>
      </c>
      <c r="K78" s="15">
        <f>(H78+I78)-J78</f>
        <v>147379.699164755</v>
      </c>
    </row>
    <row r="79" spans="1:11" ht="18" customHeight="1">
      <c r="A79" s="4" t="s">
        <v>109</v>
      </c>
      <c r="B79" s="257" t="s">
        <v>13</v>
      </c>
      <c r="F79" s="13">
        <f>+'[11]2015 CBR Initiatives'!E110</f>
        <v>20</v>
      </c>
      <c r="G79" s="13">
        <f>+'[11]2015 CBR Initiatives'!F110</f>
        <v>10000</v>
      </c>
      <c r="H79" s="13">
        <f>+'[11]2015 CBR Initiatives'!G110</f>
        <v>170200.82131492929</v>
      </c>
      <c r="I79" s="13">
        <f>+'[11]2015 CBR Initiatives'!H110</f>
        <v>97494.733983776692</v>
      </c>
      <c r="J79" s="13">
        <f>+'[11]2015 CBR Initiatives'!I110</f>
        <v>0</v>
      </c>
      <c r="K79" s="15">
        <f>(H79+I79)-J79</f>
        <v>267695.55529870599</v>
      </c>
    </row>
    <row r="80" spans="1:11" ht="18" customHeight="1">
      <c r="A80" s="4" t="s">
        <v>110</v>
      </c>
      <c r="B80" s="257" t="s">
        <v>56</v>
      </c>
      <c r="F80" s="13"/>
      <c r="G80" s="13"/>
      <c r="H80" s="656"/>
      <c r="I80" s="657">
        <v>0</v>
      </c>
      <c r="J80" s="656"/>
      <c r="K80" s="15">
        <f>(H80+I80)-J80</f>
        <v>0</v>
      </c>
    </row>
    <row r="81" spans="1:11" ht="18" customHeight="1">
      <c r="A81" s="4"/>
      <c r="K81" s="31"/>
    </row>
    <row r="82" spans="1:11" ht="18" customHeight="1">
      <c r="A82" s="4" t="s">
        <v>148</v>
      </c>
      <c r="B82" s="1" t="s">
        <v>149</v>
      </c>
      <c r="E82" s="1" t="s">
        <v>7</v>
      </c>
      <c r="F82" s="20">
        <f t="shared" ref="F82:K82" si="7">SUM(F77:F80)</f>
        <v>20</v>
      </c>
      <c r="G82" s="20">
        <f t="shared" si="7"/>
        <v>10000</v>
      </c>
      <c r="H82" s="662">
        <f t="shared" si="7"/>
        <v>359312.82131492929</v>
      </c>
      <c r="I82" s="662">
        <f t="shared" si="7"/>
        <v>205822.20262168933</v>
      </c>
      <c r="J82" s="662">
        <f t="shared" si="7"/>
        <v>120000</v>
      </c>
      <c r="K82" s="16">
        <f t="shared" si="7"/>
        <v>445135.02393661864</v>
      </c>
    </row>
    <row r="83" spans="1:11" ht="18" customHeight="1" thickBot="1">
      <c r="A83" s="4"/>
      <c r="F83" s="23"/>
      <c r="G83" s="23"/>
      <c r="H83" s="663"/>
      <c r="I83" s="663"/>
      <c r="J83" s="663"/>
      <c r="K83" s="23"/>
    </row>
    <row r="84" spans="1:11" ht="42.75" customHeight="1">
      <c r="F84" s="8" t="s">
        <v>9</v>
      </c>
      <c r="G84" s="8" t="s">
        <v>37</v>
      </c>
      <c r="H84" s="655" t="s">
        <v>29</v>
      </c>
      <c r="I84" s="655" t="s">
        <v>30</v>
      </c>
      <c r="J84" s="655" t="s">
        <v>33</v>
      </c>
      <c r="K84" s="8" t="s">
        <v>34</v>
      </c>
    </row>
    <row r="85" spans="1:11" ht="18" customHeight="1">
      <c r="A85" s="5" t="s">
        <v>111</v>
      </c>
      <c r="B85" s="1" t="s">
        <v>57</v>
      </c>
    </row>
    <row r="86" spans="1:11" ht="18" customHeight="1">
      <c r="A86" s="4" t="s">
        <v>112</v>
      </c>
      <c r="B86" s="257" t="s">
        <v>113</v>
      </c>
      <c r="F86" s="13"/>
      <c r="G86" s="13"/>
      <c r="H86" s="656"/>
      <c r="I86" s="657">
        <f>H86*F$114</f>
        <v>0</v>
      </c>
      <c r="J86" s="656"/>
      <c r="K86" s="15">
        <f t="shared" ref="K86:K96" si="8">(H86+I86)-J86</f>
        <v>0</v>
      </c>
    </row>
    <row r="87" spans="1:11" ht="18" customHeight="1">
      <c r="A87" s="4" t="s">
        <v>114</v>
      </c>
      <c r="B87" s="257" t="s">
        <v>14</v>
      </c>
      <c r="F87" s="13">
        <f>+'[11]2015 CBR Initiatives'!E121</f>
        <v>66</v>
      </c>
      <c r="G87" s="13">
        <f>+'[11]2015 CBR Initiatives'!F121</f>
        <v>0</v>
      </c>
      <c r="H87" s="13">
        <f>+'[11]2015 CBR Initiatives'!G121</f>
        <v>5172.4103392666839</v>
      </c>
      <c r="I87" s="13">
        <f>+'[11]2015 CBR Initiatives'!H121</f>
        <v>2962.8691929085771</v>
      </c>
      <c r="J87" s="13">
        <v>0</v>
      </c>
      <c r="K87" s="15">
        <f t="shared" si="8"/>
        <v>8135.279532175261</v>
      </c>
    </row>
    <row r="88" spans="1:11" ht="18" customHeight="1">
      <c r="A88" s="4" t="s">
        <v>115</v>
      </c>
      <c r="B88" s="257" t="s">
        <v>116</v>
      </c>
      <c r="F88" s="13">
        <f>+'[11]2015 CBR Initiatives'!E128</f>
        <v>80</v>
      </c>
      <c r="G88" s="13">
        <f>+'[11]2015 CBR Initiatives'!F128</f>
        <v>0</v>
      </c>
      <c r="H88" s="13">
        <f>+'[11]2015 CBR Initiatives'!G128</f>
        <v>3239.2852597171936</v>
      </c>
      <c r="I88" s="13">
        <f>+'[11]2015 CBR Initiatives'!H128</f>
        <v>1855.5330829416798</v>
      </c>
      <c r="J88" s="13">
        <v>0</v>
      </c>
      <c r="K88" s="15">
        <f t="shared" si="8"/>
        <v>5094.818342658873</v>
      </c>
    </row>
    <row r="89" spans="1:11" ht="18" customHeight="1">
      <c r="A89" s="4" t="s">
        <v>117</v>
      </c>
      <c r="B89" s="257" t="s">
        <v>58</v>
      </c>
      <c r="F89" s="13"/>
      <c r="G89" s="13"/>
      <c r="H89" s="13"/>
      <c r="I89" s="13"/>
      <c r="J89" s="13"/>
      <c r="K89" s="15">
        <f t="shared" si="8"/>
        <v>0</v>
      </c>
    </row>
    <row r="90" spans="1:11" ht="18" customHeight="1">
      <c r="A90" s="4" t="s">
        <v>118</v>
      </c>
      <c r="B90" s="931" t="s">
        <v>59</v>
      </c>
      <c r="C90" s="939"/>
      <c r="F90" s="13"/>
      <c r="G90" s="13"/>
      <c r="H90" s="13"/>
      <c r="I90" s="13"/>
      <c r="J90" s="13"/>
      <c r="K90" s="15">
        <f t="shared" si="8"/>
        <v>0</v>
      </c>
    </row>
    <row r="91" spans="1:11" ht="18" customHeight="1">
      <c r="A91" s="4" t="s">
        <v>119</v>
      </c>
      <c r="B91" s="257" t="s">
        <v>60</v>
      </c>
      <c r="F91" s="13">
        <f>+'[11]2015 CBR Initiatives'!E172</f>
        <v>406</v>
      </c>
      <c r="G91" s="13">
        <f>+'[11]2015 CBR Initiatives'!F172</f>
        <v>0</v>
      </c>
      <c r="H91" s="13">
        <f>+'[11]2015 CBR Initiatives'!G172</f>
        <v>3320.2673912101232</v>
      </c>
      <c r="I91" s="13">
        <f>+'[11]2015 CBR Initiatives'!H172</f>
        <v>1901.9214100152217</v>
      </c>
      <c r="J91" s="13">
        <v>0</v>
      </c>
      <c r="K91" s="15">
        <f t="shared" si="8"/>
        <v>5222.1888012253448</v>
      </c>
    </row>
    <row r="92" spans="1:11" ht="18" customHeight="1">
      <c r="A92" s="4" t="s">
        <v>120</v>
      </c>
      <c r="B92" s="257" t="s">
        <v>121</v>
      </c>
      <c r="F92" s="29">
        <f>+'[11]2015 CBR Initiatives'!E116</f>
        <v>123</v>
      </c>
      <c r="G92" s="29">
        <f>+'[11]2015 CBR Initiatives'!F116</f>
        <v>0</v>
      </c>
      <c r="H92" s="29">
        <f>+'[11]2015 CBR Initiatives'!G116</f>
        <v>4980.4010868151845</v>
      </c>
      <c r="I92" s="29">
        <f>+'[11]2015 CBR Initiatives'!H116</f>
        <v>2852.8821150228323</v>
      </c>
      <c r="J92" s="29">
        <v>0</v>
      </c>
      <c r="K92" s="15">
        <f t="shared" si="8"/>
        <v>7833.2832018380168</v>
      </c>
    </row>
    <row r="93" spans="1:11" ht="18" customHeight="1">
      <c r="A93" s="4" t="s">
        <v>122</v>
      </c>
      <c r="B93" s="257" t="s">
        <v>123</v>
      </c>
      <c r="F93" s="13">
        <f>+'[11]2015 CBR Initiatives'!E114</f>
        <v>422</v>
      </c>
      <c r="G93" s="13">
        <f>+'[11]2015 CBR Initiatives'!F114</f>
        <v>2395</v>
      </c>
      <c r="H93" s="13">
        <f>+'[11]2015 CBR Initiatives'!G114</f>
        <v>26941.324516760073</v>
      </c>
      <c r="I93" s="13">
        <f>+'[11]2015 CBR Initiatives'!H114</f>
        <v>15432.576920836083</v>
      </c>
      <c r="J93" s="13">
        <v>0</v>
      </c>
      <c r="K93" s="15">
        <f t="shared" si="8"/>
        <v>42373.901437596156</v>
      </c>
    </row>
    <row r="94" spans="1:11" ht="18" customHeight="1">
      <c r="A94" s="4" t="s">
        <v>124</v>
      </c>
      <c r="B94" s="932"/>
      <c r="C94" s="933"/>
      <c r="D94" s="934"/>
      <c r="F94" s="13"/>
      <c r="G94" s="13"/>
      <c r="H94" s="656"/>
      <c r="I94" s="657">
        <f>H94*F$114</f>
        <v>0</v>
      </c>
      <c r="J94" s="656"/>
      <c r="K94" s="15">
        <f t="shared" si="8"/>
        <v>0</v>
      </c>
    </row>
    <row r="95" spans="1:11" ht="18" customHeight="1">
      <c r="A95" s="4" t="s">
        <v>125</v>
      </c>
      <c r="B95" s="932"/>
      <c r="C95" s="933"/>
      <c r="D95" s="934"/>
      <c r="F95" s="13"/>
      <c r="G95" s="13"/>
      <c r="H95" s="656"/>
      <c r="I95" s="657">
        <f>H95*F$114</f>
        <v>0</v>
      </c>
      <c r="J95" s="656"/>
      <c r="K95" s="15">
        <f t="shared" si="8"/>
        <v>0</v>
      </c>
    </row>
    <row r="96" spans="1:11" ht="18" customHeight="1">
      <c r="A96" s="4" t="s">
        <v>126</v>
      </c>
      <c r="B96" s="932"/>
      <c r="C96" s="933"/>
      <c r="D96" s="934"/>
      <c r="F96" s="13"/>
      <c r="G96" s="13"/>
      <c r="H96" s="656"/>
      <c r="I96" s="657">
        <f>H96*F$114</f>
        <v>0</v>
      </c>
      <c r="J96" s="656"/>
      <c r="K96" s="15">
        <f t="shared" si="8"/>
        <v>0</v>
      </c>
    </row>
    <row r="97" spans="1:11" ht="18" customHeight="1">
      <c r="A97" s="4"/>
      <c r="B97" s="257"/>
    </row>
    <row r="98" spans="1:11" ht="18" customHeight="1">
      <c r="A98" s="5" t="s">
        <v>150</v>
      </c>
      <c r="B98" s="1" t="s">
        <v>151</v>
      </c>
      <c r="E98" s="1" t="s">
        <v>7</v>
      </c>
      <c r="F98" s="17">
        <f t="shared" ref="F98:K98" si="9">SUM(F86:F96)</f>
        <v>1097</v>
      </c>
      <c r="G98" s="17">
        <f t="shared" si="9"/>
        <v>2395</v>
      </c>
      <c r="H98" s="658">
        <f t="shared" si="9"/>
        <v>43653.688593769257</v>
      </c>
      <c r="I98" s="658">
        <f t="shared" si="9"/>
        <v>25005.782721724394</v>
      </c>
      <c r="J98" s="658">
        <f t="shared" si="9"/>
        <v>0</v>
      </c>
      <c r="K98" s="17">
        <f t="shared" si="9"/>
        <v>68659.471315493647</v>
      </c>
    </row>
    <row r="99" spans="1:11" ht="18" customHeight="1" thickBot="1">
      <c r="B99" s="1"/>
      <c r="F99" s="23"/>
      <c r="G99" s="23"/>
      <c r="H99" s="663"/>
      <c r="I99" s="663"/>
      <c r="J99" s="663"/>
      <c r="K99" s="23"/>
    </row>
    <row r="100" spans="1:11" ht="42.75" customHeight="1">
      <c r="F100" s="8" t="s">
        <v>9</v>
      </c>
      <c r="G100" s="8" t="s">
        <v>37</v>
      </c>
      <c r="H100" s="655" t="s">
        <v>29</v>
      </c>
      <c r="I100" s="655" t="s">
        <v>30</v>
      </c>
      <c r="J100" s="655" t="s">
        <v>33</v>
      </c>
      <c r="K100" s="8" t="s">
        <v>34</v>
      </c>
    </row>
    <row r="101" spans="1:11" ht="18" customHeight="1">
      <c r="A101" s="5" t="s">
        <v>130</v>
      </c>
      <c r="B101" s="1" t="s">
        <v>63</v>
      </c>
    </row>
    <row r="102" spans="1:11" ht="18" customHeight="1">
      <c r="A102" s="4" t="s">
        <v>131</v>
      </c>
      <c r="B102" s="257" t="s">
        <v>152</v>
      </c>
      <c r="F102" s="13">
        <f>+'[11]2015 CBR Initiatives'!E123</f>
        <v>575</v>
      </c>
      <c r="G102" s="13">
        <f>+'[11]2015 CBR Initiatives'!F123</f>
        <v>0</v>
      </c>
      <c r="H102" s="13">
        <f>+'[11]2015 CBR Initiatives'!G123</f>
        <v>23282.36280421733</v>
      </c>
      <c r="I102" s="13">
        <f>+'[11]2015 CBR Initiatives'!H123</f>
        <v>13336.644033643324</v>
      </c>
      <c r="J102" s="13">
        <f>+'[11]2015 CBR Initiatives'!I123</f>
        <v>0</v>
      </c>
      <c r="K102" s="15">
        <f>(H102+I102)-J102</f>
        <v>36619.006837860652</v>
      </c>
    </row>
    <row r="103" spans="1:11" ht="18" customHeight="1">
      <c r="A103" s="4" t="s">
        <v>132</v>
      </c>
      <c r="B103" s="931" t="s">
        <v>62</v>
      </c>
      <c r="C103" s="931"/>
      <c r="F103" s="13">
        <f>+'[11]2015 CBR Initiatives'!E126</f>
        <v>385</v>
      </c>
      <c r="G103" s="13">
        <f>+'[11]2015 CBR Initiatives'!F126</f>
        <v>0</v>
      </c>
      <c r="H103" s="13">
        <f>+'[11]2015 CBR Initiatives'!G126</f>
        <v>19054.060312388996</v>
      </c>
      <c r="I103" s="13">
        <f>+'[11]2015 CBR Initiatives'!H126</f>
        <v>10914.580359338459</v>
      </c>
      <c r="J103" s="13">
        <f>+'[11]2015 CBR Initiatives'!I126</f>
        <v>0</v>
      </c>
      <c r="K103" s="15">
        <f>(H103+I103)-J103</f>
        <v>29968.640671727455</v>
      </c>
    </row>
    <row r="104" spans="1:11" ht="18" customHeight="1">
      <c r="A104" s="4" t="s">
        <v>128</v>
      </c>
      <c r="B104" s="932"/>
      <c r="C104" s="933"/>
      <c r="D104" s="934"/>
      <c r="F104" s="13"/>
      <c r="G104" s="13"/>
      <c r="H104" s="656"/>
      <c r="I104" s="657">
        <f>H104*F$114</f>
        <v>0</v>
      </c>
      <c r="J104" s="656"/>
      <c r="K104" s="15">
        <f>(H104+I104)-J104</f>
        <v>0</v>
      </c>
    </row>
    <row r="105" spans="1:11" ht="18" customHeight="1">
      <c r="A105" s="4" t="s">
        <v>127</v>
      </c>
      <c r="B105" s="932"/>
      <c r="C105" s="933"/>
      <c r="D105" s="934"/>
      <c r="F105" s="13"/>
      <c r="G105" s="13"/>
      <c r="H105" s="656"/>
      <c r="I105" s="657">
        <f>H105*F$114</f>
        <v>0</v>
      </c>
      <c r="J105" s="656"/>
      <c r="K105" s="15">
        <f>(H105+I105)-J105</f>
        <v>0</v>
      </c>
    </row>
    <row r="106" spans="1:11" ht="18" customHeight="1">
      <c r="A106" s="4" t="s">
        <v>129</v>
      </c>
      <c r="B106" s="932"/>
      <c r="C106" s="933"/>
      <c r="D106" s="934"/>
      <c r="F106" s="13"/>
      <c r="G106" s="13"/>
      <c r="H106" s="656"/>
      <c r="I106" s="657">
        <f>H106*F$114</f>
        <v>0</v>
      </c>
      <c r="J106" s="656"/>
      <c r="K106" s="15">
        <f>(H106+I106)-J106</f>
        <v>0</v>
      </c>
    </row>
    <row r="107" spans="1:11" ht="18" customHeight="1">
      <c r="B107" s="1"/>
    </row>
    <row r="108" spans="1:11" s="9" customFormat="1" ht="18" customHeight="1">
      <c r="A108" s="5" t="s">
        <v>153</v>
      </c>
      <c r="B108" s="52" t="s">
        <v>154</v>
      </c>
      <c r="C108"/>
      <c r="D108"/>
      <c r="E108" s="1" t="s">
        <v>7</v>
      </c>
      <c r="F108" s="17">
        <f t="shared" ref="F108:K108" si="10">SUM(F102:F106)</f>
        <v>960</v>
      </c>
      <c r="G108" s="17">
        <f t="shared" si="10"/>
        <v>0</v>
      </c>
      <c r="H108" s="658">
        <f t="shared" si="10"/>
        <v>42336.423116606325</v>
      </c>
      <c r="I108" s="658">
        <f t="shared" si="10"/>
        <v>24251.224392981785</v>
      </c>
      <c r="J108" s="658">
        <f t="shared" si="10"/>
        <v>0</v>
      </c>
      <c r="K108" s="15">
        <f t="shared" si="10"/>
        <v>66587.647509588103</v>
      </c>
    </row>
    <row r="109" spans="1:11" s="9" customFormat="1" ht="18" customHeight="1" thickBot="1">
      <c r="A109" s="10"/>
      <c r="B109" s="11"/>
      <c r="C109" s="12"/>
      <c r="D109" s="12"/>
      <c r="E109" s="12"/>
      <c r="F109" s="23"/>
      <c r="G109" s="23"/>
      <c r="H109" s="663"/>
      <c r="I109" s="663"/>
      <c r="J109" s="663"/>
      <c r="K109" s="23"/>
    </row>
    <row r="110" spans="1:11" s="9" customFormat="1" ht="18" customHeight="1">
      <c r="A110" s="5" t="s">
        <v>156</v>
      </c>
      <c r="B110" s="1" t="s">
        <v>39</v>
      </c>
      <c r="C110"/>
      <c r="D110"/>
      <c r="E110"/>
      <c r="F110"/>
      <c r="G110"/>
      <c r="H110" s="654"/>
      <c r="I110" s="654"/>
      <c r="J110" s="654"/>
      <c r="K110"/>
    </row>
    <row r="111" spans="1:11" ht="18" customHeight="1">
      <c r="A111" s="5" t="s">
        <v>155</v>
      </c>
      <c r="B111" s="1" t="s">
        <v>164</v>
      </c>
      <c r="E111" s="1" t="s">
        <v>7</v>
      </c>
      <c r="F111" s="272">
        <f>+'[11]EST UMMS FSS FIN DATA 2015'!AC29*1000</f>
        <v>4177836.0000000005</v>
      </c>
    </row>
    <row r="112" spans="1:11" ht="18" customHeight="1">
      <c r="B112" s="1"/>
      <c r="E112" s="1"/>
      <c r="F112" s="21"/>
    </row>
    <row r="113" spans="1:6" ht="18" customHeight="1">
      <c r="A113" s="5"/>
      <c r="B113" s="1" t="s">
        <v>15</v>
      </c>
    </row>
    <row r="114" spans="1:6" ht="18" customHeight="1">
      <c r="A114" s="4" t="s">
        <v>171</v>
      </c>
      <c r="B114" s="257" t="s">
        <v>35</v>
      </c>
      <c r="F114" s="24">
        <f>+'[11]EST UMMS FSS FIN DATA 2015'!AZ22</f>
        <v>0.57282175979267647</v>
      </c>
    </row>
    <row r="115" spans="1:6" ht="18" customHeight="1">
      <c r="A115" s="4"/>
      <c r="B115" s="1"/>
    </row>
    <row r="116" spans="1:6" ht="18" customHeight="1">
      <c r="A116" s="4" t="s">
        <v>170</v>
      </c>
      <c r="B116" s="1" t="s">
        <v>16</v>
      </c>
    </row>
    <row r="117" spans="1:6" ht="18" customHeight="1">
      <c r="A117" s="4" t="s">
        <v>172</v>
      </c>
      <c r="B117" s="257" t="s">
        <v>17</v>
      </c>
      <c r="F117" s="272">
        <f>+'[11]EST UMMS FSS FIN DATA 2015'!AC8*1000</f>
        <v>183148637</v>
      </c>
    </row>
    <row r="118" spans="1:6" ht="18" customHeight="1">
      <c r="A118" s="4" t="s">
        <v>173</v>
      </c>
      <c r="B118" t="s">
        <v>18</v>
      </c>
      <c r="F118" s="272">
        <f>+'[11]EST UMMS FSS FIN DATA 2015'!AC9*1000</f>
        <v>2938313</v>
      </c>
    </row>
    <row r="119" spans="1:6" ht="18" customHeight="1">
      <c r="A119" s="4" t="s">
        <v>174</v>
      </c>
      <c r="B119" s="1" t="s">
        <v>19</v>
      </c>
      <c r="F119" s="273">
        <f>SUM(F117:F118)</f>
        <v>186086950</v>
      </c>
    </row>
    <row r="120" spans="1:6" ht="18" customHeight="1">
      <c r="A120" s="4"/>
      <c r="B120" s="1"/>
      <c r="F120" s="274"/>
    </row>
    <row r="121" spans="1:6" ht="18" customHeight="1">
      <c r="A121" s="4" t="s">
        <v>167</v>
      </c>
      <c r="B121" s="1" t="s">
        <v>36</v>
      </c>
      <c r="F121" s="272">
        <f>+'[11]EST UMMS FSS FIN DATA 2015'!AC12*1000</f>
        <v>169250126</v>
      </c>
    </row>
    <row r="122" spans="1:6" ht="18" customHeight="1">
      <c r="A122" s="4"/>
      <c r="F122" s="274"/>
    </row>
    <row r="123" spans="1:6" ht="18" customHeight="1">
      <c r="A123" s="4" t="s">
        <v>175</v>
      </c>
      <c r="B123" s="1" t="s">
        <v>20</v>
      </c>
      <c r="F123" s="272">
        <f>-F121+F119</f>
        <v>16836824</v>
      </c>
    </row>
    <row r="124" spans="1:6" ht="18" customHeight="1">
      <c r="A124" s="4"/>
    </row>
    <row r="125" spans="1:6" ht="18" customHeight="1">
      <c r="A125" s="4" t="s">
        <v>176</v>
      </c>
      <c r="B125" s="1" t="s">
        <v>21</v>
      </c>
      <c r="F125" s="272">
        <f>+'[11]EST UMMS FSS FIN DATA 2015'!AC16*1000</f>
        <v>-290105.99999999977</v>
      </c>
    </row>
    <row r="126" spans="1:6" ht="18" customHeight="1">
      <c r="A126" s="4"/>
      <c r="F126" s="274"/>
    </row>
    <row r="127" spans="1:6" ht="18" customHeight="1">
      <c r="A127" s="4" t="s">
        <v>177</v>
      </c>
      <c r="B127" s="1" t="s">
        <v>22</v>
      </c>
      <c r="F127" s="272">
        <f>+F123+F125</f>
        <v>16546718</v>
      </c>
    </row>
    <row r="128" spans="1:6" ht="18" customHeight="1">
      <c r="A128" s="4"/>
    </row>
    <row r="129" spans="1:11" ht="42.75" customHeight="1">
      <c r="F129" s="8" t="s">
        <v>9</v>
      </c>
      <c r="G129" s="8" t="s">
        <v>37</v>
      </c>
      <c r="H129" s="655" t="s">
        <v>29</v>
      </c>
      <c r="I129" s="655" t="s">
        <v>30</v>
      </c>
      <c r="J129" s="655" t="s">
        <v>33</v>
      </c>
      <c r="K129" s="8" t="s">
        <v>34</v>
      </c>
    </row>
    <row r="130" spans="1:11" ht="18" customHeight="1">
      <c r="A130" s="5" t="s">
        <v>157</v>
      </c>
      <c r="B130" s="1" t="s">
        <v>23</v>
      </c>
    </row>
    <row r="131" spans="1:11" ht="18" customHeight="1">
      <c r="A131" s="4" t="s">
        <v>158</v>
      </c>
      <c r="B131" t="s">
        <v>24</v>
      </c>
      <c r="F131" s="13"/>
      <c r="G131" s="13"/>
      <c r="H131" s="656">
        <f>+'[11]MHE 2015'!F232</f>
        <v>9321</v>
      </c>
      <c r="I131" s="657">
        <v>0</v>
      </c>
      <c r="J131" s="656">
        <f>+'[11]MHE 2015'!G232</f>
        <v>19270</v>
      </c>
      <c r="K131" s="15">
        <f>(H131+I131)-J131</f>
        <v>-9949</v>
      </c>
    </row>
    <row r="132" spans="1:11" ht="18" customHeight="1">
      <c r="A132" s="4" t="s">
        <v>159</v>
      </c>
      <c r="B132" t="s">
        <v>25</v>
      </c>
      <c r="F132" s="13"/>
      <c r="G132" s="13"/>
      <c r="H132" s="656">
        <f>+'[11]MHE 2015'!F240</f>
        <v>202347</v>
      </c>
      <c r="I132" s="657">
        <v>0</v>
      </c>
      <c r="J132" s="656">
        <f>+'[11]MHE 2015'!G240</f>
        <v>0</v>
      </c>
      <c r="K132" s="15">
        <f>(H132+I132)-J132</f>
        <v>202347</v>
      </c>
    </row>
    <row r="133" spans="1:11" ht="18" customHeight="1">
      <c r="A133" s="4" t="s">
        <v>160</v>
      </c>
      <c r="B133" s="974" t="s">
        <v>874</v>
      </c>
      <c r="C133" s="933"/>
      <c r="D133" s="934"/>
      <c r="F133" s="13"/>
      <c r="G133" s="13"/>
      <c r="H133" s="656"/>
      <c r="I133" s="657">
        <v>0</v>
      </c>
      <c r="J133" s="656">
        <f>+'[11]MHE 2015'!G244</f>
        <v>0</v>
      </c>
      <c r="K133" s="15">
        <f>(H133+I133)-J133</f>
        <v>0</v>
      </c>
    </row>
    <row r="134" spans="1:11" ht="18" customHeight="1">
      <c r="A134" s="4" t="s">
        <v>161</v>
      </c>
      <c r="B134" s="893"/>
      <c r="C134" s="894"/>
      <c r="D134" s="895"/>
      <c r="F134" s="13"/>
      <c r="G134" s="13"/>
      <c r="H134" s="656"/>
      <c r="I134" s="657">
        <v>0</v>
      </c>
      <c r="J134" s="656"/>
      <c r="K134" s="15">
        <f>(H134+I134)-J134</f>
        <v>0</v>
      </c>
    </row>
    <row r="135" spans="1:11" ht="18" customHeight="1">
      <c r="A135" s="4" t="s">
        <v>162</v>
      </c>
      <c r="B135" s="893"/>
      <c r="C135" s="894"/>
      <c r="D135" s="895"/>
      <c r="F135" s="13"/>
      <c r="G135" s="13"/>
      <c r="H135" s="656"/>
      <c r="I135" s="657">
        <v>0</v>
      </c>
      <c r="J135" s="656"/>
      <c r="K135" s="15">
        <f>(H135+I135)-J135</f>
        <v>0</v>
      </c>
    </row>
    <row r="136" spans="1:11" ht="18" customHeight="1">
      <c r="A136" s="5"/>
    </row>
    <row r="137" spans="1:11" ht="18" customHeight="1">
      <c r="A137" s="5" t="s">
        <v>163</v>
      </c>
      <c r="B137" s="1" t="s">
        <v>27</v>
      </c>
      <c r="F137" s="17">
        <f t="shared" ref="F137:K137" si="11">SUM(F131:F135)</f>
        <v>0</v>
      </c>
      <c r="G137" s="17">
        <f t="shared" si="11"/>
        <v>0</v>
      </c>
      <c r="H137" s="658">
        <f t="shared" si="11"/>
        <v>211668</v>
      </c>
      <c r="I137" s="658">
        <f t="shared" si="11"/>
        <v>0</v>
      </c>
      <c r="J137" s="658">
        <f t="shared" si="11"/>
        <v>19270</v>
      </c>
      <c r="K137" s="15">
        <f t="shared" si="11"/>
        <v>192398</v>
      </c>
    </row>
    <row r="138" spans="1:11" ht="18" customHeight="1">
      <c r="A138"/>
    </row>
    <row r="139" spans="1:11" ht="42.75" customHeight="1">
      <c r="F139" s="8" t="s">
        <v>9</v>
      </c>
      <c r="G139" s="8" t="s">
        <v>37</v>
      </c>
      <c r="H139" s="655" t="s">
        <v>29</v>
      </c>
      <c r="I139" s="655" t="s">
        <v>30</v>
      </c>
      <c r="J139" s="655" t="s">
        <v>33</v>
      </c>
      <c r="K139" s="8" t="s">
        <v>34</v>
      </c>
    </row>
    <row r="140" spans="1:11" ht="18" customHeight="1">
      <c r="A140" s="5" t="s">
        <v>166</v>
      </c>
      <c r="B140" s="1" t="s">
        <v>26</v>
      </c>
    </row>
    <row r="141" spans="1:11" ht="18" customHeight="1">
      <c r="A141" s="4" t="s">
        <v>137</v>
      </c>
      <c r="B141" s="1" t="s">
        <v>64</v>
      </c>
      <c r="F141" s="32">
        <f t="shared" ref="F141:K141" si="12">F36</f>
        <v>18056</v>
      </c>
      <c r="G141" s="32">
        <f t="shared" si="12"/>
        <v>6771</v>
      </c>
      <c r="H141" s="673">
        <f t="shared" si="12"/>
        <v>965683.56597805163</v>
      </c>
      <c r="I141" s="673">
        <f t="shared" si="12"/>
        <v>553164.55966641475</v>
      </c>
      <c r="J141" s="673">
        <f t="shared" si="12"/>
        <v>40779</v>
      </c>
      <c r="K141" s="32">
        <f t="shared" si="12"/>
        <v>1478069.1256444666</v>
      </c>
    </row>
    <row r="142" spans="1:11" ht="18" customHeight="1">
      <c r="A142" s="4" t="s">
        <v>142</v>
      </c>
      <c r="B142" s="1" t="s">
        <v>65</v>
      </c>
      <c r="F142" s="32">
        <f t="shared" ref="F142:K142" si="13">F49</f>
        <v>10304</v>
      </c>
      <c r="G142" s="32">
        <f t="shared" si="13"/>
        <v>92</v>
      </c>
      <c r="H142" s="673">
        <f t="shared" si="13"/>
        <v>889534.99936360412</v>
      </c>
      <c r="I142" s="673">
        <f t="shared" si="13"/>
        <v>135497.74631611831</v>
      </c>
      <c r="J142" s="673">
        <f t="shared" si="13"/>
        <v>0</v>
      </c>
      <c r="K142" s="32">
        <f t="shared" si="13"/>
        <v>1025032.7456797224</v>
      </c>
    </row>
    <row r="143" spans="1:11" ht="18" customHeight="1">
      <c r="A143" s="4" t="s">
        <v>144</v>
      </c>
      <c r="B143" s="1" t="s">
        <v>66</v>
      </c>
      <c r="F143" s="32">
        <f t="shared" ref="F143:K143" si="14">F64</f>
        <v>45841.132879598124</v>
      </c>
      <c r="G143" s="32">
        <f t="shared" si="14"/>
        <v>56241.132879598117</v>
      </c>
      <c r="H143" s="673">
        <f t="shared" si="14"/>
        <v>7292531.0409102598</v>
      </c>
      <c r="I143" s="673">
        <f t="shared" si="14"/>
        <v>326049.98580531578</v>
      </c>
      <c r="J143" s="673">
        <f t="shared" si="14"/>
        <v>0</v>
      </c>
      <c r="K143" s="32">
        <f t="shared" si="14"/>
        <v>7618581.0267155766</v>
      </c>
    </row>
    <row r="144" spans="1:11" ht="18" customHeight="1">
      <c r="A144" s="4" t="s">
        <v>146</v>
      </c>
      <c r="B144" s="1" t="s">
        <v>67</v>
      </c>
      <c r="F144" s="32">
        <f t="shared" ref="F144:K144" si="15">F74</f>
        <v>0</v>
      </c>
      <c r="G144" s="32">
        <f t="shared" si="15"/>
        <v>0</v>
      </c>
      <c r="H144" s="673">
        <f t="shared" si="15"/>
        <v>0</v>
      </c>
      <c r="I144" s="673">
        <f t="shared" si="15"/>
        <v>0</v>
      </c>
      <c r="J144" s="673">
        <f t="shared" si="15"/>
        <v>0</v>
      </c>
      <c r="K144" s="32">
        <f t="shared" si="15"/>
        <v>0</v>
      </c>
    </row>
    <row r="145" spans="1:11" ht="18" customHeight="1">
      <c r="A145" s="4" t="s">
        <v>148</v>
      </c>
      <c r="B145" s="1" t="s">
        <v>68</v>
      </c>
      <c r="F145" s="32">
        <f t="shared" ref="F145:K145" si="16">F82</f>
        <v>20</v>
      </c>
      <c r="G145" s="32">
        <f t="shared" si="16"/>
        <v>10000</v>
      </c>
      <c r="H145" s="673">
        <f t="shared" si="16"/>
        <v>359312.82131492929</v>
      </c>
      <c r="I145" s="673">
        <f t="shared" si="16"/>
        <v>205822.20262168933</v>
      </c>
      <c r="J145" s="673">
        <f t="shared" si="16"/>
        <v>120000</v>
      </c>
      <c r="K145" s="32">
        <f t="shared" si="16"/>
        <v>445135.02393661864</v>
      </c>
    </row>
    <row r="146" spans="1:11" ht="18" customHeight="1">
      <c r="A146" s="4" t="s">
        <v>150</v>
      </c>
      <c r="B146" s="1" t="s">
        <v>69</v>
      </c>
      <c r="F146" s="32">
        <f t="shared" ref="F146:K146" si="17">F98</f>
        <v>1097</v>
      </c>
      <c r="G146" s="32">
        <f t="shared" si="17"/>
        <v>2395</v>
      </c>
      <c r="H146" s="673">
        <f t="shared" si="17"/>
        <v>43653.688593769257</v>
      </c>
      <c r="I146" s="673">
        <f t="shared" si="17"/>
        <v>25005.782721724394</v>
      </c>
      <c r="J146" s="673">
        <f t="shared" si="17"/>
        <v>0</v>
      </c>
      <c r="K146" s="32">
        <f t="shared" si="17"/>
        <v>68659.471315493647</v>
      </c>
    </row>
    <row r="147" spans="1:11" ht="18" customHeight="1">
      <c r="A147" s="4" t="s">
        <v>153</v>
      </c>
      <c r="B147" s="1" t="s">
        <v>61</v>
      </c>
      <c r="F147" s="17">
        <f t="shared" ref="F147:K147" si="18">F108</f>
        <v>960</v>
      </c>
      <c r="G147" s="17">
        <f t="shared" si="18"/>
        <v>0</v>
      </c>
      <c r="H147" s="658">
        <f t="shared" si="18"/>
        <v>42336.423116606325</v>
      </c>
      <c r="I147" s="658">
        <f t="shared" si="18"/>
        <v>24251.224392981785</v>
      </c>
      <c r="J147" s="658">
        <f t="shared" si="18"/>
        <v>0</v>
      </c>
      <c r="K147" s="17">
        <f t="shared" si="18"/>
        <v>66587.647509588103</v>
      </c>
    </row>
    <row r="148" spans="1:11" ht="18" customHeight="1">
      <c r="A148" s="4" t="s">
        <v>155</v>
      </c>
      <c r="B148" s="1" t="s">
        <v>70</v>
      </c>
      <c r="F148" s="33" t="s">
        <v>73</v>
      </c>
      <c r="G148" s="33" t="s">
        <v>73</v>
      </c>
      <c r="H148" s="674" t="s">
        <v>73</v>
      </c>
      <c r="I148" s="674" t="s">
        <v>73</v>
      </c>
      <c r="J148" s="674" t="s">
        <v>73</v>
      </c>
      <c r="K148" s="28">
        <f>F111</f>
        <v>4177836.0000000005</v>
      </c>
    </row>
    <row r="149" spans="1:11" ht="18" customHeight="1">
      <c r="A149" s="4" t="s">
        <v>163</v>
      </c>
      <c r="B149" s="1" t="s">
        <v>71</v>
      </c>
      <c r="F149" s="17">
        <f t="shared" ref="F149:K149" si="19">F137</f>
        <v>0</v>
      </c>
      <c r="G149" s="17">
        <f t="shared" si="19"/>
        <v>0</v>
      </c>
      <c r="H149" s="658">
        <f t="shared" si="19"/>
        <v>211668</v>
      </c>
      <c r="I149" s="658">
        <f t="shared" si="19"/>
        <v>0</v>
      </c>
      <c r="J149" s="658">
        <f t="shared" si="19"/>
        <v>19270</v>
      </c>
      <c r="K149" s="17">
        <f t="shared" si="19"/>
        <v>192398</v>
      </c>
    </row>
    <row r="150" spans="1:11" ht="18" customHeight="1">
      <c r="A150" s="4" t="s">
        <v>185</v>
      </c>
      <c r="B150" s="1" t="s">
        <v>186</v>
      </c>
      <c r="F150" s="33" t="s">
        <v>73</v>
      </c>
      <c r="G150" s="33" t="s">
        <v>73</v>
      </c>
      <c r="H150" s="658">
        <f>H18</f>
        <v>4595250</v>
      </c>
      <c r="I150" s="658">
        <f>I18</f>
        <v>0</v>
      </c>
      <c r="J150" s="658">
        <f>J18</f>
        <v>3929513</v>
      </c>
      <c r="K150" s="17">
        <f>K18</f>
        <v>665737</v>
      </c>
    </row>
    <row r="151" spans="1:11" ht="18" customHeight="1">
      <c r="B151" s="1"/>
      <c r="F151" s="38"/>
      <c r="G151" s="38"/>
      <c r="H151" s="665"/>
      <c r="I151" s="665"/>
      <c r="J151" s="665"/>
      <c r="K151" s="38"/>
    </row>
    <row r="152" spans="1:11" ht="18" customHeight="1">
      <c r="A152" s="5" t="s">
        <v>165</v>
      </c>
      <c r="B152" s="1" t="s">
        <v>26</v>
      </c>
      <c r="F152" s="39">
        <f t="shared" ref="F152:K152" si="20">SUM(F141:F150)</f>
        <v>76278.132879598124</v>
      </c>
      <c r="G152" s="39">
        <f t="shared" si="20"/>
        <v>75499.132879598124</v>
      </c>
      <c r="H152" s="675">
        <f t="shared" si="20"/>
        <v>14399970.53927722</v>
      </c>
      <c r="I152" s="675">
        <f t="shared" si="20"/>
        <v>1269791.5015242442</v>
      </c>
      <c r="J152" s="675">
        <f t="shared" si="20"/>
        <v>4109562</v>
      </c>
      <c r="K152" s="39">
        <f t="shared" si="20"/>
        <v>15738036.040801466</v>
      </c>
    </row>
    <row r="154" spans="1:11" ht="18" customHeight="1">
      <c r="A154" s="5" t="s">
        <v>168</v>
      </c>
      <c r="B154" s="1" t="s">
        <v>28</v>
      </c>
      <c r="F154" s="681">
        <f>K152/F121</f>
        <v>9.2986849775234234E-2</v>
      </c>
    </row>
    <row r="155" spans="1:11" ht="18" customHeight="1">
      <c r="A155" s="5" t="s">
        <v>169</v>
      </c>
      <c r="B155" s="1" t="s">
        <v>72</v>
      </c>
      <c r="F155" s="681">
        <f>K152/F127</f>
        <v>0.95112734989509495</v>
      </c>
      <c r="G155" s="1"/>
    </row>
    <row r="156" spans="1:11" ht="18" customHeight="1">
      <c r="G156" s="1"/>
    </row>
    <row r="157" spans="1:11" ht="42" customHeight="1">
      <c r="B157" s="275" t="s">
        <v>574</v>
      </c>
      <c r="F157" s="8" t="s">
        <v>9</v>
      </c>
      <c r="G157" s="8" t="s">
        <v>37</v>
      </c>
      <c r="H157" s="655" t="s">
        <v>29</v>
      </c>
      <c r="I157" s="655" t="s">
        <v>30</v>
      </c>
      <c r="J157" s="655" t="s">
        <v>33</v>
      </c>
      <c r="K157" s="8" t="s">
        <v>34</v>
      </c>
    </row>
    <row r="158" spans="1:11" ht="18" customHeight="1">
      <c r="B158" s="1" t="str">
        <f>+B152</f>
        <v>TOTAL HOSPITAL COMMUNITY BENEFIT</v>
      </c>
      <c r="F158" s="677">
        <f t="shared" ref="F158:K158" si="21">+F152</f>
        <v>76278.132879598124</v>
      </c>
      <c r="G158" s="677">
        <f t="shared" si="21"/>
        <v>75499.132879598124</v>
      </c>
      <c r="H158" s="677">
        <f t="shared" si="21"/>
        <v>14399970.53927722</v>
      </c>
      <c r="I158" s="677">
        <f t="shared" si="21"/>
        <v>1269791.5015242442</v>
      </c>
      <c r="J158" s="677">
        <f t="shared" si="21"/>
        <v>4109562</v>
      </c>
      <c r="K158" s="677">
        <f t="shared" si="21"/>
        <v>15738036.040801466</v>
      </c>
    </row>
    <row r="159" spans="1:11" ht="18" customHeight="1">
      <c r="B159" s="1" t="s">
        <v>575</v>
      </c>
    </row>
    <row r="160" spans="1:11" ht="18" customHeight="1">
      <c r="A160" s="2"/>
      <c r="B160" s="4" t="s">
        <v>181</v>
      </c>
      <c r="F160" s="276" t="str">
        <f t="shared" ref="F160:K160" si="22">+F18</f>
        <v>N/A</v>
      </c>
      <c r="G160" s="276" t="str">
        <f t="shared" si="22"/>
        <v>N/A</v>
      </c>
      <c r="H160" s="276">
        <f t="shared" si="22"/>
        <v>4595250</v>
      </c>
      <c r="I160" s="276">
        <f t="shared" si="22"/>
        <v>0</v>
      </c>
      <c r="J160" s="276">
        <f t="shared" si="22"/>
        <v>3929513</v>
      </c>
      <c r="K160" s="677">
        <f t="shared" si="22"/>
        <v>665737</v>
      </c>
    </row>
    <row r="161" spans="2:11" ht="18" customHeight="1">
      <c r="B161" s="4" t="s">
        <v>164</v>
      </c>
      <c r="F161" s="277"/>
      <c r="G161" s="278"/>
      <c r="H161" s="678"/>
      <c r="I161" s="678"/>
      <c r="J161" s="678"/>
      <c r="K161" s="279">
        <f>+K148</f>
        <v>4177836.0000000005</v>
      </c>
    </row>
    <row r="162" spans="2:11" ht="18" customHeight="1">
      <c r="F162" s="278"/>
      <c r="G162" s="278"/>
      <c r="H162" s="678"/>
      <c r="I162" s="678"/>
      <c r="J162" s="678"/>
      <c r="K162" s="278"/>
    </row>
    <row r="163" spans="2:11" ht="18" customHeight="1">
      <c r="B163" s="1" t="s">
        <v>576</v>
      </c>
      <c r="F163" s="276">
        <f t="shared" ref="F163:K163" si="23">+F152-SUM(F160:F161)</f>
        <v>76278.132879598124</v>
      </c>
      <c r="G163" s="276">
        <f t="shared" si="23"/>
        <v>75499.132879598124</v>
      </c>
      <c r="H163" s="276">
        <f t="shared" si="23"/>
        <v>9804720.5392772201</v>
      </c>
      <c r="I163" s="276">
        <f t="shared" si="23"/>
        <v>1269791.5015242442</v>
      </c>
      <c r="J163" s="276">
        <f t="shared" si="23"/>
        <v>180049</v>
      </c>
      <c r="K163" s="276">
        <f t="shared" si="23"/>
        <v>10894463.040801466</v>
      </c>
    </row>
    <row r="164" spans="2:11" ht="18" customHeight="1">
      <c r="B164" s="1"/>
      <c r="F164" s="280"/>
      <c r="G164" s="280"/>
      <c r="H164" s="276"/>
      <c r="I164" s="276"/>
      <c r="J164" s="276"/>
      <c r="K164" s="276"/>
    </row>
    <row r="165" spans="2:11" ht="18" customHeight="1">
      <c r="B165" s="1" t="s">
        <v>28</v>
      </c>
      <c r="F165" s="1"/>
      <c r="G165" s="1"/>
      <c r="H165" s="679">
        <f>+H163/$F$121</f>
        <v>5.793035887770754E-2</v>
      </c>
      <c r="I165" s="679">
        <f>+I163/$F$121</f>
        <v>7.5024552804424157E-3</v>
      </c>
      <c r="J165" s="679">
        <f>+J163/$F$121</f>
        <v>1.0638042301959645E-3</v>
      </c>
      <c r="K165" s="679">
        <f>+K163/$F$121</f>
        <v>6.4369009927953996E-2</v>
      </c>
    </row>
    <row r="166" spans="2:11" ht="18" customHeight="1">
      <c r="B166" s="1" t="s">
        <v>72</v>
      </c>
      <c r="F166" s="1"/>
      <c r="G166" s="1"/>
      <c r="H166" s="679">
        <f>+H163/$F$127</f>
        <v>0.59254775111760649</v>
      </c>
      <c r="I166" s="679">
        <f>+I163/$F$127</f>
        <v>7.6739780150011871E-2</v>
      </c>
      <c r="J166" s="679">
        <f>+J163/$F$127</f>
        <v>1.0881251496520337E-2</v>
      </c>
      <c r="K166" s="679">
        <f>+K163/$F$127</f>
        <v>0.65840627977109811</v>
      </c>
    </row>
  </sheetData>
  <mergeCells count="32">
    <mergeCell ref="B44:D44"/>
    <mergeCell ref="C5:G5"/>
    <mergeCell ref="C6:G6"/>
    <mergeCell ref="C7:G7"/>
    <mergeCell ref="C9:G9"/>
    <mergeCell ref="C10:G10"/>
    <mergeCell ref="C11:G11"/>
    <mergeCell ref="B13:H13"/>
    <mergeCell ref="B30:D30"/>
    <mergeCell ref="B31:D31"/>
    <mergeCell ref="B34:D34"/>
    <mergeCell ref="B41:C41"/>
    <mergeCell ref="B95:D95"/>
    <mergeCell ref="B45:D45"/>
    <mergeCell ref="B46:D46"/>
    <mergeCell ref="B47:D47"/>
    <mergeCell ref="B52:C52"/>
    <mergeCell ref="B53:D53"/>
    <mergeCell ref="B57:D57"/>
    <mergeCell ref="B59:D59"/>
    <mergeCell ref="B61:D61"/>
    <mergeCell ref="B62:D62"/>
    <mergeCell ref="B90:C90"/>
    <mergeCell ref="B94:D94"/>
    <mergeCell ref="B134:D134"/>
    <mergeCell ref="B135:D135"/>
    <mergeCell ref="B96:D96"/>
    <mergeCell ref="B103:C103"/>
    <mergeCell ref="B104:D104"/>
    <mergeCell ref="B105:D105"/>
    <mergeCell ref="B106:D106"/>
    <mergeCell ref="B133:D133"/>
  </mergeCells>
  <pageMargins left="0.75" right="0.75" top="1" bottom="1" header="0.5" footer="0.5"/>
  <pageSetup scale="60" fitToHeight="0" orientation="landscape" horizontalDpi="1200" verticalDpi="1200" r:id="rId1"/>
  <headerFooter alignWithMargins="0"/>
  <rowBreaks count="6" manualBreakCount="6">
    <brk id="37" max="16383" man="1"/>
    <brk id="65" max="16383" man="1"/>
    <brk id="83" max="16383" man="1"/>
    <brk id="109" max="16383" man="1"/>
    <brk id="128" max="16383" man="1"/>
    <brk id="156" max="1638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K156"/>
  <sheetViews>
    <sheetView showGridLines="0" topLeftCell="A2" zoomScaleNormal="100" zoomScaleSheetLayoutView="100" zoomScalePageLayoutView="80" workbookViewId="0">
      <selection activeCell="J18" sqref="J18"/>
    </sheetView>
  </sheetViews>
  <sheetFormatPr defaultRowHeight="18" customHeight="1"/>
  <cols>
    <col min="1" max="1" width="8.140625" style="146" customWidth="1"/>
    <col min="2" max="2" width="55.42578125" style="147" bestFit="1" customWidth="1"/>
    <col min="3" max="3" width="9.5703125" style="147" customWidth="1"/>
    <col min="4" max="4" width="9.140625" style="147"/>
    <col min="5" max="5" width="12.42578125" style="147" customWidth="1"/>
    <col min="6" max="6" width="18.5703125" style="147" customWidth="1"/>
    <col min="7" max="7" width="23.5703125" style="147" customWidth="1"/>
    <col min="8" max="8" width="17.140625" style="147" customWidth="1"/>
    <col min="9" max="9" width="21.140625" style="147" customWidth="1"/>
    <col min="10" max="10" width="19.85546875" style="147" customWidth="1"/>
    <col min="11" max="11" width="17.5703125" style="147" customWidth="1"/>
    <col min="12" max="16384" width="9.140625" style="147"/>
  </cols>
  <sheetData>
    <row r="1" spans="1:11" ht="18" customHeight="1">
      <c r="C1" s="148"/>
      <c r="D1" s="149"/>
      <c r="E1" s="148"/>
      <c r="F1" s="148"/>
      <c r="G1" s="148"/>
      <c r="H1" s="148"/>
      <c r="I1" s="148"/>
      <c r="J1" s="148"/>
      <c r="K1" s="148"/>
    </row>
    <row r="2" spans="1:11" ht="18" customHeight="1">
      <c r="D2" s="910" t="s">
        <v>713</v>
      </c>
      <c r="E2" s="911"/>
      <c r="F2" s="911"/>
      <c r="G2" s="911"/>
      <c r="H2" s="911"/>
    </row>
    <row r="3" spans="1:11" ht="18" customHeight="1">
      <c r="B3" s="150" t="s">
        <v>0</v>
      </c>
    </row>
    <row r="5" spans="1:11" ht="18" customHeight="1">
      <c r="B5" s="151" t="s">
        <v>40</v>
      </c>
      <c r="C5" s="912" t="s">
        <v>724</v>
      </c>
      <c r="D5" s="918"/>
      <c r="E5" s="918"/>
      <c r="F5" s="918"/>
      <c r="G5" s="919"/>
    </row>
    <row r="6" spans="1:11" ht="18" customHeight="1">
      <c r="B6" s="151" t="s">
        <v>3</v>
      </c>
      <c r="C6" s="920" t="s">
        <v>612</v>
      </c>
      <c r="D6" s="921"/>
      <c r="E6" s="921"/>
      <c r="F6" s="921"/>
      <c r="G6" s="922"/>
    </row>
    <row r="7" spans="1:11" ht="18" customHeight="1">
      <c r="B7" s="151" t="s">
        <v>4</v>
      </c>
      <c r="C7" s="1117" t="s">
        <v>723</v>
      </c>
      <c r="D7" s="924"/>
      <c r="E7" s="924"/>
      <c r="F7" s="924"/>
      <c r="G7" s="925"/>
    </row>
    <row r="9" spans="1:11" ht="18" customHeight="1">
      <c r="B9" s="151" t="s">
        <v>1</v>
      </c>
      <c r="C9" s="917" t="s">
        <v>722</v>
      </c>
      <c r="D9" s="918"/>
      <c r="E9" s="918"/>
      <c r="F9" s="918"/>
      <c r="G9" s="919"/>
    </row>
    <row r="10" spans="1:11" ht="18" customHeight="1">
      <c r="B10" s="151" t="s">
        <v>2</v>
      </c>
      <c r="C10" s="980" t="s">
        <v>626</v>
      </c>
      <c r="D10" s="927"/>
      <c r="E10" s="927"/>
      <c r="F10" s="927"/>
      <c r="G10" s="928"/>
    </row>
    <row r="11" spans="1:11" ht="18" customHeight="1">
      <c r="B11" s="151" t="s">
        <v>32</v>
      </c>
      <c r="C11" s="917" t="s">
        <v>721</v>
      </c>
      <c r="D11" s="913"/>
      <c r="E11" s="913"/>
      <c r="F11" s="913"/>
      <c r="G11" s="913"/>
    </row>
    <row r="12" spans="1:11" ht="18" customHeight="1">
      <c r="B12" s="151"/>
      <c r="C12" s="151"/>
      <c r="D12" s="151"/>
      <c r="E12" s="151"/>
      <c r="F12" s="151"/>
      <c r="G12" s="151"/>
    </row>
    <row r="13" spans="1:11" ht="24.6" customHeight="1">
      <c r="B13" s="914"/>
      <c r="C13" s="915"/>
      <c r="D13" s="915"/>
      <c r="E13" s="915"/>
      <c r="F13" s="915"/>
      <c r="G13" s="915"/>
      <c r="H13" s="916"/>
      <c r="I13" s="148"/>
    </row>
    <row r="14" spans="1:11" ht="18" customHeight="1">
      <c r="B14" s="152"/>
    </row>
    <row r="15" spans="1:11" ht="18" customHeight="1">
      <c r="B15" s="152"/>
    </row>
    <row r="16" spans="1:11" ht="45.2" customHeight="1">
      <c r="A16" s="149" t="s">
        <v>181</v>
      </c>
      <c r="B16" s="148"/>
      <c r="C16" s="148"/>
      <c r="D16" s="148"/>
      <c r="E16" s="148"/>
      <c r="F16" s="153" t="s">
        <v>9</v>
      </c>
      <c r="G16" s="153" t="s">
        <v>37</v>
      </c>
      <c r="H16" s="153" t="s">
        <v>29</v>
      </c>
      <c r="I16" s="153" t="s">
        <v>30</v>
      </c>
      <c r="J16" s="153" t="s">
        <v>33</v>
      </c>
      <c r="K16" s="153" t="s">
        <v>34</v>
      </c>
    </row>
    <row r="17" spans="1:11" ht="18" customHeight="1">
      <c r="A17" s="154" t="s">
        <v>184</v>
      </c>
      <c r="B17" s="150" t="s">
        <v>182</v>
      </c>
    </row>
    <row r="18" spans="1:11" ht="18" customHeight="1">
      <c r="A18" s="151" t="s">
        <v>185</v>
      </c>
      <c r="B18" s="155" t="s">
        <v>183</v>
      </c>
      <c r="F18" s="156" t="s">
        <v>73</v>
      </c>
      <c r="G18" s="156" t="s">
        <v>73</v>
      </c>
      <c r="H18" s="157">
        <v>5455661.7999999998</v>
      </c>
      <c r="I18" s="158">
        <v>0</v>
      </c>
      <c r="J18" s="157">
        <v>4665272.9800000004</v>
      </c>
      <c r="K18" s="159">
        <f>(H18+I18)-J18</f>
        <v>790388.81999999937</v>
      </c>
    </row>
    <row r="19" spans="1:11" ht="45.2" customHeight="1">
      <c r="A19" s="149" t="s">
        <v>8</v>
      </c>
      <c r="B19" s="148"/>
      <c r="C19" s="148"/>
      <c r="D19" s="148"/>
      <c r="E19" s="148"/>
      <c r="F19" s="153" t="s">
        <v>9</v>
      </c>
      <c r="G19" s="153" t="s">
        <v>37</v>
      </c>
      <c r="H19" s="153" t="s">
        <v>29</v>
      </c>
      <c r="I19" s="153" t="s">
        <v>30</v>
      </c>
      <c r="J19" s="153" t="s">
        <v>33</v>
      </c>
      <c r="K19" s="153" t="s">
        <v>34</v>
      </c>
    </row>
    <row r="20" spans="1:11" ht="18" customHeight="1">
      <c r="A20" s="154" t="s">
        <v>74</v>
      </c>
      <c r="B20" s="150" t="s">
        <v>41</v>
      </c>
    </row>
    <row r="21" spans="1:11" ht="18" customHeight="1">
      <c r="A21" s="151" t="s">
        <v>75</v>
      </c>
      <c r="B21" s="155" t="s">
        <v>42</v>
      </c>
      <c r="F21" s="156">
        <f>+[27]A!$G$51+[27]A!$D$80+[27]A!$D$84</f>
        <v>1010.5</v>
      </c>
      <c r="G21" s="156">
        <f>+[27]A!$E$51+[27]A!$J$84</f>
        <v>5312</v>
      </c>
      <c r="H21" s="157">
        <f>+[27]A!$H$51+[27]A!$H$80+[27]A!$H$84</f>
        <v>114236.33500000001</v>
      </c>
      <c r="I21" s="158">
        <f t="shared" ref="I21:I34" si="0">H21*F$114</f>
        <v>49144.471317000003</v>
      </c>
      <c r="J21" s="157"/>
      <c r="K21" s="159">
        <f t="shared" ref="K21:K34" si="1">(H21+I21)-J21</f>
        <v>163380.80631700001</v>
      </c>
    </row>
    <row r="22" spans="1:11" ht="18" customHeight="1">
      <c r="A22" s="151" t="s">
        <v>76</v>
      </c>
      <c r="B22" s="147" t="s">
        <v>6</v>
      </c>
      <c r="F22" s="156"/>
      <c r="G22" s="156"/>
      <c r="H22" s="157"/>
      <c r="I22" s="158">
        <f t="shared" si="0"/>
        <v>0</v>
      </c>
      <c r="J22" s="157"/>
      <c r="K22" s="159">
        <f t="shared" si="1"/>
        <v>0</v>
      </c>
    </row>
    <row r="23" spans="1:11" ht="18" customHeight="1">
      <c r="A23" s="151" t="s">
        <v>77</v>
      </c>
      <c r="B23" s="147" t="s">
        <v>43</v>
      </c>
      <c r="F23" s="156"/>
      <c r="G23" s="156"/>
      <c r="H23" s="157"/>
      <c r="I23" s="158">
        <f t="shared" si="0"/>
        <v>0</v>
      </c>
      <c r="J23" s="157"/>
      <c r="K23" s="159">
        <f t="shared" si="1"/>
        <v>0</v>
      </c>
    </row>
    <row r="24" spans="1:11" ht="18" customHeight="1">
      <c r="A24" s="151" t="s">
        <v>78</v>
      </c>
      <c r="B24" s="147" t="s">
        <v>44</v>
      </c>
      <c r="F24" s="156"/>
      <c r="G24" s="156"/>
      <c r="H24" s="157"/>
      <c r="I24" s="158">
        <f t="shared" si="0"/>
        <v>0</v>
      </c>
      <c r="J24" s="157"/>
      <c r="K24" s="159">
        <f t="shared" si="1"/>
        <v>0</v>
      </c>
    </row>
    <row r="25" spans="1:11" ht="18" customHeight="1">
      <c r="A25" s="151" t="s">
        <v>79</v>
      </c>
      <c r="B25" s="147" t="s">
        <v>5</v>
      </c>
      <c r="F25" s="156">
        <f>+[27]A!$G$38</f>
        <v>366</v>
      </c>
      <c r="G25" s="156">
        <f>+[27]A!$E$38</f>
        <v>596</v>
      </c>
      <c r="H25" s="157">
        <f>+[27]A!$H$38</f>
        <v>27057.7395</v>
      </c>
      <c r="I25" s="158">
        <f t="shared" si="0"/>
        <v>11640.239532900001</v>
      </c>
      <c r="J25" s="157"/>
      <c r="K25" s="159">
        <f t="shared" si="1"/>
        <v>38697.979032900002</v>
      </c>
    </row>
    <row r="26" spans="1:11" ht="18" customHeight="1">
      <c r="A26" s="151" t="s">
        <v>80</v>
      </c>
      <c r="B26" s="147" t="s">
        <v>45</v>
      </c>
      <c r="F26" s="156"/>
      <c r="G26" s="156"/>
      <c r="H26" s="157"/>
      <c r="I26" s="158">
        <f t="shared" si="0"/>
        <v>0</v>
      </c>
      <c r="J26" s="157"/>
      <c r="K26" s="159">
        <f t="shared" si="1"/>
        <v>0</v>
      </c>
    </row>
    <row r="27" spans="1:11" ht="18" customHeight="1">
      <c r="A27" s="151" t="s">
        <v>81</v>
      </c>
      <c r="B27" s="147" t="s">
        <v>46</v>
      </c>
      <c r="F27" s="156"/>
      <c r="G27" s="156"/>
      <c r="H27" s="157"/>
      <c r="I27" s="158">
        <f t="shared" si="0"/>
        <v>0</v>
      </c>
      <c r="J27" s="157"/>
      <c r="K27" s="159">
        <f t="shared" si="1"/>
        <v>0</v>
      </c>
    </row>
    <row r="28" spans="1:11" ht="18" customHeight="1">
      <c r="A28" s="151" t="s">
        <v>82</v>
      </c>
      <c r="B28" s="147" t="s">
        <v>47</v>
      </c>
      <c r="F28" s="156"/>
      <c r="G28" s="156"/>
      <c r="H28" s="157"/>
      <c r="I28" s="158">
        <f t="shared" si="0"/>
        <v>0</v>
      </c>
      <c r="J28" s="157"/>
      <c r="K28" s="159">
        <f t="shared" si="1"/>
        <v>0</v>
      </c>
    </row>
    <row r="29" spans="1:11" ht="18" customHeight="1">
      <c r="A29" s="151" t="s">
        <v>83</v>
      </c>
      <c r="B29" s="147" t="s">
        <v>48</v>
      </c>
      <c r="F29" s="156">
        <f>+[27]A!$D$12+[27]A!$D$13+[27]A!$D$16+[27]A!$D$28</f>
        <v>16848</v>
      </c>
      <c r="G29" s="156">
        <f>+[27]A!$E$5+[27]A!$E$6+[27]A!$E$22+[27]A!$E$23+[27]A!$E$24+[27]A!$K$28</f>
        <v>7657</v>
      </c>
      <c r="H29" s="157">
        <f>+[27]A!$H$5+[27]A!$H$6+[27]A!$H$8+[27]A!$H$14+[27]A!$H$17+[27]A!$H$25+[27]A!$I$28</f>
        <v>692680.77999999991</v>
      </c>
      <c r="I29" s="158">
        <f t="shared" si="0"/>
        <v>297991.27155599999</v>
      </c>
      <c r="J29" s="157"/>
      <c r="K29" s="159">
        <f t="shared" si="1"/>
        <v>990672.0515559999</v>
      </c>
    </row>
    <row r="30" spans="1:11" ht="18" customHeight="1">
      <c r="A30" s="151" t="s">
        <v>84</v>
      </c>
      <c r="B30" s="898" t="s">
        <v>720</v>
      </c>
      <c r="C30" s="899"/>
      <c r="D30" s="900"/>
      <c r="F30" s="156">
        <f>+[27]A!$D$65</f>
        <v>180</v>
      </c>
      <c r="G30" s="156">
        <f>+[27]A!$F$65</f>
        <v>151</v>
      </c>
      <c r="H30" s="157">
        <f>+[27]A!$H$65</f>
        <v>5360.3774999999987</v>
      </c>
      <c r="I30" s="158">
        <f t="shared" si="0"/>
        <v>2306.0344004999997</v>
      </c>
      <c r="J30" s="157"/>
      <c r="K30" s="159">
        <f t="shared" si="1"/>
        <v>7666.4119004999984</v>
      </c>
    </row>
    <row r="31" spans="1:11" ht="18" customHeight="1">
      <c r="A31" s="151" t="s">
        <v>133</v>
      </c>
      <c r="B31" s="898"/>
      <c r="C31" s="899"/>
      <c r="D31" s="900"/>
      <c r="F31" s="156"/>
      <c r="G31" s="156"/>
      <c r="H31" s="157"/>
      <c r="I31" s="158">
        <f t="shared" si="0"/>
        <v>0</v>
      </c>
      <c r="J31" s="157"/>
      <c r="K31" s="159">
        <f t="shared" si="1"/>
        <v>0</v>
      </c>
    </row>
    <row r="32" spans="1:11" ht="18" customHeight="1">
      <c r="A32" s="151" t="s">
        <v>134</v>
      </c>
      <c r="B32" s="393"/>
      <c r="C32" s="394"/>
      <c r="D32" s="395"/>
      <c r="F32" s="156"/>
      <c r="G32" s="160" t="s">
        <v>85</v>
      </c>
      <c r="H32" s="157"/>
      <c r="I32" s="158">
        <f t="shared" si="0"/>
        <v>0</v>
      </c>
      <c r="J32" s="157"/>
      <c r="K32" s="159">
        <f t="shared" si="1"/>
        <v>0</v>
      </c>
    </row>
    <row r="33" spans="1:11" ht="18" customHeight="1">
      <c r="A33" s="151" t="s">
        <v>135</v>
      </c>
      <c r="B33" s="393"/>
      <c r="C33" s="394"/>
      <c r="D33" s="395"/>
      <c r="F33" s="156"/>
      <c r="G33" s="160" t="s">
        <v>85</v>
      </c>
      <c r="H33" s="157"/>
      <c r="I33" s="158">
        <f t="shared" si="0"/>
        <v>0</v>
      </c>
      <c r="J33" s="157"/>
      <c r="K33" s="159">
        <f t="shared" si="1"/>
        <v>0</v>
      </c>
    </row>
    <row r="34" spans="1:11" ht="18" customHeight="1">
      <c r="A34" s="151" t="s">
        <v>136</v>
      </c>
      <c r="B34" s="898"/>
      <c r="C34" s="899"/>
      <c r="D34" s="900"/>
      <c r="F34" s="156"/>
      <c r="G34" s="160" t="s">
        <v>85</v>
      </c>
      <c r="H34" s="157"/>
      <c r="I34" s="158">
        <f t="shared" si="0"/>
        <v>0</v>
      </c>
      <c r="J34" s="157"/>
      <c r="K34" s="159">
        <f t="shared" si="1"/>
        <v>0</v>
      </c>
    </row>
    <row r="35" spans="1:11" ht="18" customHeight="1">
      <c r="K35" s="161"/>
    </row>
    <row r="36" spans="1:11" ht="18" customHeight="1">
      <c r="A36" s="154" t="s">
        <v>137</v>
      </c>
      <c r="B36" s="150" t="s">
        <v>138</v>
      </c>
      <c r="E36" s="150" t="s">
        <v>7</v>
      </c>
      <c r="F36" s="162">
        <f t="shared" ref="F36:K36" si="2">SUM(F21:F34)</f>
        <v>18404.5</v>
      </c>
      <c r="G36" s="162">
        <f t="shared" si="2"/>
        <v>13716</v>
      </c>
      <c r="H36" s="162">
        <f t="shared" si="2"/>
        <v>839335.23199999984</v>
      </c>
      <c r="I36" s="159">
        <f t="shared" si="2"/>
        <v>361082.01680640003</v>
      </c>
      <c r="J36" s="159">
        <f t="shared" si="2"/>
        <v>0</v>
      </c>
      <c r="K36" s="159">
        <f t="shared" si="2"/>
        <v>1200417.2488064</v>
      </c>
    </row>
    <row r="37" spans="1:11" ht="18" customHeight="1" thickBot="1">
      <c r="B37" s="150"/>
      <c r="F37" s="163"/>
      <c r="G37" s="163"/>
      <c r="H37" s="164"/>
      <c r="I37" s="164"/>
      <c r="J37" s="164"/>
      <c r="K37" s="165"/>
    </row>
    <row r="38" spans="1:11" ht="42.75" customHeight="1">
      <c r="F38" s="153" t="s">
        <v>9</v>
      </c>
      <c r="G38" s="153" t="s">
        <v>37</v>
      </c>
      <c r="H38" s="153" t="s">
        <v>29</v>
      </c>
      <c r="I38" s="153" t="s">
        <v>30</v>
      </c>
      <c r="J38" s="153" t="s">
        <v>33</v>
      </c>
      <c r="K38" s="153" t="s">
        <v>34</v>
      </c>
    </row>
    <row r="39" spans="1:11" ht="18.75" customHeight="1">
      <c r="A39" s="154" t="s">
        <v>86</v>
      </c>
      <c r="B39" s="150" t="s">
        <v>49</v>
      </c>
    </row>
    <row r="40" spans="1:11" ht="18" customHeight="1">
      <c r="A40" s="151" t="s">
        <v>87</v>
      </c>
      <c r="B40" s="147" t="s">
        <v>31</v>
      </c>
      <c r="F40" s="156">
        <f>[28]Teach!F11</f>
        <v>101326.09443712411</v>
      </c>
      <c r="G40" s="156"/>
      <c r="H40" s="157">
        <f>[28]Teach!F23</f>
        <v>4028365.45</v>
      </c>
      <c r="I40" s="158">
        <v>0</v>
      </c>
      <c r="J40" s="157"/>
      <c r="K40" s="159">
        <f t="shared" ref="K40:K47" si="3">(H40+I40)-J40</f>
        <v>4028365.45</v>
      </c>
    </row>
    <row r="41" spans="1:11" ht="18" customHeight="1">
      <c r="A41" s="151" t="s">
        <v>88</v>
      </c>
      <c r="B41" s="904" t="s">
        <v>50</v>
      </c>
      <c r="C41" s="907"/>
      <c r="F41" s="156">
        <f>+[27]B!$D$5</f>
        <v>1080</v>
      </c>
      <c r="G41" s="156"/>
      <c r="H41" s="157">
        <f>+[27]B!$H$5</f>
        <v>61236</v>
      </c>
      <c r="I41" s="158">
        <v>0</v>
      </c>
      <c r="J41" s="157"/>
      <c r="K41" s="159">
        <f t="shared" si="3"/>
        <v>61236</v>
      </c>
    </row>
    <row r="42" spans="1:11" ht="18" customHeight="1">
      <c r="A42" s="151" t="s">
        <v>89</v>
      </c>
      <c r="B42" s="155" t="s">
        <v>11</v>
      </c>
      <c r="F42" s="156"/>
      <c r="G42" s="156"/>
      <c r="H42" s="157"/>
      <c r="I42" s="158">
        <v>0</v>
      </c>
      <c r="J42" s="157"/>
      <c r="K42" s="159">
        <f t="shared" si="3"/>
        <v>0</v>
      </c>
    </row>
    <row r="43" spans="1:11" ht="18" customHeight="1">
      <c r="A43" s="151" t="s">
        <v>90</v>
      </c>
      <c r="B43" s="166" t="s">
        <v>10</v>
      </c>
      <c r="C43" s="167"/>
      <c r="D43" s="167"/>
      <c r="F43" s="156"/>
      <c r="G43" s="156"/>
      <c r="H43" s="157"/>
      <c r="I43" s="158">
        <v>0</v>
      </c>
      <c r="J43" s="157"/>
      <c r="K43" s="159">
        <f t="shared" si="3"/>
        <v>0</v>
      </c>
    </row>
    <row r="44" spans="1:11" ht="18" customHeight="1">
      <c r="A44" s="151" t="s">
        <v>91</v>
      </c>
      <c r="B44" s="898" t="s">
        <v>611</v>
      </c>
      <c r="C44" s="899"/>
      <c r="D44" s="900"/>
      <c r="F44" s="168">
        <f>+[27]B!$D$9</f>
        <v>2080</v>
      </c>
      <c r="G44" s="168"/>
      <c r="H44" s="168">
        <f>+[27]B!$J$11</f>
        <v>71620</v>
      </c>
      <c r="I44" s="169">
        <v>0</v>
      </c>
      <c r="J44" s="168"/>
      <c r="K44" s="170">
        <f t="shared" si="3"/>
        <v>71620</v>
      </c>
    </row>
    <row r="45" spans="1:11" ht="18" customHeight="1">
      <c r="A45" s="151" t="s">
        <v>139</v>
      </c>
      <c r="B45" s="898"/>
      <c r="C45" s="899"/>
      <c r="D45" s="900"/>
      <c r="F45" s="156"/>
      <c r="G45" s="156"/>
      <c r="H45" s="157"/>
      <c r="I45" s="158">
        <v>0</v>
      </c>
      <c r="J45" s="157"/>
      <c r="K45" s="159">
        <f t="shared" si="3"/>
        <v>0</v>
      </c>
    </row>
    <row r="46" spans="1:11" ht="18" customHeight="1">
      <c r="A46" s="151" t="s">
        <v>140</v>
      </c>
      <c r="B46" s="898"/>
      <c r="C46" s="899"/>
      <c r="D46" s="900"/>
      <c r="F46" s="156"/>
      <c r="G46" s="156"/>
      <c r="H46" s="157"/>
      <c r="I46" s="158">
        <v>0</v>
      </c>
      <c r="J46" s="157"/>
      <c r="K46" s="159">
        <f t="shared" si="3"/>
        <v>0</v>
      </c>
    </row>
    <row r="47" spans="1:11" ht="18" customHeight="1">
      <c r="A47" s="151" t="s">
        <v>141</v>
      </c>
      <c r="B47" s="898"/>
      <c r="C47" s="899"/>
      <c r="D47" s="900"/>
      <c r="F47" s="156"/>
      <c r="G47" s="156"/>
      <c r="H47" s="157"/>
      <c r="I47" s="158">
        <v>0</v>
      </c>
      <c r="J47" s="157"/>
      <c r="K47" s="159">
        <f t="shared" si="3"/>
        <v>0</v>
      </c>
    </row>
    <row r="49" spans="1:11" ht="18" customHeight="1">
      <c r="A49" s="154" t="s">
        <v>142</v>
      </c>
      <c r="B49" s="150" t="s">
        <v>143</v>
      </c>
      <c r="E49" s="150" t="s">
        <v>7</v>
      </c>
      <c r="F49" s="171">
        <f t="shared" ref="F49:K49" si="4">SUM(F40:F47)</f>
        <v>104486.09443712411</v>
      </c>
      <c r="G49" s="171">
        <f t="shared" si="4"/>
        <v>0</v>
      </c>
      <c r="H49" s="159">
        <f t="shared" si="4"/>
        <v>4161221.45</v>
      </c>
      <c r="I49" s="159">
        <f t="shared" si="4"/>
        <v>0</v>
      </c>
      <c r="J49" s="159">
        <f t="shared" si="4"/>
        <v>0</v>
      </c>
      <c r="K49" s="159">
        <f t="shared" si="4"/>
        <v>4161221.45</v>
      </c>
    </row>
    <row r="50" spans="1:11" ht="18" customHeight="1" thickBot="1">
      <c r="G50" s="172"/>
      <c r="H50" s="172"/>
      <c r="I50" s="172"/>
      <c r="J50" s="172"/>
      <c r="K50" s="172"/>
    </row>
    <row r="51" spans="1:11" ht="42.75" customHeight="1">
      <c r="F51" s="153" t="s">
        <v>9</v>
      </c>
      <c r="G51" s="153" t="s">
        <v>37</v>
      </c>
      <c r="H51" s="153" t="s">
        <v>29</v>
      </c>
      <c r="I51" s="153" t="s">
        <v>30</v>
      </c>
      <c r="J51" s="153" t="s">
        <v>33</v>
      </c>
      <c r="K51" s="153" t="s">
        <v>34</v>
      </c>
    </row>
    <row r="52" spans="1:11" ht="18" customHeight="1">
      <c r="A52" s="154" t="s">
        <v>92</v>
      </c>
      <c r="B52" s="905" t="s">
        <v>38</v>
      </c>
      <c r="C52" s="906"/>
    </row>
    <row r="53" spans="1:11" ht="18" customHeight="1">
      <c r="A53" s="151" t="s">
        <v>51</v>
      </c>
      <c r="B53" s="908"/>
      <c r="C53" s="909"/>
      <c r="D53" s="903"/>
      <c r="F53" s="156"/>
      <c r="G53" s="156"/>
      <c r="H53" s="157"/>
      <c r="I53" s="158">
        <v>0</v>
      </c>
      <c r="J53" s="157"/>
      <c r="K53" s="159">
        <f t="shared" ref="K53:K62" si="5">(H53+I53)-J53</f>
        <v>0</v>
      </c>
    </row>
    <row r="54" spans="1:11" ht="18" customHeight="1">
      <c r="A54" s="151" t="s">
        <v>93</v>
      </c>
      <c r="B54" s="398" t="s">
        <v>610</v>
      </c>
      <c r="C54" s="397"/>
      <c r="D54" s="392"/>
      <c r="F54" s="156"/>
      <c r="G54" s="156"/>
      <c r="H54" s="157">
        <f>+'[29]Comparison to FY14'!$S$70</f>
        <v>18228905.345500004</v>
      </c>
      <c r="I54" s="158">
        <v>0</v>
      </c>
      <c r="J54" s="157"/>
      <c r="K54" s="159">
        <f t="shared" si="5"/>
        <v>18228905.345500004</v>
      </c>
    </row>
    <row r="55" spans="1:11" ht="18" customHeight="1">
      <c r="A55" s="151" t="s">
        <v>94</v>
      </c>
      <c r="B55" s="901"/>
      <c r="C55" s="902"/>
      <c r="D55" s="903"/>
      <c r="F55" s="156"/>
      <c r="G55" s="156"/>
      <c r="H55" s="157"/>
      <c r="I55" s="158">
        <v>0</v>
      </c>
      <c r="J55" s="157"/>
      <c r="K55" s="159">
        <f t="shared" si="5"/>
        <v>0</v>
      </c>
    </row>
    <row r="56" spans="1:11" ht="18" customHeight="1">
      <c r="A56" s="151" t="s">
        <v>95</v>
      </c>
      <c r="B56" s="901"/>
      <c r="C56" s="902"/>
      <c r="D56" s="903"/>
      <c r="F56" s="156"/>
      <c r="G56" s="156"/>
      <c r="H56" s="157"/>
      <c r="I56" s="158">
        <v>0</v>
      </c>
      <c r="J56" s="157"/>
      <c r="K56" s="159">
        <f t="shared" si="5"/>
        <v>0</v>
      </c>
    </row>
    <row r="57" spans="1:11" ht="18" customHeight="1">
      <c r="A57" s="151" t="s">
        <v>96</v>
      </c>
      <c r="B57" s="901"/>
      <c r="C57" s="902"/>
      <c r="D57" s="903"/>
      <c r="F57" s="156"/>
      <c r="G57" s="156"/>
      <c r="H57" s="157"/>
      <c r="I57" s="158">
        <v>0</v>
      </c>
      <c r="J57" s="157"/>
      <c r="K57" s="159">
        <f t="shared" si="5"/>
        <v>0</v>
      </c>
    </row>
    <row r="58" spans="1:11" ht="18" customHeight="1">
      <c r="A58" s="151" t="s">
        <v>97</v>
      </c>
      <c r="B58" s="396"/>
      <c r="C58" s="397"/>
      <c r="D58" s="392"/>
      <c r="F58" s="156"/>
      <c r="G58" s="156"/>
      <c r="H58" s="157"/>
      <c r="I58" s="158">
        <v>0</v>
      </c>
      <c r="J58" s="157"/>
      <c r="K58" s="159">
        <f t="shared" si="5"/>
        <v>0</v>
      </c>
    </row>
    <row r="59" spans="1:11" ht="18" customHeight="1">
      <c r="A59" s="151" t="s">
        <v>98</v>
      </c>
      <c r="B59" s="901"/>
      <c r="C59" s="902"/>
      <c r="D59" s="903"/>
      <c r="F59" s="156"/>
      <c r="G59" s="156"/>
      <c r="H59" s="157"/>
      <c r="I59" s="158">
        <v>0</v>
      </c>
      <c r="J59" s="157"/>
      <c r="K59" s="159">
        <f t="shared" si="5"/>
        <v>0</v>
      </c>
    </row>
    <row r="60" spans="1:11" ht="18" customHeight="1">
      <c r="A60" s="151" t="s">
        <v>99</v>
      </c>
      <c r="B60" s="396"/>
      <c r="C60" s="397"/>
      <c r="D60" s="392"/>
      <c r="F60" s="156"/>
      <c r="G60" s="156"/>
      <c r="H60" s="157"/>
      <c r="I60" s="158">
        <v>0</v>
      </c>
      <c r="J60" s="157"/>
      <c r="K60" s="159">
        <f t="shared" si="5"/>
        <v>0</v>
      </c>
    </row>
    <row r="61" spans="1:11" ht="18" customHeight="1">
      <c r="A61" s="151" t="s">
        <v>100</v>
      </c>
      <c r="B61" s="396"/>
      <c r="C61" s="397"/>
      <c r="D61" s="392"/>
      <c r="F61" s="156"/>
      <c r="G61" s="156"/>
      <c r="H61" s="157"/>
      <c r="I61" s="158">
        <v>0</v>
      </c>
      <c r="J61" s="157"/>
      <c r="K61" s="159">
        <f t="shared" si="5"/>
        <v>0</v>
      </c>
    </row>
    <row r="62" spans="1:11" ht="18" customHeight="1">
      <c r="A62" s="151" t="s">
        <v>101</v>
      </c>
      <c r="B62" s="901"/>
      <c r="C62" s="902"/>
      <c r="D62" s="903"/>
      <c r="F62" s="156"/>
      <c r="G62" s="156"/>
      <c r="H62" s="157"/>
      <c r="I62" s="158">
        <v>0</v>
      </c>
      <c r="J62" s="157"/>
      <c r="K62" s="159">
        <f t="shared" si="5"/>
        <v>0</v>
      </c>
    </row>
    <row r="63" spans="1:11" ht="18" customHeight="1">
      <c r="A63" s="151"/>
      <c r="I63" s="173"/>
    </row>
    <row r="64" spans="1:11" ht="18" customHeight="1">
      <c r="A64" s="151" t="s">
        <v>144</v>
      </c>
      <c r="B64" s="150" t="s">
        <v>145</v>
      </c>
      <c r="E64" s="150" t="s">
        <v>7</v>
      </c>
      <c r="F64" s="162">
        <f t="shared" ref="F64:K64" si="6">SUM(F53:F62)</f>
        <v>0</v>
      </c>
      <c r="G64" s="162">
        <f t="shared" si="6"/>
        <v>0</v>
      </c>
      <c r="H64" s="159">
        <f t="shared" si="6"/>
        <v>18228905.345500004</v>
      </c>
      <c r="I64" s="159">
        <f t="shared" si="6"/>
        <v>0</v>
      </c>
      <c r="J64" s="159">
        <f t="shared" si="6"/>
        <v>0</v>
      </c>
      <c r="K64" s="159">
        <f t="shared" si="6"/>
        <v>18228905.345500004</v>
      </c>
    </row>
    <row r="65" spans="1:11" ht="18" customHeight="1">
      <c r="F65" s="174"/>
      <c r="G65" s="174"/>
      <c r="H65" s="174"/>
      <c r="I65" s="174"/>
      <c r="J65" s="174"/>
      <c r="K65" s="174"/>
    </row>
    <row r="66" spans="1:11" ht="42.75" customHeight="1">
      <c r="F66" s="175" t="s">
        <v>9</v>
      </c>
      <c r="G66" s="175" t="s">
        <v>37</v>
      </c>
      <c r="H66" s="175" t="s">
        <v>29</v>
      </c>
      <c r="I66" s="175" t="s">
        <v>30</v>
      </c>
      <c r="J66" s="175" t="s">
        <v>33</v>
      </c>
      <c r="K66" s="175" t="s">
        <v>34</v>
      </c>
    </row>
    <row r="67" spans="1:11" ht="18" customHeight="1">
      <c r="A67" s="154" t="s">
        <v>102</v>
      </c>
      <c r="B67" s="150" t="s">
        <v>12</v>
      </c>
      <c r="F67" s="176"/>
      <c r="G67" s="176"/>
      <c r="H67" s="176"/>
      <c r="I67" s="177"/>
      <c r="J67" s="176"/>
      <c r="K67" s="178"/>
    </row>
    <row r="68" spans="1:11" ht="18" customHeight="1">
      <c r="A68" s="151" t="s">
        <v>103</v>
      </c>
      <c r="B68" s="147" t="s">
        <v>52</v>
      </c>
      <c r="F68" s="179"/>
      <c r="G68" s="179"/>
      <c r="H68" s="179"/>
      <c r="I68" s="158">
        <v>0</v>
      </c>
      <c r="J68" s="179"/>
      <c r="K68" s="159">
        <f>(H68+I68)-J68</f>
        <v>0</v>
      </c>
    </row>
    <row r="69" spans="1:11" ht="18" customHeight="1">
      <c r="A69" s="151" t="s">
        <v>104</v>
      </c>
      <c r="B69" s="155" t="s">
        <v>53</v>
      </c>
      <c r="F69" s="179"/>
      <c r="G69" s="179"/>
      <c r="H69" s="179"/>
      <c r="I69" s="158">
        <v>0</v>
      </c>
      <c r="J69" s="179"/>
      <c r="K69" s="159">
        <f>(H69+I69)-J69</f>
        <v>0</v>
      </c>
    </row>
    <row r="70" spans="1:11" ht="18" customHeight="1">
      <c r="A70" s="151" t="s">
        <v>178</v>
      </c>
      <c r="B70" s="396"/>
      <c r="C70" s="397"/>
      <c r="D70" s="392"/>
      <c r="E70" s="150"/>
      <c r="F70" s="180"/>
      <c r="G70" s="180"/>
      <c r="H70" s="181"/>
      <c r="I70" s="158">
        <v>0</v>
      </c>
      <c r="J70" s="181"/>
      <c r="K70" s="159">
        <f>(H70+I70)-J70</f>
        <v>0</v>
      </c>
    </row>
    <row r="71" spans="1:11" ht="18" customHeight="1">
      <c r="A71" s="151" t="s">
        <v>179</v>
      </c>
      <c r="B71" s="396"/>
      <c r="C71" s="397"/>
      <c r="D71" s="392"/>
      <c r="E71" s="150"/>
      <c r="F71" s="180"/>
      <c r="G71" s="180"/>
      <c r="H71" s="181"/>
      <c r="I71" s="158">
        <v>0</v>
      </c>
      <c r="J71" s="181"/>
      <c r="K71" s="159">
        <f>(H71+I71)-J71</f>
        <v>0</v>
      </c>
    </row>
    <row r="72" spans="1:11" ht="18" customHeight="1">
      <c r="A72" s="151" t="s">
        <v>180</v>
      </c>
      <c r="B72" s="390"/>
      <c r="C72" s="391"/>
      <c r="D72" s="182"/>
      <c r="E72" s="150"/>
      <c r="F72" s="156"/>
      <c r="G72" s="156"/>
      <c r="H72" s="157"/>
      <c r="I72" s="158">
        <v>0</v>
      </c>
      <c r="J72" s="157"/>
      <c r="K72" s="159">
        <f>(H72+I72)-J72</f>
        <v>0</v>
      </c>
    </row>
    <row r="73" spans="1:11" ht="18" customHeight="1">
      <c r="A73" s="151"/>
      <c r="B73" s="155"/>
      <c r="E73" s="150"/>
      <c r="F73" s="183"/>
      <c r="G73" s="183"/>
      <c r="H73" s="184"/>
      <c r="I73" s="177"/>
      <c r="J73" s="184"/>
      <c r="K73" s="178"/>
    </row>
    <row r="74" spans="1:11" ht="18" customHeight="1">
      <c r="A74" s="154" t="s">
        <v>146</v>
      </c>
      <c r="B74" s="150" t="s">
        <v>147</v>
      </c>
      <c r="E74" s="150" t="s">
        <v>7</v>
      </c>
      <c r="F74" s="185">
        <f t="shared" ref="F74:K74" si="7">SUM(F68:F72)</f>
        <v>0</v>
      </c>
      <c r="G74" s="185">
        <f t="shared" si="7"/>
        <v>0</v>
      </c>
      <c r="H74" s="185">
        <f t="shared" si="7"/>
        <v>0</v>
      </c>
      <c r="I74" s="186">
        <f t="shared" si="7"/>
        <v>0</v>
      </c>
      <c r="J74" s="185">
        <f t="shared" si="7"/>
        <v>0</v>
      </c>
      <c r="K74" s="187">
        <f t="shared" si="7"/>
        <v>0</v>
      </c>
    </row>
    <row r="75" spans="1:11" ht="42.75" customHeight="1">
      <c r="F75" s="153" t="s">
        <v>9</v>
      </c>
      <c r="G75" s="153" t="s">
        <v>37</v>
      </c>
      <c r="H75" s="153" t="s">
        <v>29</v>
      </c>
      <c r="I75" s="153" t="s">
        <v>30</v>
      </c>
      <c r="J75" s="153" t="s">
        <v>33</v>
      </c>
      <c r="K75" s="153" t="s">
        <v>34</v>
      </c>
    </row>
    <row r="76" spans="1:11" ht="18" customHeight="1">
      <c r="A76" s="154" t="s">
        <v>105</v>
      </c>
      <c r="B76" s="150" t="s">
        <v>106</v>
      </c>
    </row>
    <row r="77" spans="1:11" ht="18" customHeight="1">
      <c r="A77" s="151" t="s">
        <v>107</v>
      </c>
      <c r="B77" s="155" t="s">
        <v>54</v>
      </c>
      <c r="F77" s="156"/>
      <c r="G77" s="156"/>
      <c r="H77" s="157">
        <f>+[27]E!$G$10</f>
        <v>38330</v>
      </c>
      <c r="I77" s="158">
        <v>0</v>
      </c>
      <c r="J77" s="157"/>
      <c r="K77" s="159">
        <f>(H77+I77)-J77</f>
        <v>38330</v>
      </c>
    </row>
    <row r="78" spans="1:11" ht="18" customHeight="1">
      <c r="A78" s="151" t="s">
        <v>108</v>
      </c>
      <c r="B78" s="155" t="s">
        <v>55</v>
      </c>
      <c r="F78" s="156"/>
      <c r="G78" s="156"/>
      <c r="H78" s="157"/>
      <c r="I78" s="158">
        <v>0</v>
      </c>
      <c r="J78" s="157"/>
      <c r="K78" s="159">
        <f>(H78+I78)-J78</f>
        <v>0</v>
      </c>
    </row>
    <row r="79" spans="1:11" ht="18" customHeight="1">
      <c r="A79" s="151" t="s">
        <v>109</v>
      </c>
      <c r="B79" s="155" t="s">
        <v>13</v>
      </c>
      <c r="F79" s="156"/>
      <c r="G79" s="156"/>
      <c r="H79" s="157">
        <f>+[27]E!$G$18+[27]E!$G$23+[27]E!$G$27+[27]E!$G$32</f>
        <v>76462.36</v>
      </c>
      <c r="I79" s="158">
        <v>0</v>
      </c>
      <c r="J79" s="157"/>
      <c r="K79" s="159">
        <f>(H79+I79)-J79</f>
        <v>76462.36</v>
      </c>
    </row>
    <row r="80" spans="1:11" ht="18" customHeight="1">
      <c r="A80" s="151" t="s">
        <v>110</v>
      </c>
      <c r="B80" s="155" t="s">
        <v>56</v>
      </c>
      <c r="F80" s="156"/>
      <c r="G80" s="156"/>
      <c r="H80" s="157"/>
      <c r="I80" s="158">
        <v>0</v>
      </c>
      <c r="J80" s="157"/>
      <c r="K80" s="159">
        <f>(H80+I80)-J80</f>
        <v>0</v>
      </c>
    </row>
    <row r="81" spans="1:11" ht="18" customHeight="1">
      <c r="A81" s="151"/>
      <c r="K81" s="188"/>
    </row>
    <row r="82" spans="1:11" ht="18" customHeight="1">
      <c r="A82" s="151" t="s">
        <v>148</v>
      </c>
      <c r="B82" s="150" t="s">
        <v>149</v>
      </c>
      <c r="E82" s="150" t="s">
        <v>7</v>
      </c>
      <c r="F82" s="185">
        <f t="shared" ref="F82:K82" si="8">SUM(F77:F80)</f>
        <v>0</v>
      </c>
      <c r="G82" s="185">
        <f t="shared" si="8"/>
        <v>0</v>
      </c>
      <c r="H82" s="187">
        <f t="shared" si="8"/>
        <v>114792.36</v>
      </c>
      <c r="I82" s="187">
        <f t="shared" si="8"/>
        <v>0</v>
      </c>
      <c r="J82" s="187">
        <f t="shared" si="8"/>
        <v>0</v>
      </c>
      <c r="K82" s="187">
        <f t="shared" si="8"/>
        <v>114792.36</v>
      </c>
    </row>
    <row r="83" spans="1:11" ht="18" customHeight="1" thickBot="1">
      <c r="A83" s="151"/>
      <c r="F83" s="172"/>
      <c r="G83" s="172"/>
      <c r="H83" s="172"/>
      <c r="I83" s="172"/>
      <c r="J83" s="172"/>
      <c r="K83" s="172"/>
    </row>
    <row r="84" spans="1:11" ht="42.75" customHeight="1">
      <c r="F84" s="153" t="s">
        <v>9</v>
      </c>
      <c r="G84" s="153" t="s">
        <v>37</v>
      </c>
      <c r="H84" s="153" t="s">
        <v>29</v>
      </c>
      <c r="I84" s="153" t="s">
        <v>30</v>
      </c>
      <c r="J84" s="153" t="s">
        <v>33</v>
      </c>
      <c r="K84" s="153" t="s">
        <v>34</v>
      </c>
    </row>
    <row r="85" spans="1:11" ht="18" customHeight="1">
      <c r="A85" s="154" t="s">
        <v>111</v>
      </c>
      <c r="B85" s="150" t="s">
        <v>57</v>
      </c>
    </row>
    <row r="86" spans="1:11" ht="18" customHeight="1">
      <c r="A86" s="151" t="s">
        <v>112</v>
      </c>
      <c r="B86" s="155" t="s">
        <v>113</v>
      </c>
      <c r="F86" s="156"/>
      <c r="G86" s="156"/>
      <c r="H86" s="157"/>
      <c r="I86" s="158">
        <f t="shared" ref="I86:I96" si="9">H86*F$114</f>
        <v>0</v>
      </c>
      <c r="J86" s="157"/>
      <c r="K86" s="159">
        <f t="shared" ref="K86:K96" si="10">(H86+I86)-J86</f>
        <v>0</v>
      </c>
    </row>
    <row r="87" spans="1:11" ht="18" customHeight="1">
      <c r="A87" s="151" t="s">
        <v>114</v>
      </c>
      <c r="B87" s="155" t="s">
        <v>14</v>
      </c>
      <c r="F87" s="156"/>
      <c r="G87" s="156"/>
      <c r="H87" s="157"/>
      <c r="I87" s="158">
        <f t="shared" si="9"/>
        <v>0</v>
      </c>
      <c r="J87" s="157"/>
      <c r="K87" s="159">
        <f t="shared" si="10"/>
        <v>0</v>
      </c>
    </row>
    <row r="88" spans="1:11" ht="18" customHeight="1">
      <c r="A88" s="151" t="s">
        <v>115</v>
      </c>
      <c r="B88" s="155" t="s">
        <v>116</v>
      </c>
      <c r="F88" s="156"/>
      <c r="G88" s="156"/>
      <c r="H88" s="157"/>
      <c r="I88" s="158">
        <f t="shared" si="9"/>
        <v>0</v>
      </c>
      <c r="J88" s="157"/>
      <c r="K88" s="159">
        <f t="shared" si="10"/>
        <v>0</v>
      </c>
    </row>
    <row r="89" spans="1:11" ht="18" customHeight="1">
      <c r="A89" s="151" t="s">
        <v>117</v>
      </c>
      <c r="B89" s="155" t="s">
        <v>58</v>
      </c>
      <c r="F89" s="156">
        <f>+[27]F!$H$25</f>
        <v>13</v>
      </c>
      <c r="G89" s="156"/>
      <c r="H89" s="157">
        <f>+[27]F!$L$25</f>
        <v>568.75</v>
      </c>
      <c r="I89" s="158">
        <f t="shared" si="9"/>
        <v>244.67625000000001</v>
      </c>
      <c r="J89" s="157"/>
      <c r="K89" s="159">
        <f t="shared" si="10"/>
        <v>813.42624999999998</v>
      </c>
    </row>
    <row r="90" spans="1:11" ht="18" customHeight="1">
      <c r="A90" s="151" t="s">
        <v>118</v>
      </c>
      <c r="B90" s="904" t="s">
        <v>59</v>
      </c>
      <c r="C90" s="907"/>
      <c r="F90" s="156"/>
      <c r="G90" s="156"/>
      <c r="H90" s="157"/>
      <c r="I90" s="158">
        <f t="shared" si="9"/>
        <v>0</v>
      </c>
      <c r="J90" s="157"/>
      <c r="K90" s="159">
        <f t="shared" si="10"/>
        <v>0</v>
      </c>
    </row>
    <row r="91" spans="1:11" ht="18" customHeight="1">
      <c r="A91" s="151" t="s">
        <v>119</v>
      </c>
      <c r="B91" s="155" t="s">
        <v>60</v>
      </c>
      <c r="F91" s="156"/>
      <c r="G91" s="156"/>
      <c r="H91" s="157"/>
      <c r="I91" s="158">
        <f t="shared" si="9"/>
        <v>0</v>
      </c>
      <c r="J91" s="157"/>
      <c r="K91" s="159">
        <f t="shared" si="10"/>
        <v>0</v>
      </c>
    </row>
    <row r="92" spans="1:11" ht="18" customHeight="1">
      <c r="A92" s="151" t="s">
        <v>120</v>
      </c>
      <c r="B92" s="155" t="s">
        <v>121</v>
      </c>
      <c r="F92" s="189"/>
      <c r="G92" s="189"/>
      <c r="H92" s="190"/>
      <c r="I92" s="158">
        <f t="shared" si="9"/>
        <v>0</v>
      </c>
      <c r="J92" s="190"/>
      <c r="K92" s="159">
        <f t="shared" si="10"/>
        <v>0</v>
      </c>
    </row>
    <row r="93" spans="1:11" ht="18" customHeight="1">
      <c r="A93" s="151" t="s">
        <v>122</v>
      </c>
      <c r="B93" s="155" t="s">
        <v>123</v>
      </c>
      <c r="F93" s="156">
        <f>+[27]F!$H$9</f>
        <v>936</v>
      </c>
      <c r="G93" s="156"/>
      <c r="H93" s="157">
        <f>+[27]F!$L$9</f>
        <v>39273</v>
      </c>
      <c r="I93" s="158">
        <f t="shared" si="9"/>
        <v>16895.244600000002</v>
      </c>
      <c r="J93" s="157"/>
      <c r="K93" s="159">
        <f t="shared" si="10"/>
        <v>56168.244600000005</v>
      </c>
    </row>
    <row r="94" spans="1:11" ht="18" customHeight="1">
      <c r="A94" s="151" t="s">
        <v>124</v>
      </c>
      <c r="B94" s="901"/>
      <c r="C94" s="902"/>
      <c r="D94" s="903"/>
      <c r="F94" s="156"/>
      <c r="G94" s="156"/>
      <c r="H94" s="157"/>
      <c r="I94" s="158">
        <f t="shared" si="9"/>
        <v>0</v>
      </c>
      <c r="J94" s="157"/>
      <c r="K94" s="159">
        <f t="shared" si="10"/>
        <v>0</v>
      </c>
    </row>
    <row r="95" spans="1:11" ht="18" customHeight="1">
      <c r="A95" s="151" t="s">
        <v>125</v>
      </c>
      <c r="B95" s="901"/>
      <c r="C95" s="902"/>
      <c r="D95" s="903"/>
      <c r="F95" s="156"/>
      <c r="G95" s="156"/>
      <c r="H95" s="157"/>
      <c r="I95" s="158">
        <f t="shared" si="9"/>
        <v>0</v>
      </c>
      <c r="J95" s="157"/>
      <c r="K95" s="159">
        <f t="shared" si="10"/>
        <v>0</v>
      </c>
    </row>
    <row r="96" spans="1:11" ht="18" customHeight="1">
      <c r="A96" s="151" t="s">
        <v>126</v>
      </c>
      <c r="B96" s="901"/>
      <c r="C96" s="902"/>
      <c r="D96" s="903"/>
      <c r="F96" s="156"/>
      <c r="G96" s="156"/>
      <c r="H96" s="157"/>
      <c r="I96" s="158">
        <f t="shared" si="9"/>
        <v>0</v>
      </c>
      <c r="J96" s="157"/>
      <c r="K96" s="159">
        <f t="shared" si="10"/>
        <v>0</v>
      </c>
    </row>
    <row r="97" spans="1:11" ht="18" customHeight="1">
      <c r="A97" s="151"/>
      <c r="B97" s="155"/>
    </row>
    <row r="98" spans="1:11" ht="18" customHeight="1">
      <c r="A98" s="154" t="s">
        <v>150</v>
      </c>
      <c r="B98" s="150" t="s">
        <v>151</v>
      </c>
      <c r="E98" s="150" t="s">
        <v>7</v>
      </c>
      <c r="F98" s="162">
        <f t="shared" ref="F98:K98" si="11">SUM(F86:F96)</f>
        <v>949</v>
      </c>
      <c r="G98" s="162">
        <f t="shared" si="11"/>
        <v>0</v>
      </c>
      <c r="H98" s="162">
        <f t="shared" si="11"/>
        <v>39841.75</v>
      </c>
      <c r="I98" s="162">
        <f t="shared" si="11"/>
        <v>17139.920850000002</v>
      </c>
      <c r="J98" s="162">
        <f t="shared" si="11"/>
        <v>0</v>
      </c>
      <c r="K98" s="162">
        <f t="shared" si="11"/>
        <v>56981.670850000002</v>
      </c>
    </row>
    <row r="99" spans="1:11" ht="18" customHeight="1" thickBot="1">
      <c r="B99" s="150"/>
      <c r="F99" s="172"/>
      <c r="G99" s="172"/>
      <c r="H99" s="172"/>
      <c r="I99" s="172"/>
      <c r="J99" s="172"/>
      <c r="K99" s="172"/>
    </row>
    <row r="100" spans="1:11" ht="42.75" customHeight="1">
      <c r="F100" s="153" t="s">
        <v>9</v>
      </c>
      <c r="G100" s="153" t="s">
        <v>37</v>
      </c>
      <c r="H100" s="153" t="s">
        <v>29</v>
      </c>
      <c r="I100" s="153" t="s">
        <v>30</v>
      </c>
      <c r="J100" s="153" t="s">
        <v>33</v>
      </c>
      <c r="K100" s="153" t="s">
        <v>34</v>
      </c>
    </row>
    <row r="101" spans="1:11" ht="18" customHeight="1">
      <c r="A101" s="154" t="s">
        <v>130</v>
      </c>
      <c r="B101" s="150" t="s">
        <v>63</v>
      </c>
    </row>
    <row r="102" spans="1:11" ht="18" customHeight="1">
      <c r="A102" s="151" t="s">
        <v>131</v>
      </c>
      <c r="B102" s="155" t="s">
        <v>152</v>
      </c>
      <c r="F102" s="156">
        <f>+[27]G!$D$5</f>
        <v>156</v>
      </c>
      <c r="G102" s="156"/>
      <c r="H102" s="157">
        <f>+[27]G!$I$5</f>
        <v>11844.3</v>
      </c>
      <c r="I102" s="158">
        <f>H102*F$114</f>
        <v>5095.4178599999996</v>
      </c>
      <c r="J102" s="157"/>
      <c r="K102" s="159">
        <f>(H102+I102)-J102</f>
        <v>16939.717859999997</v>
      </c>
    </row>
    <row r="103" spans="1:11" ht="18" customHeight="1">
      <c r="A103" s="151" t="s">
        <v>132</v>
      </c>
      <c r="B103" s="904" t="s">
        <v>62</v>
      </c>
      <c r="C103" s="904"/>
      <c r="F103" s="156">
        <f>+[27]G!$D$11</f>
        <v>156</v>
      </c>
      <c r="G103" s="156"/>
      <c r="H103" s="157">
        <f>+[27]G!$I$10</f>
        <v>11844.3</v>
      </c>
      <c r="I103" s="158">
        <f>H103*F$114</f>
        <v>5095.4178599999996</v>
      </c>
      <c r="J103" s="157"/>
      <c r="K103" s="159">
        <f>(H103+I103)-J103</f>
        <v>16939.717859999997</v>
      </c>
    </row>
    <row r="104" spans="1:11" ht="18" customHeight="1">
      <c r="A104" s="151" t="s">
        <v>128</v>
      </c>
      <c r="B104" s="901"/>
      <c r="C104" s="902"/>
      <c r="D104" s="903"/>
      <c r="F104" s="156"/>
      <c r="G104" s="156"/>
      <c r="H104" s="157"/>
      <c r="I104" s="158">
        <f>H104*F$114</f>
        <v>0</v>
      </c>
      <c r="J104" s="157"/>
      <c r="K104" s="159">
        <f>(H104+I104)-J104</f>
        <v>0</v>
      </c>
    </row>
    <row r="105" spans="1:11" ht="18" customHeight="1">
      <c r="A105" s="151" t="s">
        <v>127</v>
      </c>
      <c r="B105" s="901"/>
      <c r="C105" s="902"/>
      <c r="D105" s="903"/>
      <c r="F105" s="156"/>
      <c r="G105" s="156"/>
      <c r="H105" s="157"/>
      <c r="I105" s="158">
        <f>H105*F$114</f>
        <v>0</v>
      </c>
      <c r="J105" s="157"/>
      <c r="K105" s="159">
        <f>(H105+I105)-J105</f>
        <v>0</v>
      </c>
    </row>
    <row r="106" spans="1:11" ht="18" customHeight="1">
      <c r="A106" s="151" t="s">
        <v>129</v>
      </c>
      <c r="B106" s="901"/>
      <c r="C106" s="902"/>
      <c r="D106" s="903"/>
      <c r="F106" s="156"/>
      <c r="G106" s="156"/>
      <c r="H106" s="157"/>
      <c r="I106" s="158">
        <f>H106*F$114</f>
        <v>0</v>
      </c>
      <c r="J106" s="157"/>
      <c r="K106" s="159">
        <f>(H106+I106)-J106</f>
        <v>0</v>
      </c>
    </row>
    <row r="107" spans="1:11" ht="18" customHeight="1">
      <c r="B107" s="150"/>
    </row>
    <row r="108" spans="1:11" s="167" customFormat="1" ht="18" customHeight="1">
      <c r="A108" s="154" t="s">
        <v>153</v>
      </c>
      <c r="B108" s="191" t="s">
        <v>154</v>
      </c>
      <c r="C108" s="147"/>
      <c r="D108" s="147"/>
      <c r="E108" s="150" t="s">
        <v>7</v>
      </c>
      <c r="F108" s="162">
        <f t="shared" ref="F108:K108" si="12">SUM(F102:F106)</f>
        <v>312</v>
      </c>
      <c r="G108" s="162">
        <f t="shared" si="12"/>
        <v>0</v>
      </c>
      <c r="H108" s="159">
        <f t="shared" si="12"/>
        <v>23688.6</v>
      </c>
      <c r="I108" s="159">
        <f t="shared" si="12"/>
        <v>10190.835719999999</v>
      </c>
      <c r="J108" s="159">
        <f t="shared" si="12"/>
        <v>0</v>
      </c>
      <c r="K108" s="159">
        <f t="shared" si="12"/>
        <v>33879.435719999994</v>
      </c>
    </row>
    <row r="109" spans="1:11" s="167" customFormat="1" ht="18" customHeight="1" thickBot="1">
      <c r="A109" s="192"/>
      <c r="B109" s="193"/>
      <c r="C109" s="194"/>
      <c r="D109" s="194"/>
      <c r="E109" s="194"/>
      <c r="F109" s="172"/>
      <c r="G109" s="172"/>
      <c r="H109" s="172"/>
      <c r="I109" s="172"/>
      <c r="J109" s="172"/>
      <c r="K109" s="172"/>
    </row>
    <row r="110" spans="1:11" s="167" customFormat="1" ht="18" customHeight="1">
      <c r="A110" s="154" t="s">
        <v>156</v>
      </c>
      <c r="B110" s="150" t="s">
        <v>39</v>
      </c>
      <c r="C110" s="147"/>
      <c r="D110" s="147"/>
      <c r="E110" s="147"/>
      <c r="F110" s="147"/>
      <c r="G110" s="147"/>
      <c r="H110" s="147"/>
      <c r="I110" s="147"/>
      <c r="J110" s="147"/>
      <c r="K110" s="147"/>
    </row>
    <row r="111" spans="1:11" ht="18" customHeight="1">
      <c r="A111" s="154" t="s">
        <v>155</v>
      </c>
      <c r="B111" s="150" t="s">
        <v>164</v>
      </c>
      <c r="E111" s="150" t="s">
        <v>7</v>
      </c>
      <c r="F111" s="157">
        <v>13771000</v>
      </c>
    </row>
    <row r="112" spans="1:11" ht="18" customHeight="1">
      <c r="B112" s="150"/>
      <c r="E112" s="150"/>
      <c r="F112" s="195"/>
    </row>
    <row r="113" spans="1:6" ht="18" customHeight="1">
      <c r="A113" s="154"/>
      <c r="B113" s="150" t="s">
        <v>15</v>
      </c>
    </row>
    <row r="114" spans="1:6" ht="18" customHeight="1">
      <c r="A114" s="151" t="s">
        <v>171</v>
      </c>
      <c r="B114" s="155" t="s">
        <v>35</v>
      </c>
      <c r="F114" s="196">
        <v>0.43020000000000003</v>
      </c>
    </row>
    <row r="115" spans="1:6" ht="18" customHeight="1">
      <c r="A115" s="151"/>
      <c r="B115" s="150"/>
    </row>
    <row r="116" spans="1:6" ht="18" customHeight="1">
      <c r="A116" s="151" t="s">
        <v>170</v>
      </c>
      <c r="B116" s="150" t="s">
        <v>16</v>
      </c>
    </row>
    <row r="117" spans="1:6" ht="18" customHeight="1">
      <c r="A117" s="151" t="s">
        <v>172</v>
      </c>
      <c r="B117" s="155" t="s">
        <v>17</v>
      </c>
      <c r="F117" s="157">
        <v>192246000</v>
      </c>
    </row>
    <row r="118" spans="1:6" ht="18" customHeight="1">
      <c r="A118" s="151" t="s">
        <v>173</v>
      </c>
      <c r="B118" s="147" t="s">
        <v>18</v>
      </c>
      <c r="F118" s="157">
        <v>1288000</v>
      </c>
    </row>
    <row r="119" spans="1:6" ht="18" customHeight="1">
      <c r="A119" s="151" t="s">
        <v>174</v>
      </c>
      <c r="B119" s="150" t="s">
        <v>19</v>
      </c>
      <c r="F119" s="187">
        <f>SUM(F117:F118)</f>
        <v>193534000</v>
      </c>
    </row>
    <row r="120" spans="1:6" ht="18" customHeight="1">
      <c r="A120" s="151"/>
      <c r="B120" s="150"/>
    </row>
    <row r="121" spans="1:6" ht="18" customHeight="1">
      <c r="A121" s="151" t="s">
        <v>167</v>
      </c>
      <c r="B121" s="150" t="s">
        <v>36</v>
      </c>
      <c r="F121" s="157">
        <v>192081024.80000001</v>
      </c>
    </row>
    <row r="122" spans="1:6" ht="18" customHeight="1">
      <c r="A122" s="151"/>
    </row>
    <row r="123" spans="1:6" ht="18" customHeight="1">
      <c r="A123" s="151" t="s">
        <v>175</v>
      </c>
      <c r="B123" s="150" t="s">
        <v>20</v>
      </c>
      <c r="F123" s="157">
        <v>1452613.02</v>
      </c>
    </row>
    <row r="124" spans="1:6" ht="18" customHeight="1">
      <c r="A124" s="151"/>
    </row>
    <row r="125" spans="1:6" ht="18" customHeight="1">
      <c r="A125" s="151" t="s">
        <v>176</v>
      </c>
      <c r="B125" s="150" t="s">
        <v>21</v>
      </c>
      <c r="F125" s="157">
        <v>-509000</v>
      </c>
    </row>
    <row r="126" spans="1:6" ht="18" customHeight="1">
      <c r="A126" s="151"/>
    </row>
    <row r="127" spans="1:6" ht="18" customHeight="1">
      <c r="A127" s="151" t="s">
        <v>177</v>
      </c>
      <c r="B127" s="150" t="s">
        <v>22</v>
      </c>
      <c r="F127" s="157">
        <f>+F123+F125</f>
        <v>943613.02</v>
      </c>
    </row>
    <row r="128" spans="1:6" ht="18" customHeight="1">
      <c r="A128" s="151"/>
    </row>
    <row r="129" spans="1:11" ht="42.75" customHeight="1">
      <c r="F129" s="153" t="s">
        <v>9</v>
      </c>
      <c r="G129" s="153" t="s">
        <v>37</v>
      </c>
      <c r="H129" s="153" t="s">
        <v>29</v>
      </c>
      <c r="I129" s="153" t="s">
        <v>30</v>
      </c>
      <c r="J129" s="153" t="s">
        <v>33</v>
      </c>
      <c r="K129" s="153" t="s">
        <v>34</v>
      </c>
    </row>
    <row r="130" spans="1:11" ht="18" customHeight="1">
      <c r="A130" s="154" t="s">
        <v>157</v>
      </c>
      <c r="B130" s="150" t="s">
        <v>23</v>
      </c>
    </row>
    <row r="131" spans="1:11" ht="18" customHeight="1">
      <c r="A131" s="151" t="s">
        <v>158</v>
      </c>
      <c r="B131" s="147" t="s">
        <v>24</v>
      </c>
      <c r="F131" s="156"/>
      <c r="G131" s="156"/>
      <c r="H131" s="157"/>
      <c r="I131" s="158">
        <v>0</v>
      </c>
      <c r="J131" s="157"/>
      <c r="K131" s="159">
        <f>(H131+I131)-J131</f>
        <v>0</v>
      </c>
    </row>
    <row r="132" spans="1:11" ht="18" customHeight="1">
      <c r="A132" s="151" t="s">
        <v>159</v>
      </c>
      <c r="B132" s="147" t="s">
        <v>25</v>
      </c>
      <c r="F132" s="156"/>
      <c r="G132" s="156"/>
      <c r="H132" s="157"/>
      <c r="I132" s="158">
        <v>0</v>
      </c>
      <c r="J132" s="157"/>
      <c r="K132" s="159">
        <f>(H132+I132)-J132</f>
        <v>0</v>
      </c>
    </row>
    <row r="133" spans="1:11" ht="18" customHeight="1">
      <c r="A133" s="151" t="s">
        <v>160</v>
      </c>
      <c r="B133" s="898"/>
      <c r="C133" s="899"/>
      <c r="D133" s="900"/>
      <c r="F133" s="156"/>
      <c r="G133" s="156"/>
      <c r="H133" s="157"/>
      <c r="I133" s="158">
        <v>0</v>
      </c>
      <c r="J133" s="157"/>
      <c r="K133" s="159">
        <f>(H133+I133)-J133</f>
        <v>0</v>
      </c>
    </row>
    <row r="134" spans="1:11" ht="18" customHeight="1">
      <c r="A134" s="151" t="s">
        <v>161</v>
      </c>
      <c r="B134" s="898"/>
      <c r="C134" s="899"/>
      <c r="D134" s="900"/>
      <c r="F134" s="156"/>
      <c r="G134" s="156"/>
      <c r="H134" s="157"/>
      <c r="I134" s="158">
        <v>0</v>
      </c>
      <c r="J134" s="157"/>
      <c r="K134" s="159">
        <f>(H134+I134)-J134</f>
        <v>0</v>
      </c>
    </row>
    <row r="135" spans="1:11" ht="18" customHeight="1">
      <c r="A135" s="151" t="s">
        <v>162</v>
      </c>
      <c r="B135" s="898"/>
      <c r="C135" s="899"/>
      <c r="D135" s="900"/>
      <c r="F135" s="156"/>
      <c r="G135" s="156"/>
      <c r="H135" s="157"/>
      <c r="I135" s="158">
        <v>0</v>
      </c>
      <c r="J135" s="157"/>
      <c r="K135" s="159">
        <f>(H135+I135)-J135</f>
        <v>0</v>
      </c>
    </row>
    <row r="136" spans="1:11" ht="18" customHeight="1">
      <c r="A136" s="154"/>
    </row>
    <row r="137" spans="1:11" ht="18" customHeight="1">
      <c r="A137" s="154" t="s">
        <v>163</v>
      </c>
      <c r="B137" s="150" t="s">
        <v>27</v>
      </c>
      <c r="F137" s="162">
        <f t="shared" ref="F137:K137" si="13">SUM(F131:F135)</f>
        <v>0</v>
      </c>
      <c r="G137" s="162">
        <f t="shared" si="13"/>
        <v>0</v>
      </c>
      <c r="H137" s="159">
        <f t="shared" si="13"/>
        <v>0</v>
      </c>
      <c r="I137" s="159">
        <f t="shared" si="13"/>
        <v>0</v>
      </c>
      <c r="J137" s="159">
        <f t="shared" si="13"/>
        <v>0</v>
      </c>
      <c r="K137" s="159">
        <f t="shared" si="13"/>
        <v>0</v>
      </c>
    </row>
    <row r="138" spans="1:11" ht="18" customHeight="1">
      <c r="A138" s="147"/>
    </row>
    <row r="139" spans="1:11" ht="42.75" customHeight="1">
      <c r="F139" s="153" t="s">
        <v>9</v>
      </c>
      <c r="G139" s="153" t="s">
        <v>37</v>
      </c>
      <c r="H139" s="153" t="s">
        <v>29</v>
      </c>
      <c r="I139" s="153" t="s">
        <v>30</v>
      </c>
      <c r="J139" s="153" t="s">
        <v>33</v>
      </c>
      <c r="K139" s="153" t="s">
        <v>34</v>
      </c>
    </row>
    <row r="140" spans="1:11" ht="18" customHeight="1">
      <c r="A140" s="154" t="s">
        <v>166</v>
      </c>
      <c r="B140" s="150" t="s">
        <v>26</v>
      </c>
    </row>
    <row r="141" spans="1:11" ht="18" customHeight="1">
      <c r="A141" s="151" t="s">
        <v>137</v>
      </c>
      <c r="B141" s="150" t="s">
        <v>64</v>
      </c>
      <c r="F141" s="197">
        <f t="shared" ref="F141:K141" si="14">F36</f>
        <v>18404.5</v>
      </c>
      <c r="G141" s="197">
        <f t="shared" si="14"/>
        <v>13716</v>
      </c>
      <c r="H141" s="197">
        <f t="shared" si="14"/>
        <v>839335.23199999984</v>
      </c>
      <c r="I141" s="197">
        <f t="shared" si="14"/>
        <v>361082.01680640003</v>
      </c>
      <c r="J141" s="197">
        <f t="shared" si="14"/>
        <v>0</v>
      </c>
      <c r="K141" s="197">
        <f t="shared" si="14"/>
        <v>1200417.2488064</v>
      </c>
    </row>
    <row r="142" spans="1:11" ht="18" customHeight="1">
      <c r="A142" s="151" t="s">
        <v>142</v>
      </c>
      <c r="B142" s="150" t="s">
        <v>65</v>
      </c>
      <c r="F142" s="197">
        <f t="shared" ref="F142:K142" si="15">F49</f>
        <v>104486.09443712411</v>
      </c>
      <c r="G142" s="197">
        <f t="shared" si="15"/>
        <v>0</v>
      </c>
      <c r="H142" s="197">
        <f t="shared" si="15"/>
        <v>4161221.45</v>
      </c>
      <c r="I142" s="197">
        <f t="shared" si="15"/>
        <v>0</v>
      </c>
      <c r="J142" s="197">
        <f t="shared" si="15"/>
        <v>0</v>
      </c>
      <c r="K142" s="197">
        <f t="shared" si="15"/>
        <v>4161221.45</v>
      </c>
    </row>
    <row r="143" spans="1:11" ht="18" customHeight="1">
      <c r="A143" s="151" t="s">
        <v>144</v>
      </c>
      <c r="B143" s="150" t="s">
        <v>66</v>
      </c>
      <c r="F143" s="197">
        <f t="shared" ref="F143:K143" si="16">F64</f>
        <v>0</v>
      </c>
      <c r="G143" s="197">
        <f t="shared" si="16"/>
        <v>0</v>
      </c>
      <c r="H143" s="197">
        <f t="shared" si="16"/>
        <v>18228905.345500004</v>
      </c>
      <c r="I143" s="197">
        <f t="shared" si="16"/>
        <v>0</v>
      </c>
      <c r="J143" s="197">
        <f t="shared" si="16"/>
        <v>0</v>
      </c>
      <c r="K143" s="197">
        <f t="shared" si="16"/>
        <v>18228905.345500004</v>
      </c>
    </row>
    <row r="144" spans="1:11" ht="18" customHeight="1">
      <c r="A144" s="151" t="s">
        <v>146</v>
      </c>
      <c r="B144" s="150" t="s">
        <v>67</v>
      </c>
      <c r="F144" s="197">
        <f t="shared" ref="F144:K144" si="17">F74</f>
        <v>0</v>
      </c>
      <c r="G144" s="197">
        <f t="shared" si="17"/>
        <v>0</v>
      </c>
      <c r="H144" s="197">
        <f t="shared" si="17"/>
        <v>0</v>
      </c>
      <c r="I144" s="197">
        <f t="shared" si="17"/>
        <v>0</v>
      </c>
      <c r="J144" s="197">
        <f t="shared" si="17"/>
        <v>0</v>
      </c>
      <c r="K144" s="197">
        <f t="shared" si="17"/>
        <v>0</v>
      </c>
    </row>
    <row r="145" spans="1:11" ht="18" customHeight="1">
      <c r="A145" s="151" t="s">
        <v>148</v>
      </c>
      <c r="B145" s="150" t="s">
        <v>68</v>
      </c>
      <c r="F145" s="197">
        <f t="shared" ref="F145:K145" si="18">F82</f>
        <v>0</v>
      </c>
      <c r="G145" s="197">
        <f t="shared" si="18"/>
        <v>0</v>
      </c>
      <c r="H145" s="197">
        <f t="shared" si="18"/>
        <v>114792.36</v>
      </c>
      <c r="I145" s="197">
        <f t="shared" si="18"/>
        <v>0</v>
      </c>
      <c r="J145" s="197">
        <f t="shared" si="18"/>
        <v>0</v>
      </c>
      <c r="K145" s="197">
        <f t="shared" si="18"/>
        <v>114792.36</v>
      </c>
    </row>
    <row r="146" spans="1:11" ht="18" customHeight="1">
      <c r="A146" s="151" t="s">
        <v>150</v>
      </c>
      <c r="B146" s="150" t="s">
        <v>69</v>
      </c>
      <c r="F146" s="197">
        <f t="shared" ref="F146:K146" si="19">F98</f>
        <v>949</v>
      </c>
      <c r="G146" s="197">
        <f t="shared" si="19"/>
        <v>0</v>
      </c>
      <c r="H146" s="197">
        <f t="shared" si="19"/>
        <v>39841.75</v>
      </c>
      <c r="I146" s="197">
        <f t="shared" si="19"/>
        <v>17139.920850000002</v>
      </c>
      <c r="J146" s="197">
        <f t="shared" si="19"/>
        <v>0</v>
      </c>
      <c r="K146" s="197">
        <f t="shared" si="19"/>
        <v>56981.670850000002</v>
      </c>
    </row>
    <row r="147" spans="1:11" ht="18" customHeight="1">
      <c r="A147" s="151" t="s">
        <v>153</v>
      </c>
      <c r="B147" s="150" t="s">
        <v>61</v>
      </c>
      <c r="F147" s="162">
        <f t="shared" ref="F147:K147" si="20">F108</f>
        <v>312</v>
      </c>
      <c r="G147" s="162">
        <f t="shared" si="20"/>
        <v>0</v>
      </c>
      <c r="H147" s="162">
        <f t="shared" si="20"/>
        <v>23688.6</v>
      </c>
      <c r="I147" s="162">
        <f t="shared" si="20"/>
        <v>10190.835719999999</v>
      </c>
      <c r="J147" s="162">
        <f t="shared" si="20"/>
        <v>0</v>
      </c>
      <c r="K147" s="162">
        <f t="shared" si="20"/>
        <v>33879.435719999994</v>
      </c>
    </row>
    <row r="148" spans="1:11" ht="18" customHeight="1">
      <c r="A148" s="151" t="s">
        <v>155</v>
      </c>
      <c r="B148" s="150" t="s">
        <v>70</v>
      </c>
      <c r="F148" s="198" t="s">
        <v>73</v>
      </c>
      <c r="G148" s="198" t="s">
        <v>73</v>
      </c>
      <c r="H148" s="199" t="s">
        <v>73</v>
      </c>
      <c r="I148" s="199" t="s">
        <v>73</v>
      </c>
      <c r="J148" s="199" t="s">
        <v>73</v>
      </c>
      <c r="K148" s="200">
        <f>F111</f>
        <v>13771000</v>
      </c>
    </row>
    <row r="149" spans="1:11" ht="18" customHeight="1">
      <c r="A149" s="151" t="s">
        <v>163</v>
      </c>
      <c r="B149" s="150" t="s">
        <v>71</v>
      </c>
      <c r="F149" s="162">
        <f t="shared" ref="F149:K149" si="21">F137</f>
        <v>0</v>
      </c>
      <c r="G149" s="162">
        <f t="shared" si="21"/>
        <v>0</v>
      </c>
      <c r="H149" s="162">
        <f t="shared" si="21"/>
        <v>0</v>
      </c>
      <c r="I149" s="162">
        <f t="shared" si="21"/>
        <v>0</v>
      </c>
      <c r="J149" s="162">
        <f t="shared" si="21"/>
        <v>0</v>
      </c>
      <c r="K149" s="162">
        <f t="shared" si="21"/>
        <v>0</v>
      </c>
    </row>
    <row r="150" spans="1:11" ht="18" customHeight="1">
      <c r="A150" s="151" t="s">
        <v>185</v>
      </c>
      <c r="B150" s="150" t="s">
        <v>186</v>
      </c>
      <c r="F150" s="198" t="s">
        <v>73</v>
      </c>
      <c r="G150" s="198" t="s">
        <v>73</v>
      </c>
      <c r="H150" s="162">
        <f>H18</f>
        <v>5455661.7999999998</v>
      </c>
      <c r="I150" s="162">
        <f>I18</f>
        <v>0</v>
      </c>
      <c r="J150" s="162">
        <f>J18</f>
        <v>4665272.9800000004</v>
      </c>
      <c r="K150" s="162">
        <f>K18</f>
        <v>790388.81999999937</v>
      </c>
    </row>
    <row r="151" spans="1:11" ht="18" customHeight="1">
      <c r="B151" s="150"/>
      <c r="F151" s="174"/>
      <c r="G151" s="174"/>
      <c r="H151" s="174"/>
      <c r="I151" s="174"/>
      <c r="J151" s="174"/>
      <c r="K151" s="174"/>
    </row>
    <row r="152" spans="1:11" ht="18" customHeight="1">
      <c r="A152" s="154" t="s">
        <v>165</v>
      </c>
      <c r="B152" s="150" t="s">
        <v>26</v>
      </c>
      <c r="F152" s="201">
        <f t="shared" ref="F152:K152" si="22">SUM(F141:F150)</f>
        <v>124151.59443712411</v>
      </c>
      <c r="G152" s="201">
        <f t="shared" si="22"/>
        <v>13716</v>
      </c>
      <c r="H152" s="201">
        <f t="shared" si="22"/>
        <v>28863446.537500005</v>
      </c>
      <c r="I152" s="201">
        <f t="shared" si="22"/>
        <v>388412.7733764</v>
      </c>
      <c r="J152" s="201">
        <f t="shared" si="22"/>
        <v>4665272.9800000004</v>
      </c>
      <c r="K152" s="201">
        <f t="shared" si="22"/>
        <v>38357586.330876403</v>
      </c>
    </row>
    <row r="154" spans="1:11" ht="18" customHeight="1">
      <c r="A154" s="154" t="s">
        <v>168</v>
      </c>
      <c r="B154" s="150" t="s">
        <v>28</v>
      </c>
      <c r="F154" s="53">
        <f>K152/F121</f>
        <v>0.19969482342576714</v>
      </c>
    </row>
    <row r="155" spans="1:11" ht="18" customHeight="1">
      <c r="A155" s="154" t="s">
        <v>169</v>
      </c>
      <c r="B155" s="150" t="s">
        <v>72</v>
      </c>
      <c r="F155" s="53">
        <f>K152/F127</f>
        <v>40.649700160852383</v>
      </c>
      <c r="G155" s="150"/>
    </row>
    <row r="156" spans="1:11" ht="18" customHeight="1">
      <c r="G156" s="150"/>
    </row>
  </sheetData>
  <sheetProtection algorithmName="SHA-512" hashValue="iVvdvBFvLJrCQayOzWBOnlmmkvSOlg0vsuWfxw4ykvUWsRMIU69Eos4F9LU4n3blGdfrud4L5z60Zw6vfmvLvQ==" saltValue="dNfDTr1s26G+Dg2uXX89nw==" spinCount="100000" sheet="1" objects="1" scenarios="1"/>
  <mergeCells count="34">
    <mergeCell ref="B134:D134"/>
    <mergeCell ref="B135:D135"/>
    <mergeCell ref="B133:D133"/>
    <mergeCell ref="B104:D104"/>
    <mergeCell ref="B105:D105"/>
    <mergeCell ref="B106:D106"/>
    <mergeCell ref="B62:D62"/>
    <mergeCell ref="B31:D31"/>
    <mergeCell ref="B103:C103"/>
    <mergeCell ref="B96:D96"/>
    <mergeCell ref="B95:D95"/>
    <mergeCell ref="B57:D57"/>
    <mergeCell ref="B94:D94"/>
    <mergeCell ref="B52:C52"/>
    <mergeCell ref="B90:C90"/>
    <mergeCell ref="B53:D53"/>
    <mergeCell ref="B55:D55"/>
    <mergeCell ref="B56:D56"/>
    <mergeCell ref="B59:D59"/>
    <mergeCell ref="D2:H2"/>
    <mergeCell ref="B45:D45"/>
    <mergeCell ref="B46:D46"/>
    <mergeCell ref="B47:D47"/>
    <mergeCell ref="B34:D34"/>
    <mergeCell ref="C11:G11"/>
    <mergeCell ref="B41:C41"/>
    <mergeCell ref="B44:D44"/>
    <mergeCell ref="B13:H13"/>
    <mergeCell ref="C5:G5"/>
    <mergeCell ref="C6:G6"/>
    <mergeCell ref="C7:G7"/>
    <mergeCell ref="C9:G9"/>
    <mergeCell ref="C10:G10"/>
    <mergeCell ref="B30:D30"/>
  </mergeCells>
  <printOptions headings="1" gridLines="1"/>
  <pageMargins left="0.17" right="0.16" top="0.35" bottom="0.32" header="0.17" footer="0.17"/>
  <pageSetup scale="59" fitToHeight="3" orientation="landscape"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tint="0.59999389629810485"/>
    <pageSetUpPr fitToPage="1"/>
  </sheetPr>
  <dimension ref="A1:S124"/>
  <sheetViews>
    <sheetView view="pageBreakPreview" topLeftCell="A40" zoomScale="110" zoomScaleNormal="80" zoomScaleSheetLayoutView="110" workbookViewId="0">
      <selection activeCell="C83" sqref="C83"/>
    </sheetView>
  </sheetViews>
  <sheetFormatPr defaultRowHeight="15"/>
  <cols>
    <col min="1" max="1" width="23" style="54" customWidth="1"/>
    <col min="2" max="2" width="17" style="54" bestFit="1" customWidth="1"/>
    <col min="3" max="3" width="18.5703125" style="54" customWidth="1"/>
    <col min="4" max="4" width="17.5703125" style="54" customWidth="1"/>
    <col min="5" max="5" width="22.28515625" style="54" customWidth="1"/>
    <col min="6" max="17" width="9.140625" style="54"/>
    <col min="18" max="18" width="27" style="54" customWidth="1"/>
    <col min="19" max="16384" width="9.140625" style="54"/>
  </cols>
  <sheetData>
    <row r="1" spans="1:19">
      <c r="A1" s="373" t="s">
        <v>700</v>
      </c>
    </row>
    <row r="2" spans="1:19" ht="45">
      <c r="A2" s="76" t="s">
        <v>275</v>
      </c>
      <c r="B2" s="76" t="s">
        <v>259</v>
      </c>
      <c r="C2" s="76" t="s">
        <v>261</v>
      </c>
    </row>
    <row r="3" spans="1:19" ht="41.25" customHeight="1">
      <c r="A3" s="379" t="s">
        <v>1027</v>
      </c>
      <c r="B3" s="371">
        <v>0.3</v>
      </c>
      <c r="C3" s="371">
        <v>5.1999999999999998E-2</v>
      </c>
      <c r="Q3" s="370"/>
      <c r="R3" s="372"/>
      <c r="S3" s="371"/>
    </row>
    <row r="4" spans="1:19" ht="25.5">
      <c r="A4" s="379" t="s">
        <v>264</v>
      </c>
      <c r="B4" s="371">
        <v>0.3</v>
      </c>
      <c r="C4" s="371">
        <v>0.56000000000000005</v>
      </c>
      <c r="Q4" s="370"/>
      <c r="R4" s="372"/>
      <c r="S4" s="371"/>
    </row>
    <row r="5" spans="1:19" ht="25.5">
      <c r="A5" s="379" t="s">
        <v>263</v>
      </c>
      <c r="B5" s="371">
        <v>0.27</v>
      </c>
      <c r="C5" s="371">
        <v>0.14000000000000001</v>
      </c>
      <c r="Q5" s="370"/>
      <c r="R5" s="372"/>
      <c r="S5" s="371"/>
    </row>
    <row r="6" spans="1:19">
      <c r="A6" s="379" t="s">
        <v>64</v>
      </c>
      <c r="B6" s="371">
        <v>0.06</v>
      </c>
      <c r="C6" s="371">
        <v>0.11</v>
      </c>
      <c r="Q6" s="370"/>
      <c r="R6" s="372"/>
      <c r="S6" s="371"/>
    </row>
    <row r="7" spans="1:19" ht="25.5">
      <c r="A7" s="379" t="s">
        <v>262</v>
      </c>
      <c r="B7" s="371">
        <v>0.03</v>
      </c>
      <c r="C7" s="371">
        <v>7.0000000000000007E-2</v>
      </c>
      <c r="Q7" s="370"/>
      <c r="R7" s="372"/>
      <c r="S7" s="371"/>
    </row>
    <row r="8" spans="1:19">
      <c r="A8" s="379" t="s">
        <v>25</v>
      </c>
      <c r="B8" s="371">
        <v>0.01</v>
      </c>
      <c r="C8" s="371">
        <v>0.02</v>
      </c>
      <c r="Q8" s="370"/>
      <c r="R8" s="372"/>
      <c r="S8" s="371"/>
    </row>
    <row r="9" spans="1:19" ht="27.75" customHeight="1">
      <c r="A9" s="379" t="s">
        <v>68</v>
      </c>
      <c r="B9" s="371">
        <v>0.01</v>
      </c>
      <c r="C9" s="371">
        <v>2.3E-2</v>
      </c>
      <c r="Q9" s="370"/>
      <c r="R9" s="372"/>
      <c r="S9" s="371"/>
    </row>
    <row r="10" spans="1:19" ht="22.5" customHeight="1">
      <c r="A10" s="379" t="s">
        <v>67</v>
      </c>
      <c r="B10" s="371">
        <v>0.01</v>
      </c>
      <c r="C10" s="371">
        <v>0.01</v>
      </c>
      <c r="Q10" s="370"/>
      <c r="R10" s="372"/>
      <c r="S10" s="371"/>
    </row>
    <row r="11" spans="1:19" ht="25.5">
      <c r="A11" s="379" t="s">
        <v>61</v>
      </c>
      <c r="B11" s="371">
        <v>0.01</v>
      </c>
      <c r="C11" s="371">
        <v>0.01</v>
      </c>
      <c r="Q11" s="370"/>
      <c r="R11" s="372"/>
      <c r="S11" s="371"/>
    </row>
    <row r="12" spans="1:19" ht="21" customHeight="1">
      <c r="A12" s="379" t="s">
        <v>265</v>
      </c>
      <c r="B12" s="371">
        <v>0</v>
      </c>
      <c r="C12" s="371">
        <v>4.0000000000000001E-3</v>
      </c>
      <c r="Q12" s="370"/>
      <c r="R12" s="372"/>
      <c r="S12" s="371"/>
    </row>
    <row r="13" spans="1:19">
      <c r="B13" s="836">
        <f>SUM(B3:B12)</f>
        <v>1</v>
      </c>
      <c r="C13" s="836">
        <f>SUM(C3:C12)</f>
        <v>0.99900000000000022</v>
      </c>
    </row>
    <row r="14" spans="1:19">
      <c r="A14" s="365" t="s">
        <v>691</v>
      </c>
    </row>
    <row r="20" spans="1:5" ht="18.75">
      <c r="A20" s="104" t="s">
        <v>968</v>
      </c>
    </row>
    <row r="22" spans="1:5">
      <c r="A22" s="116" t="s">
        <v>268</v>
      </c>
      <c r="B22" s="116" t="s">
        <v>70</v>
      </c>
      <c r="C22" s="116" t="s">
        <v>252</v>
      </c>
      <c r="D22" s="116" t="s">
        <v>274</v>
      </c>
      <c r="E22" s="378" t="s">
        <v>689</v>
      </c>
    </row>
    <row r="23" spans="1:5">
      <c r="A23" s="54">
        <v>2008</v>
      </c>
      <c r="B23" s="103">
        <f t="shared" ref="B23:D30" si="0">+B31/1000000</f>
        <v>256.01314300000001</v>
      </c>
      <c r="C23" s="103">
        <f t="shared" si="0"/>
        <v>179.09372200000001</v>
      </c>
      <c r="D23" s="103">
        <f>+D31/1000000</f>
        <v>10.019409</v>
      </c>
      <c r="E23" s="103">
        <f t="shared" ref="E23:E38" si="1">SUM(B23:D23)</f>
        <v>445.12627400000002</v>
      </c>
    </row>
    <row r="24" spans="1:5">
      <c r="A24" s="54">
        <v>2009</v>
      </c>
      <c r="B24" s="103">
        <f t="shared" si="0"/>
        <v>269.06009499999999</v>
      </c>
      <c r="C24" s="103">
        <f t="shared" si="0"/>
        <v>213.57390000000001</v>
      </c>
      <c r="D24" s="103">
        <f t="shared" si="0"/>
        <v>10.641292999999999</v>
      </c>
      <c r="E24" s="103">
        <f t="shared" si="1"/>
        <v>493.27528800000005</v>
      </c>
    </row>
    <row r="25" spans="1:5">
      <c r="A25" s="54">
        <v>2010</v>
      </c>
      <c r="B25" s="103">
        <f t="shared" si="0"/>
        <v>312.049419</v>
      </c>
      <c r="C25" s="103">
        <f t="shared" si="0"/>
        <v>211.86369999999999</v>
      </c>
      <c r="D25" s="103">
        <f t="shared" si="0"/>
        <v>11.676030000000001</v>
      </c>
      <c r="E25" s="103">
        <f t="shared" si="1"/>
        <v>535.58914900000002</v>
      </c>
    </row>
    <row r="26" spans="1:5">
      <c r="A26" s="54">
        <v>2011</v>
      </c>
      <c r="B26" s="103">
        <f t="shared" si="0"/>
        <v>374.89863100000002</v>
      </c>
      <c r="C26" s="103">
        <f t="shared" si="0"/>
        <v>235.386426</v>
      </c>
      <c r="D26" s="103">
        <f t="shared" si="0"/>
        <v>12.317156000000001</v>
      </c>
      <c r="E26" s="103">
        <f t="shared" si="1"/>
        <v>622.60221300000001</v>
      </c>
    </row>
    <row r="27" spans="1:5">
      <c r="A27" s="54">
        <v>2012</v>
      </c>
      <c r="B27" s="103">
        <f t="shared" si="0"/>
        <v>442.00888400000002</v>
      </c>
      <c r="C27" s="103">
        <f t="shared" si="0"/>
        <v>272.34654399999999</v>
      </c>
      <c r="D27" s="103">
        <f t="shared" si="0"/>
        <v>12.259686</v>
      </c>
      <c r="E27" s="103">
        <f t="shared" si="1"/>
        <v>726.61511400000006</v>
      </c>
    </row>
    <row r="28" spans="1:5">
      <c r="A28" s="54">
        <v>2013</v>
      </c>
      <c r="B28" s="103">
        <f t="shared" si="0"/>
        <v>462.590418</v>
      </c>
      <c r="C28" s="103">
        <f t="shared" si="0"/>
        <v>316.213911</v>
      </c>
      <c r="D28" s="103">
        <f t="shared" si="0"/>
        <v>13.303674000000001</v>
      </c>
      <c r="E28" s="103">
        <f t="shared" si="1"/>
        <v>792.10800300000005</v>
      </c>
    </row>
    <row r="29" spans="1:5">
      <c r="A29" s="54">
        <v>2014</v>
      </c>
      <c r="B29" s="103">
        <f>+B37/1000000</f>
        <v>463.908838</v>
      </c>
      <c r="C29" s="103">
        <f t="shared" si="0"/>
        <v>294.40706</v>
      </c>
      <c r="D29" s="103">
        <f t="shared" si="0"/>
        <v>15.140921000000001</v>
      </c>
      <c r="E29" s="103">
        <f t="shared" si="1"/>
        <v>773.45681900000011</v>
      </c>
    </row>
    <row r="30" spans="1:5">
      <c r="A30" s="54">
        <v>2015</v>
      </c>
      <c r="B30" s="103">
        <f>+B38/1000000</f>
        <v>428.14220477171256</v>
      </c>
      <c r="C30" s="103">
        <f t="shared" si="0"/>
        <v>302.62216699999999</v>
      </c>
      <c r="D30" s="103">
        <f t="shared" si="0"/>
        <v>15.335908928590001</v>
      </c>
      <c r="E30" s="103">
        <f t="shared" si="1"/>
        <v>746.10028070030262</v>
      </c>
    </row>
    <row r="31" spans="1:5">
      <c r="A31" s="845">
        <v>2008</v>
      </c>
      <c r="B31" s="846">
        <v>256013143</v>
      </c>
      <c r="C31" s="846">
        <v>179093722</v>
      </c>
      <c r="D31" s="846">
        <v>10019409</v>
      </c>
      <c r="E31" s="846">
        <f t="shared" si="1"/>
        <v>445126274</v>
      </c>
    </row>
    <row r="32" spans="1:5">
      <c r="A32" s="54">
        <v>2009</v>
      </c>
      <c r="B32" s="103">
        <v>269060095</v>
      </c>
      <c r="C32" s="103">
        <v>213573900</v>
      </c>
      <c r="D32" s="103">
        <v>10641293</v>
      </c>
      <c r="E32" s="103">
        <f t="shared" si="1"/>
        <v>493275288</v>
      </c>
    </row>
    <row r="33" spans="1:5">
      <c r="A33" s="54">
        <v>2010</v>
      </c>
      <c r="B33" s="103">
        <v>312049419</v>
      </c>
      <c r="C33" s="103">
        <v>211863700</v>
      </c>
      <c r="D33" s="103">
        <v>11676030</v>
      </c>
      <c r="E33" s="103">
        <f t="shared" si="1"/>
        <v>535589149</v>
      </c>
    </row>
    <row r="34" spans="1:5">
      <c r="A34" s="54">
        <v>2011</v>
      </c>
      <c r="B34" s="103">
        <v>374898631</v>
      </c>
      <c r="C34" s="103">
        <v>235386426</v>
      </c>
      <c r="D34" s="103">
        <v>12317156</v>
      </c>
      <c r="E34" s="103">
        <f t="shared" si="1"/>
        <v>622602213</v>
      </c>
    </row>
    <row r="35" spans="1:5">
      <c r="A35" s="54">
        <v>2012</v>
      </c>
      <c r="B35" s="103">
        <v>442008884</v>
      </c>
      <c r="C35" s="103">
        <v>272346544</v>
      </c>
      <c r="D35" s="103">
        <v>12259686</v>
      </c>
      <c r="E35" s="103">
        <f t="shared" si="1"/>
        <v>726615114</v>
      </c>
    </row>
    <row r="36" spans="1:5">
      <c r="A36" s="54">
        <v>2013</v>
      </c>
      <c r="B36" s="103">
        <v>462590418</v>
      </c>
      <c r="C36" s="103">
        <v>316213911</v>
      </c>
      <c r="D36" s="103">
        <v>13303674</v>
      </c>
      <c r="E36" s="103">
        <f t="shared" si="1"/>
        <v>792108003</v>
      </c>
    </row>
    <row r="37" spans="1:5">
      <c r="A37" s="54">
        <v>2014</v>
      </c>
      <c r="B37" s="103">
        <v>463908838</v>
      </c>
      <c r="C37" s="103">
        <v>294407060</v>
      </c>
      <c r="D37" s="103">
        <v>15140921</v>
      </c>
      <c r="E37" s="103">
        <f t="shared" si="1"/>
        <v>773456819</v>
      </c>
    </row>
    <row r="38" spans="1:5">
      <c r="A38" s="54">
        <v>2015</v>
      </c>
      <c r="B38" s="103">
        <v>428142204.77171254</v>
      </c>
      <c r="C38" s="103">
        <v>302622167</v>
      </c>
      <c r="D38" s="103">
        <v>15335908.928590002</v>
      </c>
      <c r="E38" s="103">
        <f t="shared" si="1"/>
        <v>746100280.7003026</v>
      </c>
    </row>
    <row r="40" spans="1:5">
      <c r="A40" s="783" t="s">
        <v>969</v>
      </c>
    </row>
    <row r="41" spans="1:5" ht="30">
      <c r="A41" s="375" t="s">
        <v>268</v>
      </c>
      <c r="B41" s="102" t="s">
        <v>273</v>
      </c>
      <c r="C41" s="102" t="s">
        <v>272</v>
      </c>
    </row>
    <row r="42" spans="1:5">
      <c r="A42" s="54">
        <v>2008</v>
      </c>
      <c r="B42" s="103">
        <f t="shared" ref="B42:B49" si="2">+C54</f>
        <v>861.08739786232854</v>
      </c>
      <c r="C42" s="103">
        <f t="shared" ref="C42:C49" si="3">+D54</f>
        <v>415.96112386232852</v>
      </c>
    </row>
    <row r="43" spans="1:5">
      <c r="A43" s="54">
        <v>2009</v>
      </c>
      <c r="B43" s="103">
        <f t="shared" si="2"/>
        <v>946.2381640606277</v>
      </c>
      <c r="C43" s="103">
        <f t="shared" si="3"/>
        <v>452.96287606062765</v>
      </c>
    </row>
    <row r="44" spans="1:5">
      <c r="A44" s="54">
        <v>2010</v>
      </c>
      <c r="B44" s="103">
        <f t="shared" si="2"/>
        <v>1051.0517503757258</v>
      </c>
      <c r="C44" s="103">
        <f t="shared" si="3"/>
        <v>515.46260137572574</v>
      </c>
    </row>
    <row r="45" spans="1:5">
      <c r="A45" s="54">
        <v>2011</v>
      </c>
      <c r="B45" s="103">
        <f t="shared" si="2"/>
        <v>1203.0176928095927</v>
      </c>
      <c r="C45" s="103">
        <f t="shared" si="3"/>
        <v>580.41547980959274</v>
      </c>
    </row>
    <row r="46" spans="1:5">
      <c r="A46" s="54">
        <v>2012</v>
      </c>
      <c r="B46" s="103">
        <f t="shared" si="2"/>
        <v>1378.3019303951344</v>
      </c>
      <c r="C46" s="103">
        <f t="shared" si="3"/>
        <v>651.68681639513431</v>
      </c>
    </row>
    <row r="47" spans="1:5">
      <c r="A47" s="54">
        <v>2013</v>
      </c>
      <c r="B47" s="103">
        <f t="shared" si="2"/>
        <v>1505.554321846221</v>
      </c>
      <c r="C47" s="103">
        <f t="shared" si="3"/>
        <v>713.44631884622095</v>
      </c>
    </row>
    <row r="48" spans="1:5">
      <c r="A48" s="54">
        <v>2014</v>
      </c>
      <c r="B48" s="103">
        <f t="shared" si="2"/>
        <v>1498.125311</v>
      </c>
      <c r="C48" s="103">
        <f t="shared" si="3"/>
        <v>724.6684919999999</v>
      </c>
    </row>
    <row r="49" spans="1:6">
      <c r="A49" s="54">
        <v>2015</v>
      </c>
      <c r="B49" s="103">
        <f t="shared" si="2"/>
        <v>1586.4397901673622</v>
      </c>
      <c r="C49" s="103">
        <f t="shared" si="3"/>
        <v>840.33950946705954</v>
      </c>
    </row>
    <row r="53" spans="1:6" ht="30">
      <c r="A53" s="375" t="s">
        <v>268</v>
      </c>
      <c r="B53" s="102" t="s">
        <v>271</v>
      </c>
      <c r="C53" s="102" t="s">
        <v>269</v>
      </c>
      <c r="D53" s="380" t="s">
        <v>694</v>
      </c>
    </row>
    <row r="54" spans="1:6">
      <c r="A54" s="54">
        <v>2008</v>
      </c>
      <c r="B54" s="103">
        <f t="shared" ref="B54:B61" si="4">+B76/1000000</f>
        <v>11920.248871512998</v>
      </c>
      <c r="C54" s="103">
        <f t="shared" ref="C54:C61" si="5">+C76/1000000</f>
        <v>861.08739786232854</v>
      </c>
      <c r="D54" s="103">
        <f t="shared" ref="D54:D61" si="6">+C54-E23</f>
        <v>415.96112386232852</v>
      </c>
      <c r="E54" s="101"/>
    </row>
    <row r="55" spans="1:6">
      <c r="A55" s="54">
        <v>2009</v>
      </c>
      <c r="B55" s="103">
        <f t="shared" si="4"/>
        <v>12442.727824140587</v>
      </c>
      <c r="C55" s="103">
        <f t="shared" si="5"/>
        <v>946.2381640606277</v>
      </c>
      <c r="D55" s="103">
        <f t="shared" si="6"/>
        <v>452.96287606062765</v>
      </c>
      <c r="E55" s="101"/>
    </row>
    <row r="56" spans="1:6">
      <c r="A56" s="54">
        <v>2010</v>
      </c>
      <c r="B56" s="103">
        <f t="shared" si="4"/>
        <v>12647.785379358338</v>
      </c>
      <c r="C56" s="103">
        <f t="shared" si="5"/>
        <v>1051.0517503757258</v>
      </c>
      <c r="D56" s="103">
        <f t="shared" si="6"/>
        <v>515.46260137572574</v>
      </c>
      <c r="E56" s="101"/>
    </row>
    <row r="57" spans="1:6">
      <c r="A57" s="54">
        <v>2011</v>
      </c>
      <c r="B57" s="103">
        <f t="shared" si="4"/>
        <v>13039.588671793743</v>
      </c>
      <c r="C57" s="103">
        <f t="shared" si="5"/>
        <v>1203.0176928095927</v>
      </c>
      <c r="D57" s="103">
        <f t="shared" si="6"/>
        <v>580.41547980959274</v>
      </c>
      <c r="E57" s="101"/>
    </row>
    <row r="58" spans="1:6">
      <c r="A58" s="54">
        <v>2012</v>
      </c>
      <c r="B58" s="103">
        <f t="shared" si="4"/>
        <v>13532.154004168002</v>
      </c>
      <c r="C58" s="103">
        <f t="shared" si="5"/>
        <v>1378.3019303951344</v>
      </c>
      <c r="D58" s="103">
        <f t="shared" si="6"/>
        <v>651.68681639513431</v>
      </c>
      <c r="E58" s="101"/>
    </row>
    <row r="59" spans="1:6">
      <c r="A59" s="54">
        <v>2013</v>
      </c>
      <c r="B59" s="103">
        <f t="shared" si="4"/>
        <v>13625.073340212002</v>
      </c>
      <c r="C59" s="103">
        <f t="shared" si="5"/>
        <v>1505.554321846221</v>
      </c>
      <c r="D59" s="103">
        <f t="shared" si="6"/>
        <v>713.44631884622095</v>
      </c>
      <c r="E59" s="101"/>
    </row>
    <row r="60" spans="1:6">
      <c r="A60" s="54">
        <v>2014</v>
      </c>
      <c r="B60" s="103">
        <f t="shared" si="4"/>
        <v>14105.52369</v>
      </c>
      <c r="C60" s="103">
        <f t="shared" si="5"/>
        <v>1498.125311</v>
      </c>
      <c r="D60" s="103">
        <f t="shared" si="6"/>
        <v>724.6684919999999</v>
      </c>
      <c r="E60" s="101"/>
    </row>
    <row r="61" spans="1:6">
      <c r="A61" s="54">
        <v>2015</v>
      </c>
      <c r="B61" s="103">
        <f t="shared" si="4"/>
        <v>14693.452601719999</v>
      </c>
      <c r="C61" s="103">
        <f t="shared" si="5"/>
        <v>1586.4397901673622</v>
      </c>
      <c r="D61" s="103">
        <f t="shared" si="6"/>
        <v>840.33950946705954</v>
      </c>
      <c r="F61" s="101"/>
    </row>
    <row r="64" spans="1:6" ht="45">
      <c r="A64" s="375" t="s">
        <v>268</v>
      </c>
      <c r="B64" s="102" t="s">
        <v>267</v>
      </c>
      <c r="C64" s="102" t="s">
        <v>266</v>
      </c>
    </row>
    <row r="65" spans="1:3">
      <c r="A65" s="54">
        <v>2008</v>
      </c>
      <c r="B65" s="101">
        <f t="shared" ref="B65:B72" si="7">+C54/B54</f>
        <v>7.2237367452969423E-2</v>
      </c>
      <c r="C65" s="389">
        <f t="shared" ref="C65:C72" si="8">D54/B54</f>
        <v>3.4895338876388064E-2</v>
      </c>
    </row>
    <row r="66" spans="1:3">
      <c r="A66" s="54">
        <v>2009</v>
      </c>
      <c r="B66" s="101">
        <f t="shared" si="7"/>
        <v>7.6047485522008823E-2</v>
      </c>
      <c r="C66" s="389">
        <f t="shared" si="8"/>
        <v>3.6403824182493001E-2</v>
      </c>
    </row>
    <row r="67" spans="1:3">
      <c r="A67" s="54">
        <v>2010</v>
      </c>
      <c r="B67" s="101">
        <f t="shared" si="7"/>
        <v>8.3101643398462613E-2</v>
      </c>
      <c r="C67" s="389">
        <f t="shared" si="8"/>
        <v>4.0755166688468646E-2</v>
      </c>
    </row>
    <row r="68" spans="1:3">
      <c r="A68" s="54">
        <v>2011</v>
      </c>
      <c r="B68" s="101">
        <f t="shared" si="7"/>
        <v>9.2258868211991238E-2</v>
      </c>
      <c r="C68" s="389">
        <f t="shared" si="8"/>
        <v>4.4511793617010624E-2</v>
      </c>
    </row>
    <row r="69" spans="1:3">
      <c r="A69" s="54">
        <v>2012</v>
      </c>
      <c r="B69" s="101">
        <f t="shared" si="7"/>
        <v>0.10185384603002651</v>
      </c>
      <c r="C69" s="389">
        <f t="shared" si="8"/>
        <v>4.8158394901093353E-2</v>
      </c>
    </row>
    <row r="70" spans="1:3">
      <c r="A70" s="54">
        <v>2013</v>
      </c>
      <c r="B70" s="101">
        <f t="shared" si="7"/>
        <v>0.1104988049791147</v>
      </c>
      <c r="C70" s="389">
        <f t="shared" si="8"/>
        <v>5.2362750719338144E-2</v>
      </c>
    </row>
    <row r="71" spans="1:3">
      <c r="A71" s="54">
        <v>2014</v>
      </c>
      <c r="B71" s="101">
        <f t="shared" si="7"/>
        <v>0.10620841479725308</v>
      </c>
      <c r="C71" s="389">
        <f t="shared" si="8"/>
        <v>5.1374802377152994E-2</v>
      </c>
    </row>
    <row r="72" spans="1:3">
      <c r="A72" s="54">
        <v>2015</v>
      </c>
      <c r="B72" s="101">
        <f t="shared" si="7"/>
        <v>0.10796916376084784</v>
      </c>
      <c r="C72" s="389">
        <f t="shared" si="8"/>
        <v>5.7191426157300183E-2</v>
      </c>
    </row>
    <row r="75" spans="1:3" ht="60">
      <c r="A75" s="376" t="s">
        <v>268</v>
      </c>
      <c r="B75" s="377" t="s">
        <v>690</v>
      </c>
      <c r="C75" s="859" t="s">
        <v>1023</v>
      </c>
    </row>
    <row r="76" spans="1:3">
      <c r="A76" s="54">
        <v>2008</v>
      </c>
      <c r="B76" s="77">
        <v>11920248871.512999</v>
      </c>
      <c r="C76" s="77">
        <v>861087397.86232853</v>
      </c>
    </row>
    <row r="77" spans="1:3">
      <c r="A77" s="54">
        <v>2009</v>
      </c>
      <c r="B77" s="77">
        <v>12442727824.140587</v>
      </c>
      <c r="C77" s="77">
        <v>946238164.0606277</v>
      </c>
    </row>
    <row r="78" spans="1:3">
      <c r="A78" s="54">
        <v>2010</v>
      </c>
      <c r="B78" s="77">
        <v>12647785379.358337</v>
      </c>
      <c r="C78" s="77">
        <v>1051051750.3757259</v>
      </c>
    </row>
    <row r="79" spans="1:3">
      <c r="A79" s="54">
        <v>2011</v>
      </c>
      <c r="B79" s="77">
        <v>13039588671.793743</v>
      </c>
      <c r="C79" s="77">
        <v>1203017692.8095927</v>
      </c>
    </row>
    <row r="80" spans="1:3">
      <c r="A80" s="54">
        <v>2012</v>
      </c>
      <c r="B80" s="77">
        <v>13532154004.168001</v>
      </c>
      <c r="C80" s="77">
        <v>1378301930.3951344</v>
      </c>
    </row>
    <row r="81" spans="1:3">
      <c r="A81" s="54">
        <v>2013</v>
      </c>
      <c r="B81" s="77">
        <v>13625073340.212002</v>
      </c>
      <c r="C81" s="77">
        <v>1505554321.846221</v>
      </c>
    </row>
    <row r="82" spans="1:3">
      <c r="A82" s="54">
        <v>2014</v>
      </c>
      <c r="B82" s="77">
        <v>14105523690</v>
      </c>
      <c r="C82" s="77">
        <v>1498125311</v>
      </c>
    </row>
    <row r="83" spans="1:3">
      <c r="A83" s="54">
        <v>2015</v>
      </c>
      <c r="B83" s="77">
        <v>14693452601.719999</v>
      </c>
      <c r="C83" s="77">
        <v>1586439790.1673622</v>
      </c>
    </row>
    <row r="84" spans="1:3">
      <c r="A84" s="357"/>
    </row>
    <row r="86" spans="1:3">
      <c r="C86" s="77"/>
    </row>
    <row r="87" spans="1:3">
      <c r="B87" s="357"/>
      <c r="C87" s="77"/>
    </row>
    <row r="88" spans="1:3">
      <c r="C88" s="77"/>
    </row>
    <row r="89" spans="1:3">
      <c r="C89" s="100"/>
    </row>
    <row r="90" spans="1:3">
      <c r="C90" s="79"/>
    </row>
    <row r="92" spans="1:3">
      <c r="C92" s="77"/>
    </row>
    <row r="93" spans="1:3">
      <c r="B93" s="357"/>
      <c r="C93" s="77"/>
    </row>
    <row r="95" spans="1:3">
      <c r="C95" s="100"/>
    </row>
    <row r="96" spans="1:3">
      <c r="C96" s="79"/>
    </row>
    <row r="100" spans="1:5" ht="18.75">
      <c r="A100" s="99"/>
      <c r="B100" s="71"/>
      <c r="D100" s="98"/>
      <c r="E100" s="97"/>
    </row>
    <row r="101" spans="1:5">
      <c r="B101" s="71"/>
      <c r="D101" s="72"/>
    </row>
    <row r="102" spans="1:5">
      <c r="B102" s="71"/>
      <c r="D102" s="72"/>
      <c r="E102" s="72"/>
    </row>
    <row r="103" spans="1:5">
      <c r="B103" s="71"/>
      <c r="D103" s="77"/>
      <c r="E103" s="77"/>
    </row>
    <row r="104" spans="1:5" ht="17.25">
      <c r="B104" s="71"/>
      <c r="D104" s="92"/>
      <c r="E104" s="92"/>
    </row>
    <row r="105" spans="1:5">
      <c r="A105" s="90"/>
      <c r="B105" s="96"/>
      <c r="C105" s="90"/>
      <c r="D105" s="95"/>
      <c r="E105" s="95"/>
    </row>
    <row r="106" spans="1:5">
      <c r="B106" s="71"/>
      <c r="D106" s="72"/>
    </row>
    <row r="107" spans="1:5">
      <c r="A107" s="94"/>
      <c r="D107" s="77"/>
    </row>
    <row r="108" spans="1:5">
      <c r="A108" s="93"/>
      <c r="D108" s="77"/>
    </row>
    <row r="109" spans="1:5">
      <c r="D109" s="77"/>
    </row>
    <row r="110" spans="1:5">
      <c r="D110" s="77"/>
    </row>
    <row r="111" spans="1:5">
      <c r="D111" s="77"/>
    </row>
    <row r="112" spans="1:5" ht="17.25">
      <c r="D112" s="92"/>
    </row>
    <row r="113" spans="1:5" ht="17.25">
      <c r="A113" s="90"/>
      <c r="B113" s="90"/>
      <c r="C113" s="90"/>
      <c r="D113" s="91"/>
      <c r="E113" s="84"/>
    </row>
    <row r="114" spans="1:5">
      <c r="A114" s="90"/>
      <c r="B114" s="90"/>
      <c r="C114" s="90"/>
      <c r="D114" s="90"/>
      <c r="E114" s="89"/>
    </row>
    <row r="115" spans="1:5" ht="17.25">
      <c r="D115" s="88"/>
      <c r="E115" s="87"/>
    </row>
    <row r="118" spans="1:5" ht="17.25">
      <c r="D118" s="86"/>
      <c r="E118" s="84"/>
    </row>
    <row r="120" spans="1:5" ht="17.25">
      <c r="D120" s="85"/>
      <c r="E120" s="85"/>
    </row>
    <row r="122" spans="1:5" ht="17.25">
      <c r="D122" s="84"/>
      <c r="E122" s="84"/>
    </row>
    <row r="124" spans="1:5" ht="18.75">
      <c r="A124" s="83"/>
      <c r="B124" s="83"/>
      <c r="C124" s="83"/>
      <c r="D124" s="82"/>
      <c r="E124" s="82"/>
    </row>
  </sheetData>
  <sortState ref="Q3:S12">
    <sortCondition descending="1" ref="Q3:Q12"/>
  </sortState>
  <pageMargins left="0.7" right="0.7" top="0.75" bottom="0.75" header="0.3" footer="0.3"/>
  <pageSetup scale="65" fitToHeight="0" orientation="landscape" horizontalDpi="1200" verticalDpi="1200" r:id="rId1"/>
  <rowBreaks count="1" manualBreakCount="1">
    <brk id="38" max="16383" man="1"/>
  </row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K156"/>
  <sheetViews>
    <sheetView zoomScaleNormal="100" zoomScaleSheetLayoutView="70" workbookViewId="0">
      <selection activeCell="H18" sqref="H18"/>
    </sheetView>
  </sheetViews>
  <sheetFormatPr defaultRowHeight="18" customHeight="1"/>
  <cols>
    <col min="1" max="1" width="8.28515625" style="146" customWidth="1"/>
    <col min="2" max="2" width="55.42578125" style="147" bestFit="1" customWidth="1"/>
    <col min="3" max="3" width="9.5703125" style="147" customWidth="1"/>
    <col min="4" max="4" width="9.140625" style="147"/>
    <col min="5" max="5" width="12.42578125" style="147" customWidth="1"/>
    <col min="6" max="6" width="18.5703125" style="147" customWidth="1"/>
    <col min="7" max="7" width="23.5703125" style="147" customWidth="1"/>
    <col min="8" max="8" width="17.140625" style="147" customWidth="1"/>
    <col min="9" max="9" width="21.140625" style="147" customWidth="1"/>
    <col min="10" max="10" width="19.85546875" style="147" customWidth="1"/>
    <col min="11" max="11" width="17.5703125" style="147" customWidth="1"/>
    <col min="12" max="256" width="9.140625" style="147"/>
    <col min="257" max="257" width="8.28515625" style="147" customWidth="1"/>
    <col min="258" max="258" width="55.42578125" style="147" bestFit="1" customWidth="1"/>
    <col min="259" max="259" width="9.5703125" style="147" customWidth="1"/>
    <col min="260" max="260" width="9.140625" style="147"/>
    <col min="261" max="261" width="12.42578125" style="147" customWidth="1"/>
    <col min="262" max="262" width="18.5703125" style="147" customWidth="1"/>
    <col min="263" max="263" width="23.5703125" style="147" customWidth="1"/>
    <col min="264" max="264" width="17.140625" style="147" customWidth="1"/>
    <col min="265" max="265" width="21.140625" style="147" customWidth="1"/>
    <col min="266" max="266" width="19.85546875" style="147" customWidth="1"/>
    <col min="267" max="267" width="17.5703125" style="147" customWidth="1"/>
    <col min="268" max="512" width="9.140625" style="147"/>
    <col min="513" max="513" width="8.28515625" style="147" customWidth="1"/>
    <col min="514" max="514" width="55.42578125" style="147" bestFit="1" customWidth="1"/>
    <col min="515" max="515" width="9.5703125" style="147" customWidth="1"/>
    <col min="516" max="516" width="9.140625" style="147"/>
    <col min="517" max="517" width="12.42578125" style="147" customWidth="1"/>
    <col min="518" max="518" width="18.5703125" style="147" customWidth="1"/>
    <col min="519" max="519" width="23.5703125" style="147" customWidth="1"/>
    <col min="520" max="520" width="17.140625" style="147" customWidth="1"/>
    <col min="521" max="521" width="21.140625" style="147" customWidth="1"/>
    <col min="522" max="522" width="19.85546875" style="147" customWidth="1"/>
    <col min="523" max="523" width="17.5703125" style="147" customWidth="1"/>
    <col min="524" max="768" width="9.140625" style="147"/>
    <col min="769" max="769" width="8.28515625" style="147" customWidth="1"/>
    <col min="770" max="770" width="55.42578125" style="147" bestFit="1" customWidth="1"/>
    <col min="771" max="771" width="9.5703125" style="147" customWidth="1"/>
    <col min="772" max="772" width="9.140625" style="147"/>
    <col min="773" max="773" width="12.42578125" style="147" customWidth="1"/>
    <col min="774" max="774" width="18.5703125" style="147" customWidth="1"/>
    <col min="775" max="775" width="23.5703125" style="147" customWidth="1"/>
    <col min="776" max="776" width="17.140625" style="147" customWidth="1"/>
    <col min="777" max="777" width="21.140625" style="147" customWidth="1"/>
    <col min="778" max="778" width="19.85546875" style="147" customWidth="1"/>
    <col min="779" max="779" width="17.5703125" style="147" customWidth="1"/>
    <col min="780" max="1024" width="9.140625" style="147"/>
    <col min="1025" max="1025" width="8.28515625" style="147" customWidth="1"/>
    <col min="1026" max="1026" width="55.42578125" style="147" bestFit="1" customWidth="1"/>
    <col min="1027" max="1027" width="9.5703125" style="147" customWidth="1"/>
    <col min="1028" max="1028" width="9.140625" style="147"/>
    <col min="1029" max="1029" width="12.42578125" style="147" customWidth="1"/>
    <col min="1030" max="1030" width="18.5703125" style="147" customWidth="1"/>
    <col min="1031" max="1031" width="23.5703125" style="147" customWidth="1"/>
    <col min="1032" max="1032" width="17.140625" style="147" customWidth="1"/>
    <col min="1033" max="1033" width="21.140625" style="147" customWidth="1"/>
    <col min="1034" max="1034" width="19.85546875" style="147" customWidth="1"/>
    <col min="1035" max="1035" width="17.5703125" style="147" customWidth="1"/>
    <col min="1036" max="1280" width="9.140625" style="147"/>
    <col min="1281" max="1281" width="8.28515625" style="147" customWidth="1"/>
    <col min="1282" max="1282" width="55.42578125" style="147" bestFit="1" customWidth="1"/>
    <col min="1283" max="1283" width="9.5703125" style="147" customWidth="1"/>
    <col min="1284" max="1284" width="9.140625" style="147"/>
    <col min="1285" max="1285" width="12.42578125" style="147" customWidth="1"/>
    <col min="1286" max="1286" width="18.5703125" style="147" customWidth="1"/>
    <col min="1287" max="1287" width="23.5703125" style="147" customWidth="1"/>
    <col min="1288" max="1288" width="17.140625" style="147" customWidth="1"/>
    <col min="1289" max="1289" width="21.140625" style="147" customWidth="1"/>
    <col min="1290" max="1290" width="19.85546875" style="147" customWidth="1"/>
    <col min="1291" max="1291" width="17.5703125" style="147" customWidth="1"/>
    <col min="1292" max="1536" width="9.140625" style="147"/>
    <col min="1537" max="1537" width="8.28515625" style="147" customWidth="1"/>
    <col min="1538" max="1538" width="55.42578125" style="147" bestFit="1" customWidth="1"/>
    <col min="1539" max="1539" width="9.5703125" style="147" customWidth="1"/>
    <col min="1540" max="1540" width="9.140625" style="147"/>
    <col min="1541" max="1541" width="12.42578125" style="147" customWidth="1"/>
    <col min="1542" max="1542" width="18.5703125" style="147" customWidth="1"/>
    <col min="1543" max="1543" width="23.5703125" style="147" customWidth="1"/>
    <col min="1544" max="1544" width="17.140625" style="147" customWidth="1"/>
    <col min="1545" max="1545" width="21.140625" style="147" customWidth="1"/>
    <col min="1546" max="1546" width="19.85546875" style="147" customWidth="1"/>
    <col min="1547" max="1547" width="17.5703125" style="147" customWidth="1"/>
    <col min="1548" max="1792" width="9.140625" style="147"/>
    <col min="1793" max="1793" width="8.28515625" style="147" customWidth="1"/>
    <col min="1794" max="1794" width="55.42578125" style="147" bestFit="1" customWidth="1"/>
    <col min="1795" max="1795" width="9.5703125" style="147" customWidth="1"/>
    <col min="1796" max="1796" width="9.140625" style="147"/>
    <col min="1797" max="1797" width="12.42578125" style="147" customWidth="1"/>
    <col min="1798" max="1798" width="18.5703125" style="147" customWidth="1"/>
    <col min="1799" max="1799" width="23.5703125" style="147" customWidth="1"/>
    <col min="1800" max="1800" width="17.140625" style="147" customWidth="1"/>
    <col min="1801" max="1801" width="21.140625" style="147" customWidth="1"/>
    <col min="1802" max="1802" width="19.85546875" style="147" customWidth="1"/>
    <col min="1803" max="1803" width="17.5703125" style="147" customWidth="1"/>
    <col min="1804" max="2048" width="9.140625" style="147"/>
    <col min="2049" max="2049" width="8.28515625" style="147" customWidth="1"/>
    <col min="2050" max="2050" width="55.42578125" style="147" bestFit="1" customWidth="1"/>
    <col min="2051" max="2051" width="9.5703125" style="147" customWidth="1"/>
    <col min="2052" max="2052" width="9.140625" style="147"/>
    <col min="2053" max="2053" width="12.42578125" style="147" customWidth="1"/>
    <col min="2054" max="2054" width="18.5703125" style="147" customWidth="1"/>
    <col min="2055" max="2055" width="23.5703125" style="147" customWidth="1"/>
    <col min="2056" max="2056" width="17.140625" style="147" customWidth="1"/>
    <col min="2057" max="2057" width="21.140625" style="147" customWidth="1"/>
    <col min="2058" max="2058" width="19.85546875" style="147" customWidth="1"/>
    <col min="2059" max="2059" width="17.5703125" style="147" customWidth="1"/>
    <col min="2060" max="2304" width="9.140625" style="147"/>
    <col min="2305" max="2305" width="8.28515625" style="147" customWidth="1"/>
    <col min="2306" max="2306" width="55.42578125" style="147" bestFit="1" customWidth="1"/>
    <col min="2307" max="2307" width="9.5703125" style="147" customWidth="1"/>
    <col min="2308" max="2308" width="9.140625" style="147"/>
    <col min="2309" max="2309" width="12.42578125" style="147" customWidth="1"/>
    <col min="2310" max="2310" width="18.5703125" style="147" customWidth="1"/>
    <col min="2311" max="2311" width="23.5703125" style="147" customWidth="1"/>
    <col min="2312" max="2312" width="17.140625" style="147" customWidth="1"/>
    <col min="2313" max="2313" width="21.140625" style="147" customWidth="1"/>
    <col min="2314" max="2314" width="19.85546875" style="147" customWidth="1"/>
    <col min="2315" max="2315" width="17.5703125" style="147" customWidth="1"/>
    <col min="2316" max="2560" width="9.140625" style="147"/>
    <col min="2561" max="2561" width="8.28515625" style="147" customWidth="1"/>
    <col min="2562" max="2562" width="55.42578125" style="147" bestFit="1" customWidth="1"/>
    <col min="2563" max="2563" width="9.5703125" style="147" customWidth="1"/>
    <col min="2564" max="2564" width="9.140625" style="147"/>
    <col min="2565" max="2565" width="12.42578125" style="147" customWidth="1"/>
    <col min="2566" max="2566" width="18.5703125" style="147" customWidth="1"/>
    <col min="2567" max="2567" width="23.5703125" style="147" customWidth="1"/>
    <col min="2568" max="2568" width="17.140625" style="147" customWidth="1"/>
    <col min="2569" max="2569" width="21.140625" style="147" customWidth="1"/>
    <col min="2570" max="2570" width="19.85546875" style="147" customWidth="1"/>
    <col min="2571" max="2571" width="17.5703125" style="147" customWidth="1"/>
    <col min="2572" max="2816" width="9.140625" style="147"/>
    <col min="2817" max="2817" width="8.28515625" style="147" customWidth="1"/>
    <col min="2818" max="2818" width="55.42578125" style="147" bestFit="1" customWidth="1"/>
    <col min="2819" max="2819" width="9.5703125" style="147" customWidth="1"/>
    <col min="2820" max="2820" width="9.140625" style="147"/>
    <col min="2821" max="2821" width="12.42578125" style="147" customWidth="1"/>
    <col min="2822" max="2822" width="18.5703125" style="147" customWidth="1"/>
    <col min="2823" max="2823" width="23.5703125" style="147" customWidth="1"/>
    <col min="2824" max="2824" width="17.140625" style="147" customWidth="1"/>
    <col min="2825" max="2825" width="21.140625" style="147" customWidth="1"/>
    <col min="2826" max="2826" width="19.85546875" style="147" customWidth="1"/>
    <col min="2827" max="2827" width="17.5703125" style="147" customWidth="1"/>
    <col min="2828" max="3072" width="9.140625" style="147"/>
    <col min="3073" max="3073" width="8.28515625" style="147" customWidth="1"/>
    <col min="3074" max="3074" width="55.42578125" style="147" bestFit="1" customWidth="1"/>
    <col min="3075" max="3075" width="9.5703125" style="147" customWidth="1"/>
    <col min="3076" max="3076" width="9.140625" style="147"/>
    <col min="3077" max="3077" width="12.42578125" style="147" customWidth="1"/>
    <col min="3078" max="3078" width="18.5703125" style="147" customWidth="1"/>
    <col min="3079" max="3079" width="23.5703125" style="147" customWidth="1"/>
    <col min="3080" max="3080" width="17.140625" style="147" customWidth="1"/>
    <col min="3081" max="3081" width="21.140625" style="147" customWidth="1"/>
    <col min="3082" max="3082" width="19.85546875" style="147" customWidth="1"/>
    <col min="3083" max="3083" width="17.5703125" style="147" customWidth="1"/>
    <col min="3084" max="3328" width="9.140625" style="147"/>
    <col min="3329" max="3329" width="8.28515625" style="147" customWidth="1"/>
    <col min="3330" max="3330" width="55.42578125" style="147" bestFit="1" customWidth="1"/>
    <col min="3331" max="3331" width="9.5703125" style="147" customWidth="1"/>
    <col min="3332" max="3332" width="9.140625" style="147"/>
    <col min="3333" max="3333" width="12.42578125" style="147" customWidth="1"/>
    <col min="3334" max="3334" width="18.5703125" style="147" customWidth="1"/>
    <col min="3335" max="3335" width="23.5703125" style="147" customWidth="1"/>
    <col min="3336" max="3336" width="17.140625" style="147" customWidth="1"/>
    <col min="3337" max="3337" width="21.140625" style="147" customWidth="1"/>
    <col min="3338" max="3338" width="19.85546875" style="147" customWidth="1"/>
    <col min="3339" max="3339" width="17.5703125" style="147" customWidth="1"/>
    <col min="3340" max="3584" width="9.140625" style="147"/>
    <col min="3585" max="3585" width="8.28515625" style="147" customWidth="1"/>
    <col min="3586" max="3586" width="55.42578125" style="147" bestFit="1" customWidth="1"/>
    <col min="3587" max="3587" width="9.5703125" style="147" customWidth="1"/>
    <col min="3588" max="3588" width="9.140625" style="147"/>
    <col min="3589" max="3589" width="12.42578125" style="147" customWidth="1"/>
    <col min="3590" max="3590" width="18.5703125" style="147" customWidth="1"/>
    <col min="3591" max="3591" width="23.5703125" style="147" customWidth="1"/>
    <col min="3592" max="3592" width="17.140625" style="147" customWidth="1"/>
    <col min="3593" max="3593" width="21.140625" style="147" customWidth="1"/>
    <col min="3594" max="3594" width="19.85546875" style="147" customWidth="1"/>
    <col min="3595" max="3595" width="17.5703125" style="147" customWidth="1"/>
    <col min="3596" max="3840" width="9.140625" style="147"/>
    <col min="3841" max="3841" width="8.28515625" style="147" customWidth="1"/>
    <col min="3842" max="3842" width="55.42578125" style="147" bestFit="1" customWidth="1"/>
    <col min="3843" max="3843" width="9.5703125" style="147" customWidth="1"/>
    <col min="3844" max="3844" width="9.140625" style="147"/>
    <col min="3845" max="3845" width="12.42578125" style="147" customWidth="1"/>
    <col min="3846" max="3846" width="18.5703125" style="147" customWidth="1"/>
    <col min="3847" max="3847" width="23.5703125" style="147" customWidth="1"/>
    <col min="3848" max="3848" width="17.140625" style="147" customWidth="1"/>
    <col min="3849" max="3849" width="21.140625" style="147" customWidth="1"/>
    <col min="3850" max="3850" width="19.85546875" style="147" customWidth="1"/>
    <col min="3851" max="3851" width="17.5703125" style="147" customWidth="1"/>
    <col min="3852" max="4096" width="9.140625" style="147"/>
    <col min="4097" max="4097" width="8.28515625" style="147" customWidth="1"/>
    <col min="4098" max="4098" width="55.42578125" style="147" bestFit="1" customWidth="1"/>
    <col min="4099" max="4099" width="9.5703125" style="147" customWidth="1"/>
    <col min="4100" max="4100" width="9.140625" style="147"/>
    <col min="4101" max="4101" width="12.42578125" style="147" customWidth="1"/>
    <col min="4102" max="4102" width="18.5703125" style="147" customWidth="1"/>
    <col min="4103" max="4103" width="23.5703125" style="147" customWidth="1"/>
    <col min="4104" max="4104" width="17.140625" style="147" customWidth="1"/>
    <col min="4105" max="4105" width="21.140625" style="147" customWidth="1"/>
    <col min="4106" max="4106" width="19.85546875" style="147" customWidth="1"/>
    <col min="4107" max="4107" width="17.5703125" style="147" customWidth="1"/>
    <col min="4108" max="4352" width="9.140625" style="147"/>
    <col min="4353" max="4353" width="8.28515625" style="147" customWidth="1"/>
    <col min="4354" max="4354" width="55.42578125" style="147" bestFit="1" customWidth="1"/>
    <col min="4355" max="4355" width="9.5703125" style="147" customWidth="1"/>
    <col min="4356" max="4356" width="9.140625" style="147"/>
    <col min="4357" max="4357" width="12.42578125" style="147" customWidth="1"/>
    <col min="4358" max="4358" width="18.5703125" style="147" customWidth="1"/>
    <col min="4359" max="4359" width="23.5703125" style="147" customWidth="1"/>
    <col min="4360" max="4360" width="17.140625" style="147" customWidth="1"/>
    <col min="4361" max="4361" width="21.140625" style="147" customWidth="1"/>
    <col min="4362" max="4362" width="19.85546875" style="147" customWidth="1"/>
    <col min="4363" max="4363" width="17.5703125" style="147" customWidth="1"/>
    <col min="4364" max="4608" width="9.140625" style="147"/>
    <col min="4609" max="4609" width="8.28515625" style="147" customWidth="1"/>
    <col min="4610" max="4610" width="55.42578125" style="147" bestFit="1" customWidth="1"/>
    <col min="4611" max="4611" width="9.5703125" style="147" customWidth="1"/>
    <col min="4612" max="4612" width="9.140625" style="147"/>
    <col min="4613" max="4613" width="12.42578125" style="147" customWidth="1"/>
    <col min="4614" max="4614" width="18.5703125" style="147" customWidth="1"/>
    <col min="4615" max="4615" width="23.5703125" style="147" customWidth="1"/>
    <col min="4616" max="4616" width="17.140625" style="147" customWidth="1"/>
    <col min="4617" max="4617" width="21.140625" style="147" customWidth="1"/>
    <col min="4618" max="4618" width="19.85546875" style="147" customWidth="1"/>
    <col min="4619" max="4619" width="17.5703125" style="147" customWidth="1"/>
    <col min="4620" max="4864" width="9.140625" style="147"/>
    <col min="4865" max="4865" width="8.28515625" style="147" customWidth="1"/>
    <col min="4866" max="4866" width="55.42578125" style="147" bestFit="1" customWidth="1"/>
    <col min="4867" max="4867" width="9.5703125" style="147" customWidth="1"/>
    <col min="4868" max="4868" width="9.140625" style="147"/>
    <col min="4869" max="4869" width="12.42578125" style="147" customWidth="1"/>
    <col min="4870" max="4870" width="18.5703125" style="147" customWidth="1"/>
    <col min="4871" max="4871" width="23.5703125" style="147" customWidth="1"/>
    <col min="4872" max="4872" width="17.140625" style="147" customWidth="1"/>
    <col min="4873" max="4873" width="21.140625" style="147" customWidth="1"/>
    <col min="4874" max="4874" width="19.85546875" style="147" customWidth="1"/>
    <col min="4875" max="4875" width="17.5703125" style="147" customWidth="1"/>
    <col min="4876" max="5120" width="9.140625" style="147"/>
    <col min="5121" max="5121" width="8.28515625" style="147" customWidth="1"/>
    <col min="5122" max="5122" width="55.42578125" style="147" bestFit="1" customWidth="1"/>
    <col min="5123" max="5123" width="9.5703125" style="147" customWidth="1"/>
    <col min="5124" max="5124" width="9.140625" style="147"/>
    <col min="5125" max="5125" width="12.42578125" style="147" customWidth="1"/>
    <col min="5126" max="5126" width="18.5703125" style="147" customWidth="1"/>
    <col min="5127" max="5127" width="23.5703125" style="147" customWidth="1"/>
    <col min="5128" max="5128" width="17.140625" style="147" customWidth="1"/>
    <col min="5129" max="5129" width="21.140625" style="147" customWidth="1"/>
    <col min="5130" max="5130" width="19.85546875" style="147" customWidth="1"/>
    <col min="5131" max="5131" width="17.5703125" style="147" customWidth="1"/>
    <col min="5132" max="5376" width="9.140625" style="147"/>
    <col min="5377" max="5377" width="8.28515625" style="147" customWidth="1"/>
    <col min="5378" max="5378" width="55.42578125" style="147" bestFit="1" customWidth="1"/>
    <col min="5379" max="5379" width="9.5703125" style="147" customWidth="1"/>
    <col min="5380" max="5380" width="9.140625" style="147"/>
    <col min="5381" max="5381" width="12.42578125" style="147" customWidth="1"/>
    <col min="5382" max="5382" width="18.5703125" style="147" customWidth="1"/>
    <col min="5383" max="5383" width="23.5703125" style="147" customWidth="1"/>
    <col min="5384" max="5384" width="17.140625" style="147" customWidth="1"/>
    <col min="5385" max="5385" width="21.140625" style="147" customWidth="1"/>
    <col min="5386" max="5386" width="19.85546875" style="147" customWidth="1"/>
    <col min="5387" max="5387" width="17.5703125" style="147" customWidth="1"/>
    <col min="5388" max="5632" width="9.140625" style="147"/>
    <col min="5633" max="5633" width="8.28515625" style="147" customWidth="1"/>
    <col min="5634" max="5634" width="55.42578125" style="147" bestFit="1" customWidth="1"/>
    <col min="5635" max="5635" width="9.5703125" style="147" customWidth="1"/>
    <col min="5636" max="5636" width="9.140625" style="147"/>
    <col min="5637" max="5637" width="12.42578125" style="147" customWidth="1"/>
    <col min="5638" max="5638" width="18.5703125" style="147" customWidth="1"/>
    <col min="5639" max="5639" width="23.5703125" style="147" customWidth="1"/>
    <col min="5640" max="5640" width="17.140625" style="147" customWidth="1"/>
    <col min="5641" max="5641" width="21.140625" style="147" customWidth="1"/>
    <col min="5642" max="5642" width="19.85546875" style="147" customWidth="1"/>
    <col min="5643" max="5643" width="17.5703125" style="147" customWidth="1"/>
    <col min="5644" max="5888" width="9.140625" style="147"/>
    <col min="5889" max="5889" width="8.28515625" style="147" customWidth="1"/>
    <col min="5890" max="5890" width="55.42578125" style="147" bestFit="1" customWidth="1"/>
    <col min="5891" max="5891" width="9.5703125" style="147" customWidth="1"/>
    <col min="5892" max="5892" width="9.140625" style="147"/>
    <col min="5893" max="5893" width="12.42578125" style="147" customWidth="1"/>
    <col min="5894" max="5894" width="18.5703125" style="147" customWidth="1"/>
    <col min="5895" max="5895" width="23.5703125" style="147" customWidth="1"/>
    <col min="5896" max="5896" width="17.140625" style="147" customWidth="1"/>
    <col min="5897" max="5897" width="21.140625" style="147" customWidth="1"/>
    <col min="5898" max="5898" width="19.85546875" style="147" customWidth="1"/>
    <col min="5899" max="5899" width="17.5703125" style="147" customWidth="1"/>
    <col min="5900" max="6144" width="9.140625" style="147"/>
    <col min="6145" max="6145" width="8.28515625" style="147" customWidth="1"/>
    <col min="6146" max="6146" width="55.42578125" style="147" bestFit="1" customWidth="1"/>
    <col min="6147" max="6147" width="9.5703125" style="147" customWidth="1"/>
    <col min="6148" max="6148" width="9.140625" style="147"/>
    <col min="6149" max="6149" width="12.42578125" style="147" customWidth="1"/>
    <col min="6150" max="6150" width="18.5703125" style="147" customWidth="1"/>
    <col min="6151" max="6151" width="23.5703125" style="147" customWidth="1"/>
    <col min="6152" max="6152" width="17.140625" style="147" customWidth="1"/>
    <col min="6153" max="6153" width="21.140625" style="147" customWidth="1"/>
    <col min="6154" max="6154" width="19.85546875" style="147" customWidth="1"/>
    <col min="6155" max="6155" width="17.5703125" style="147" customWidth="1"/>
    <col min="6156" max="6400" width="9.140625" style="147"/>
    <col min="6401" max="6401" width="8.28515625" style="147" customWidth="1"/>
    <col min="6402" max="6402" width="55.42578125" style="147" bestFit="1" customWidth="1"/>
    <col min="6403" max="6403" width="9.5703125" style="147" customWidth="1"/>
    <col min="6404" max="6404" width="9.140625" style="147"/>
    <col min="6405" max="6405" width="12.42578125" style="147" customWidth="1"/>
    <col min="6406" max="6406" width="18.5703125" style="147" customWidth="1"/>
    <col min="6407" max="6407" width="23.5703125" style="147" customWidth="1"/>
    <col min="6408" max="6408" width="17.140625" style="147" customWidth="1"/>
    <col min="6409" max="6409" width="21.140625" style="147" customWidth="1"/>
    <col min="6410" max="6410" width="19.85546875" style="147" customWidth="1"/>
    <col min="6411" max="6411" width="17.5703125" style="147" customWidth="1"/>
    <col min="6412" max="6656" width="9.140625" style="147"/>
    <col min="6657" max="6657" width="8.28515625" style="147" customWidth="1"/>
    <col min="6658" max="6658" width="55.42578125" style="147" bestFit="1" customWidth="1"/>
    <col min="6659" max="6659" width="9.5703125" style="147" customWidth="1"/>
    <col min="6660" max="6660" width="9.140625" style="147"/>
    <col min="6661" max="6661" width="12.42578125" style="147" customWidth="1"/>
    <col min="6662" max="6662" width="18.5703125" style="147" customWidth="1"/>
    <col min="6663" max="6663" width="23.5703125" style="147" customWidth="1"/>
    <col min="6664" max="6664" width="17.140625" style="147" customWidth="1"/>
    <col min="6665" max="6665" width="21.140625" style="147" customWidth="1"/>
    <col min="6666" max="6666" width="19.85546875" style="147" customWidth="1"/>
    <col min="6667" max="6667" width="17.5703125" style="147" customWidth="1"/>
    <col min="6668" max="6912" width="9.140625" style="147"/>
    <col min="6913" max="6913" width="8.28515625" style="147" customWidth="1"/>
    <col min="6914" max="6914" width="55.42578125" style="147" bestFit="1" customWidth="1"/>
    <col min="6915" max="6915" width="9.5703125" style="147" customWidth="1"/>
    <col min="6916" max="6916" width="9.140625" style="147"/>
    <col min="6917" max="6917" width="12.42578125" style="147" customWidth="1"/>
    <col min="6918" max="6918" width="18.5703125" style="147" customWidth="1"/>
    <col min="6919" max="6919" width="23.5703125" style="147" customWidth="1"/>
    <col min="6920" max="6920" width="17.140625" style="147" customWidth="1"/>
    <col min="6921" max="6921" width="21.140625" style="147" customWidth="1"/>
    <col min="6922" max="6922" width="19.85546875" style="147" customWidth="1"/>
    <col min="6923" max="6923" width="17.5703125" style="147" customWidth="1"/>
    <col min="6924" max="7168" width="9.140625" style="147"/>
    <col min="7169" max="7169" width="8.28515625" style="147" customWidth="1"/>
    <col min="7170" max="7170" width="55.42578125" style="147" bestFit="1" customWidth="1"/>
    <col min="7171" max="7171" width="9.5703125" style="147" customWidth="1"/>
    <col min="7172" max="7172" width="9.140625" style="147"/>
    <col min="7173" max="7173" width="12.42578125" style="147" customWidth="1"/>
    <col min="7174" max="7174" width="18.5703125" style="147" customWidth="1"/>
    <col min="7175" max="7175" width="23.5703125" style="147" customWidth="1"/>
    <col min="7176" max="7176" width="17.140625" style="147" customWidth="1"/>
    <col min="7177" max="7177" width="21.140625" style="147" customWidth="1"/>
    <col min="7178" max="7178" width="19.85546875" style="147" customWidth="1"/>
    <col min="7179" max="7179" width="17.5703125" style="147" customWidth="1"/>
    <col min="7180" max="7424" width="9.140625" style="147"/>
    <col min="7425" max="7425" width="8.28515625" style="147" customWidth="1"/>
    <col min="7426" max="7426" width="55.42578125" style="147" bestFit="1" customWidth="1"/>
    <col min="7427" max="7427" width="9.5703125" style="147" customWidth="1"/>
    <col min="7428" max="7428" width="9.140625" style="147"/>
    <col min="7429" max="7429" width="12.42578125" style="147" customWidth="1"/>
    <col min="7430" max="7430" width="18.5703125" style="147" customWidth="1"/>
    <col min="7431" max="7431" width="23.5703125" style="147" customWidth="1"/>
    <col min="7432" max="7432" width="17.140625" style="147" customWidth="1"/>
    <col min="7433" max="7433" width="21.140625" style="147" customWidth="1"/>
    <col min="7434" max="7434" width="19.85546875" style="147" customWidth="1"/>
    <col min="7435" max="7435" width="17.5703125" style="147" customWidth="1"/>
    <col min="7436" max="7680" width="9.140625" style="147"/>
    <col min="7681" max="7681" width="8.28515625" style="147" customWidth="1"/>
    <col min="7682" max="7682" width="55.42578125" style="147" bestFit="1" customWidth="1"/>
    <col min="7683" max="7683" width="9.5703125" style="147" customWidth="1"/>
    <col min="7684" max="7684" width="9.140625" style="147"/>
    <col min="7685" max="7685" width="12.42578125" style="147" customWidth="1"/>
    <col min="7686" max="7686" width="18.5703125" style="147" customWidth="1"/>
    <col min="7687" max="7687" width="23.5703125" style="147" customWidth="1"/>
    <col min="7688" max="7688" width="17.140625" style="147" customWidth="1"/>
    <col min="7689" max="7689" width="21.140625" style="147" customWidth="1"/>
    <col min="7690" max="7690" width="19.85546875" style="147" customWidth="1"/>
    <col min="7691" max="7691" width="17.5703125" style="147" customWidth="1"/>
    <col min="7692" max="7936" width="9.140625" style="147"/>
    <col min="7937" max="7937" width="8.28515625" style="147" customWidth="1"/>
    <col min="7938" max="7938" width="55.42578125" style="147" bestFit="1" customWidth="1"/>
    <col min="7939" max="7939" width="9.5703125" style="147" customWidth="1"/>
    <col min="7940" max="7940" width="9.140625" style="147"/>
    <col min="7941" max="7941" width="12.42578125" style="147" customWidth="1"/>
    <col min="7942" max="7942" width="18.5703125" style="147" customWidth="1"/>
    <col min="7943" max="7943" width="23.5703125" style="147" customWidth="1"/>
    <col min="7944" max="7944" width="17.140625" style="147" customWidth="1"/>
    <col min="7945" max="7945" width="21.140625" style="147" customWidth="1"/>
    <col min="7946" max="7946" width="19.85546875" style="147" customWidth="1"/>
    <col min="7947" max="7947" width="17.5703125" style="147" customWidth="1"/>
    <col min="7948" max="8192" width="9.140625" style="147"/>
    <col min="8193" max="8193" width="8.28515625" style="147" customWidth="1"/>
    <col min="8194" max="8194" width="55.42578125" style="147" bestFit="1" customWidth="1"/>
    <col min="8195" max="8195" width="9.5703125" style="147" customWidth="1"/>
    <col min="8196" max="8196" width="9.140625" style="147"/>
    <col min="8197" max="8197" width="12.42578125" style="147" customWidth="1"/>
    <col min="8198" max="8198" width="18.5703125" style="147" customWidth="1"/>
    <col min="8199" max="8199" width="23.5703125" style="147" customWidth="1"/>
    <col min="8200" max="8200" width="17.140625" style="147" customWidth="1"/>
    <col min="8201" max="8201" width="21.140625" style="147" customWidth="1"/>
    <col min="8202" max="8202" width="19.85546875" style="147" customWidth="1"/>
    <col min="8203" max="8203" width="17.5703125" style="147" customWidth="1"/>
    <col min="8204" max="8448" width="9.140625" style="147"/>
    <col min="8449" max="8449" width="8.28515625" style="147" customWidth="1"/>
    <col min="8450" max="8450" width="55.42578125" style="147" bestFit="1" customWidth="1"/>
    <col min="8451" max="8451" width="9.5703125" style="147" customWidth="1"/>
    <col min="8452" max="8452" width="9.140625" style="147"/>
    <col min="8453" max="8453" width="12.42578125" style="147" customWidth="1"/>
    <col min="8454" max="8454" width="18.5703125" style="147" customWidth="1"/>
    <col min="8455" max="8455" width="23.5703125" style="147" customWidth="1"/>
    <col min="8456" max="8456" width="17.140625" style="147" customWidth="1"/>
    <col min="8457" max="8457" width="21.140625" style="147" customWidth="1"/>
    <col min="8458" max="8458" width="19.85546875" style="147" customWidth="1"/>
    <col min="8459" max="8459" width="17.5703125" style="147" customWidth="1"/>
    <col min="8460" max="8704" width="9.140625" style="147"/>
    <col min="8705" max="8705" width="8.28515625" style="147" customWidth="1"/>
    <col min="8706" max="8706" width="55.42578125" style="147" bestFit="1" customWidth="1"/>
    <col min="8707" max="8707" width="9.5703125" style="147" customWidth="1"/>
    <col min="8708" max="8708" width="9.140625" style="147"/>
    <col min="8709" max="8709" width="12.42578125" style="147" customWidth="1"/>
    <col min="8710" max="8710" width="18.5703125" style="147" customWidth="1"/>
    <col min="8711" max="8711" width="23.5703125" style="147" customWidth="1"/>
    <col min="8712" max="8712" width="17.140625" style="147" customWidth="1"/>
    <col min="8713" max="8713" width="21.140625" style="147" customWidth="1"/>
    <col min="8714" max="8714" width="19.85546875" style="147" customWidth="1"/>
    <col min="8715" max="8715" width="17.5703125" style="147" customWidth="1"/>
    <col min="8716" max="8960" width="9.140625" style="147"/>
    <col min="8961" max="8961" width="8.28515625" style="147" customWidth="1"/>
    <col min="8962" max="8962" width="55.42578125" style="147" bestFit="1" customWidth="1"/>
    <col min="8963" max="8963" width="9.5703125" style="147" customWidth="1"/>
    <col min="8964" max="8964" width="9.140625" style="147"/>
    <col min="8965" max="8965" width="12.42578125" style="147" customWidth="1"/>
    <col min="8966" max="8966" width="18.5703125" style="147" customWidth="1"/>
    <col min="8967" max="8967" width="23.5703125" style="147" customWidth="1"/>
    <col min="8968" max="8968" width="17.140625" style="147" customWidth="1"/>
    <col min="8969" max="8969" width="21.140625" style="147" customWidth="1"/>
    <col min="8970" max="8970" width="19.85546875" style="147" customWidth="1"/>
    <col min="8971" max="8971" width="17.5703125" style="147" customWidth="1"/>
    <col min="8972" max="9216" width="9.140625" style="147"/>
    <col min="9217" max="9217" width="8.28515625" style="147" customWidth="1"/>
    <col min="9218" max="9218" width="55.42578125" style="147" bestFit="1" customWidth="1"/>
    <col min="9219" max="9219" width="9.5703125" style="147" customWidth="1"/>
    <col min="9220" max="9220" width="9.140625" style="147"/>
    <col min="9221" max="9221" width="12.42578125" style="147" customWidth="1"/>
    <col min="9222" max="9222" width="18.5703125" style="147" customWidth="1"/>
    <col min="9223" max="9223" width="23.5703125" style="147" customWidth="1"/>
    <col min="9224" max="9224" width="17.140625" style="147" customWidth="1"/>
    <col min="9225" max="9225" width="21.140625" style="147" customWidth="1"/>
    <col min="9226" max="9226" width="19.85546875" style="147" customWidth="1"/>
    <col min="9227" max="9227" width="17.5703125" style="147" customWidth="1"/>
    <col min="9228" max="9472" width="9.140625" style="147"/>
    <col min="9473" max="9473" width="8.28515625" style="147" customWidth="1"/>
    <col min="9474" max="9474" width="55.42578125" style="147" bestFit="1" customWidth="1"/>
    <col min="9475" max="9475" width="9.5703125" style="147" customWidth="1"/>
    <col min="9476" max="9476" width="9.140625" style="147"/>
    <col min="9477" max="9477" width="12.42578125" style="147" customWidth="1"/>
    <col min="9478" max="9478" width="18.5703125" style="147" customWidth="1"/>
    <col min="9479" max="9479" width="23.5703125" style="147" customWidth="1"/>
    <col min="9480" max="9480" width="17.140625" style="147" customWidth="1"/>
    <col min="9481" max="9481" width="21.140625" style="147" customWidth="1"/>
    <col min="9482" max="9482" width="19.85546875" style="147" customWidth="1"/>
    <col min="9483" max="9483" width="17.5703125" style="147" customWidth="1"/>
    <col min="9484" max="9728" width="9.140625" style="147"/>
    <col min="9729" max="9729" width="8.28515625" style="147" customWidth="1"/>
    <col min="9730" max="9730" width="55.42578125" style="147" bestFit="1" customWidth="1"/>
    <col min="9731" max="9731" width="9.5703125" style="147" customWidth="1"/>
    <col min="9732" max="9732" width="9.140625" style="147"/>
    <col min="9733" max="9733" width="12.42578125" style="147" customWidth="1"/>
    <col min="9734" max="9734" width="18.5703125" style="147" customWidth="1"/>
    <col min="9735" max="9735" width="23.5703125" style="147" customWidth="1"/>
    <col min="9736" max="9736" width="17.140625" style="147" customWidth="1"/>
    <col min="9737" max="9737" width="21.140625" style="147" customWidth="1"/>
    <col min="9738" max="9738" width="19.85546875" style="147" customWidth="1"/>
    <col min="9739" max="9739" width="17.5703125" style="147" customWidth="1"/>
    <col min="9740" max="9984" width="9.140625" style="147"/>
    <col min="9985" max="9985" width="8.28515625" style="147" customWidth="1"/>
    <col min="9986" max="9986" width="55.42578125" style="147" bestFit="1" customWidth="1"/>
    <col min="9987" max="9987" width="9.5703125" style="147" customWidth="1"/>
    <col min="9988" max="9988" width="9.140625" style="147"/>
    <col min="9989" max="9989" width="12.42578125" style="147" customWidth="1"/>
    <col min="9990" max="9990" width="18.5703125" style="147" customWidth="1"/>
    <col min="9991" max="9991" width="23.5703125" style="147" customWidth="1"/>
    <col min="9992" max="9992" width="17.140625" style="147" customWidth="1"/>
    <col min="9993" max="9993" width="21.140625" style="147" customWidth="1"/>
    <col min="9994" max="9994" width="19.85546875" style="147" customWidth="1"/>
    <col min="9995" max="9995" width="17.5703125" style="147" customWidth="1"/>
    <col min="9996" max="10240" width="9.140625" style="147"/>
    <col min="10241" max="10241" width="8.28515625" style="147" customWidth="1"/>
    <col min="10242" max="10242" width="55.42578125" style="147" bestFit="1" customWidth="1"/>
    <col min="10243" max="10243" width="9.5703125" style="147" customWidth="1"/>
    <col min="10244" max="10244" width="9.140625" style="147"/>
    <col min="10245" max="10245" width="12.42578125" style="147" customWidth="1"/>
    <col min="10246" max="10246" width="18.5703125" style="147" customWidth="1"/>
    <col min="10247" max="10247" width="23.5703125" style="147" customWidth="1"/>
    <col min="10248" max="10248" width="17.140625" style="147" customWidth="1"/>
    <col min="10249" max="10249" width="21.140625" style="147" customWidth="1"/>
    <col min="10250" max="10250" width="19.85546875" style="147" customWidth="1"/>
    <col min="10251" max="10251" width="17.5703125" style="147" customWidth="1"/>
    <col min="10252" max="10496" width="9.140625" style="147"/>
    <col min="10497" max="10497" width="8.28515625" style="147" customWidth="1"/>
    <col min="10498" max="10498" width="55.42578125" style="147" bestFit="1" customWidth="1"/>
    <col min="10499" max="10499" width="9.5703125" style="147" customWidth="1"/>
    <col min="10500" max="10500" width="9.140625" style="147"/>
    <col min="10501" max="10501" width="12.42578125" style="147" customWidth="1"/>
    <col min="10502" max="10502" width="18.5703125" style="147" customWidth="1"/>
    <col min="10503" max="10503" width="23.5703125" style="147" customWidth="1"/>
    <col min="10504" max="10504" width="17.140625" style="147" customWidth="1"/>
    <col min="10505" max="10505" width="21.140625" style="147" customWidth="1"/>
    <col min="10506" max="10506" width="19.85546875" style="147" customWidth="1"/>
    <col min="10507" max="10507" width="17.5703125" style="147" customWidth="1"/>
    <col min="10508" max="10752" width="9.140625" style="147"/>
    <col min="10753" max="10753" width="8.28515625" style="147" customWidth="1"/>
    <col min="10754" max="10754" width="55.42578125" style="147" bestFit="1" customWidth="1"/>
    <col min="10755" max="10755" width="9.5703125" style="147" customWidth="1"/>
    <col min="10756" max="10756" width="9.140625" style="147"/>
    <col min="10757" max="10757" width="12.42578125" style="147" customWidth="1"/>
    <col min="10758" max="10758" width="18.5703125" style="147" customWidth="1"/>
    <col min="10759" max="10759" width="23.5703125" style="147" customWidth="1"/>
    <col min="10760" max="10760" width="17.140625" style="147" customWidth="1"/>
    <col min="10761" max="10761" width="21.140625" style="147" customWidth="1"/>
    <col min="10762" max="10762" width="19.85546875" style="147" customWidth="1"/>
    <col min="10763" max="10763" width="17.5703125" style="147" customWidth="1"/>
    <col min="10764" max="11008" width="9.140625" style="147"/>
    <col min="11009" max="11009" width="8.28515625" style="147" customWidth="1"/>
    <col min="11010" max="11010" width="55.42578125" style="147" bestFit="1" customWidth="1"/>
    <col min="11011" max="11011" width="9.5703125" style="147" customWidth="1"/>
    <col min="11012" max="11012" width="9.140625" style="147"/>
    <col min="11013" max="11013" width="12.42578125" style="147" customWidth="1"/>
    <col min="11014" max="11014" width="18.5703125" style="147" customWidth="1"/>
    <col min="11015" max="11015" width="23.5703125" style="147" customWidth="1"/>
    <col min="11016" max="11016" width="17.140625" style="147" customWidth="1"/>
    <col min="11017" max="11017" width="21.140625" style="147" customWidth="1"/>
    <col min="11018" max="11018" width="19.85546875" style="147" customWidth="1"/>
    <col min="11019" max="11019" width="17.5703125" style="147" customWidth="1"/>
    <col min="11020" max="11264" width="9.140625" style="147"/>
    <col min="11265" max="11265" width="8.28515625" style="147" customWidth="1"/>
    <col min="11266" max="11266" width="55.42578125" style="147" bestFit="1" customWidth="1"/>
    <col min="11267" max="11267" width="9.5703125" style="147" customWidth="1"/>
    <col min="11268" max="11268" width="9.140625" style="147"/>
    <col min="11269" max="11269" width="12.42578125" style="147" customWidth="1"/>
    <col min="11270" max="11270" width="18.5703125" style="147" customWidth="1"/>
    <col min="11271" max="11271" width="23.5703125" style="147" customWidth="1"/>
    <col min="11272" max="11272" width="17.140625" style="147" customWidth="1"/>
    <col min="11273" max="11273" width="21.140625" style="147" customWidth="1"/>
    <col min="11274" max="11274" width="19.85546875" style="147" customWidth="1"/>
    <col min="11275" max="11275" width="17.5703125" style="147" customWidth="1"/>
    <col min="11276" max="11520" width="9.140625" style="147"/>
    <col min="11521" max="11521" width="8.28515625" style="147" customWidth="1"/>
    <col min="11522" max="11522" width="55.42578125" style="147" bestFit="1" customWidth="1"/>
    <col min="11523" max="11523" width="9.5703125" style="147" customWidth="1"/>
    <col min="11524" max="11524" width="9.140625" style="147"/>
    <col min="11525" max="11525" width="12.42578125" style="147" customWidth="1"/>
    <col min="11526" max="11526" width="18.5703125" style="147" customWidth="1"/>
    <col min="11527" max="11527" width="23.5703125" style="147" customWidth="1"/>
    <col min="11528" max="11528" width="17.140625" style="147" customWidth="1"/>
    <col min="11529" max="11529" width="21.140625" style="147" customWidth="1"/>
    <col min="11530" max="11530" width="19.85546875" style="147" customWidth="1"/>
    <col min="11531" max="11531" width="17.5703125" style="147" customWidth="1"/>
    <col min="11532" max="11776" width="9.140625" style="147"/>
    <col min="11777" max="11777" width="8.28515625" style="147" customWidth="1"/>
    <col min="11778" max="11778" width="55.42578125" style="147" bestFit="1" customWidth="1"/>
    <col min="11779" max="11779" width="9.5703125" style="147" customWidth="1"/>
    <col min="11780" max="11780" width="9.140625" style="147"/>
    <col min="11781" max="11781" width="12.42578125" style="147" customWidth="1"/>
    <col min="11782" max="11782" width="18.5703125" style="147" customWidth="1"/>
    <col min="11783" max="11783" width="23.5703125" style="147" customWidth="1"/>
    <col min="11784" max="11784" width="17.140625" style="147" customWidth="1"/>
    <col min="11785" max="11785" width="21.140625" style="147" customWidth="1"/>
    <col min="11786" max="11786" width="19.85546875" style="147" customWidth="1"/>
    <col min="11787" max="11787" width="17.5703125" style="147" customWidth="1"/>
    <col min="11788" max="12032" width="9.140625" style="147"/>
    <col min="12033" max="12033" width="8.28515625" style="147" customWidth="1"/>
    <col min="12034" max="12034" width="55.42578125" style="147" bestFit="1" customWidth="1"/>
    <col min="12035" max="12035" width="9.5703125" style="147" customWidth="1"/>
    <col min="12036" max="12036" width="9.140625" style="147"/>
    <col min="12037" max="12037" width="12.42578125" style="147" customWidth="1"/>
    <col min="12038" max="12038" width="18.5703125" style="147" customWidth="1"/>
    <col min="12039" max="12039" width="23.5703125" style="147" customWidth="1"/>
    <col min="12040" max="12040" width="17.140625" style="147" customWidth="1"/>
    <col min="12041" max="12041" width="21.140625" style="147" customWidth="1"/>
    <col min="12042" max="12042" width="19.85546875" style="147" customWidth="1"/>
    <col min="12043" max="12043" width="17.5703125" style="147" customWidth="1"/>
    <col min="12044" max="12288" width="9.140625" style="147"/>
    <col min="12289" max="12289" width="8.28515625" style="147" customWidth="1"/>
    <col min="12290" max="12290" width="55.42578125" style="147" bestFit="1" customWidth="1"/>
    <col min="12291" max="12291" width="9.5703125" style="147" customWidth="1"/>
    <col min="12292" max="12292" width="9.140625" style="147"/>
    <col min="12293" max="12293" width="12.42578125" style="147" customWidth="1"/>
    <col min="12294" max="12294" width="18.5703125" style="147" customWidth="1"/>
    <col min="12295" max="12295" width="23.5703125" style="147" customWidth="1"/>
    <col min="12296" max="12296" width="17.140625" style="147" customWidth="1"/>
    <col min="12297" max="12297" width="21.140625" style="147" customWidth="1"/>
    <col min="12298" max="12298" width="19.85546875" style="147" customWidth="1"/>
    <col min="12299" max="12299" width="17.5703125" style="147" customWidth="1"/>
    <col min="12300" max="12544" width="9.140625" style="147"/>
    <col min="12545" max="12545" width="8.28515625" style="147" customWidth="1"/>
    <col min="12546" max="12546" width="55.42578125" style="147" bestFit="1" customWidth="1"/>
    <col min="12547" max="12547" width="9.5703125" style="147" customWidth="1"/>
    <col min="12548" max="12548" width="9.140625" style="147"/>
    <col min="12549" max="12549" width="12.42578125" style="147" customWidth="1"/>
    <col min="12550" max="12550" width="18.5703125" style="147" customWidth="1"/>
    <col min="12551" max="12551" width="23.5703125" style="147" customWidth="1"/>
    <col min="12552" max="12552" width="17.140625" style="147" customWidth="1"/>
    <col min="12553" max="12553" width="21.140625" style="147" customWidth="1"/>
    <col min="12554" max="12554" width="19.85546875" style="147" customWidth="1"/>
    <col min="12555" max="12555" width="17.5703125" style="147" customWidth="1"/>
    <col min="12556" max="12800" width="9.140625" style="147"/>
    <col min="12801" max="12801" width="8.28515625" style="147" customWidth="1"/>
    <col min="12802" max="12802" width="55.42578125" style="147" bestFit="1" customWidth="1"/>
    <col min="12803" max="12803" width="9.5703125" style="147" customWidth="1"/>
    <col min="12804" max="12804" width="9.140625" style="147"/>
    <col min="12805" max="12805" width="12.42578125" style="147" customWidth="1"/>
    <col min="12806" max="12806" width="18.5703125" style="147" customWidth="1"/>
    <col min="12807" max="12807" width="23.5703125" style="147" customWidth="1"/>
    <col min="12808" max="12808" width="17.140625" style="147" customWidth="1"/>
    <col min="12809" max="12809" width="21.140625" style="147" customWidth="1"/>
    <col min="12810" max="12810" width="19.85546875" style="147" customWidth="1"/>
    <col min="12811" max="12811" width="17.5703125" style="147" customWidth="1"/>
    <col min="12812" max="13056" width="9.140625" style="147"/>
    <col min="13057" max="13057" width="8.28515625" style="147" customWidth="1"/>
    <col min="13058" max="13058" width="55.42578125" style="147" bestFit="1" customWidth="1"/>
    <col min="13059" max="13059" width="9.5703125" style="147" customWidth="1"/>
    <col min="13060" max="13060" width="9.140625" style="147"/>
    <col min="13061" max="13061" width="12.42578125" style="147" customWidth="1"/>
    <col min="13062" max="13062" width="18.5703125" style="147" customWidth="1"/>
    <col min="13063" max="13063" width="23.5703125" style="147" customWidth="1"/>
    <col min="13064" max="13064" width="17.140625" style="147" customWidth="1"/>
    <col min="13065" max="13065" width="21.140625" style="147" customWidth="1"/>
    <col min="13066" max="13066" width="19.85546875" style="147" customWidth="1"/>
    <col min="13067" max="13067" width="17.5703125" style="147" customWidth="1"/>
    <col min="13068" max="13312" width="9.140625" style="147"/>
    <col min="13313" max="13313" width="8.28515625" style="147" customWidth="1"/>
    <col min="13314" max="13314" width="55.42578125" style="147" bestFit="1" customWidth="1"/>
    <col min="13315" max="13315" width="9.5703125" style="147" customWidth="1"/>
    <col min="13316" max="13316" width="9.140625" style="147"/>
    <col min="13317" max="13317" width="12.42578125" style="147" customWidth="1"/>
    <col min="13318" max="13318" width="18.5703125" style="147" customWidth="1"/>
    <col min="13319" max="13319" width="23.5703125" style="147" customWidth="1"/>
    <col min="13320" max="13320" width="17.140625" style="147" customWidth="1"/>
    <col min="13321" max="13321" width="21.140625" style="147" customWidth="1"/>
    <col min="13322" max="13322" width="19.85546875" style="147" customWidth="1"/>
    <col min="13323" max="13323" width="17.5703125" style="147" customWidth="1"/>
    <col min="13324" max="13568" width="9.140625" style="147"/>
    <col min="13569" max="13569" width="8.28515625" style="147" customWidth="1"/>
    <col min="13570" max="13570" width="55.42578125" style="147" bestFit="1" customWidth="1"/>
    <col min="13571" max="13571" width="9.5703125" style="147" customWidth="1"/>
    <col min="13572" max="13572" width="9.140625" style="147"/>
    <col min="13573" max="13573" width="12.42578125" style="147" customWidth="1"/>
    <col min="13574" max="13574" width="18.5703125" style="147" customWidth="1"/>
    <col min="13575" max="13575" width="23.5703125" style="147" customWidth="1"/>
    <col min="13576" max="13576" width="17.140625" style="147" customWidth="1"/>
    <col min="13577" max="13577" width="21.140625" style="147" customWidth="1"/>
    <col min="13578" max="13578" width="19.85546875" style="147" customWidth="1"/>
    <col min="13579" max="13579" width="17.5703125" style="147" customWidth="1"/>
    <col min="13580" max="13824" width="9.140625" style="147"/>
    <col min="13825" max="13825" width="8.28515625" style="147" customWidth="1"/>
    <col min="13826" max="13826" width="55.42578125" style="147" bestFit="1" customWidth="1"/>
    <col min="13827" max="13827" width="9.5703125" style="147" customWidth="1"/>
    <col min="13828" max="13828" width="9.140625" style="147"/>
    <col min="13829" max="13829" width="12.42578125" style="147" customWidth="1"/>
    <col min="13830" max="13830" width="18.5703125" style="147" customWidth="1"/>
    <col min="13831" max="13831" width="23.5703125" style="147" customWidth="1"/>
    <col min="13832" max="13832" width="17.140625" style="147" customWidth="1"/>
    <col min="13833" max="13833" width="21.140625" style="147" customWidth="1"/>
    <col min="13834" max="13834" width="19.85546875" style="147" customWidth="1"/>
    <col min="13835" max="13835" width="17.5703125" style="147" customWidth="1"/>
    <col min="13836" max="14080" width="9.140625" style="147"/>
    <col min="14081" max="14081" width="8.28515625" style="147" customWidth="1"/>
    <col min="14082" max="14082" width="55.42578125" style="147" bestFit="1" customWidth="1"/>
    <col min="14083" max="14083" width="9.5703125" style="147" customWidth="1"/>
    <col min="14084" max="14084" width="9.140625" style="147"/>
    <col min="14085" max="14085" width="12.42578125" style="147" customWidth="1"/>
    <col min="14086" max="14086" width="18.5703125" style="147" customWidth="1"/>
    <col min="14087" max="14087" width="23.5703125" style="147" customWidth="1"/>
    <col min="14088" max="14088" width="17.140625" style="147" customWidth="1"/>
    <col min="14089" max="14089" width="21.140625" style="147" customWidth="1"/>
    <col min="14090" max="14090" width="19.85546875" style="147" customWidth="1"/>
    <col min="14091" max="14091" width="17.5703125" style="147" customWidth="1"/>
    <col min="14092" max="14336" width="9.140625" style="147"/>
    <col min="14337" max="14337" width="8.28515625" style="147" customWidth="1"/>
    <col min="14338" max="14338" width="55.42578125" style="147" bestFit="1" customWidth="1"/>
    <col min="14339" max="14339" width="9.5703125" style="147" customWidth="1"/>
    <col min="14340" max="14340" width="9.140625" style="147"/>
    <col min="14341" max="14341" width="12.42578125" style="147" customWidth="1"/>
    <col min="14342" max="14342" width="18.5703125" style="147" customWidth="1"/>
    <col min="14343" max="14343" width="23.5703125" style="147" customWidth="1"/>
    <col min="14344" max="14344" width="17.140625" style="147" customWidth="1"/>
    <col min="14345" max="14345" width="21.140625" style="147" customWidth="1"/>
    <col min="14346" max="14346" width="19.85546875" style="147" customWidth="1"/>
    <col min="14347" max="14347" width="17.5703125" style="147" customWidth="1"/>
    <col min="14348" max="14592" width="9.140625" style="147"/>
    <col min="14593" max="14593" width="8.28515625" style="147" customWidth="1"/>
    <col min="14594" max="14594" width="55.42578125" style="147" bestFit="1" customWidth="1"/>
    <col min="14595" max="14595" width="9.5703125" style="147" customWidth="1"/>
    <col min="14596" max="14596" width="9.140625" style="147"/>
    <col min="14597" max="14597" width="12.42578125" style="147" customWidth="1"/>
    <col min="14598" max="14598" width="18.5703125" style="147" customWidth="1"/>
    <col min="14599" max="14599" width="23.5703125" style="147" customWidth="1"/>
    <col min="14600" max="14600" width="17.140625" style="147" customWidth="1"/>
    <col min="14601" max="14601" width="21.140625" style="147" customWidth="1"/>
    <col min="14602" max="14602" width="19.85546875" style="147" customWidth="1"/>
    <col min="14603" max="14603" width="17.5703125" style="147" customWidth="1"/>
    <col min="14604" max="14848" width="9.140625" style="147"/>
    <col min="14849" max="14849" width="8.28515625" style="147" customWidth="1"/>
    <col min="14850" max="14850" width="55.42578125" style="147" bestFit="1" customWidth="1"/>
    <col min="14851" max="14851" width="9.5703125" style="147" customWidth="1"/>
    <col min="14852" max="14852" width="9.140625" style="147"/>
    <col min="14853" max="14853" width="12.42578125" style="147" customWidth="1"/>
    <col min="14854" max="14854" width="18.5703125" style="147" customWidth="1"/>
    <col min="14855" max="14855" width="23.5703125" style="147" customWidth="1"/>
    <col min="14856" max="14856" width="17.140625" style="147" customWidth="1"/>
    <col min="14857" max="14857" width="21.140625" style="147" customWidth="1"/>
    <col min="14858" max="14858" width="19.85546875" style="147" customWidth="1"/>
    <col min="14859" max="14859" width="17.5703125" style="147" customWidth="1"/>
    <col min="14860" max="15104" width="9.140625" style="147"/>
    <col min="15105" max="15105" width="8.28515625" style="147" customWidth="1"/>
    <col min="15106" max="15106" width="55.42578125" style="147" bestFit="1" customWidth="1"/>
    <col min="15107" max="15107" width="9.5703125" style="147" customWidth="1"/>
    <col min="15108" max="15108" width="9.140625" style="147"/>
    <col min="15109" max="15109" width="12.42578125" style="147" customWidth="1"/>
    <col min="15110" max="15110" width="18.5703125" style="147" customWidth="1"/>
    <col min="15111" max="15111" width="23.5703125" style="147" customWidth="1"/>
    <col min="15112" max="15112" width="17.140625" style="147" customWidth="1"/>
    <col min="15113" max="15113" width="21.140625" style="147" customWidth="1"/>
    <col min="15114" max="15114" width="19.85546875" style="147" customWidth="1"/>
    <col min="15115" max="15115" width="17.5703125" style="147" customWidth="1"/>
    <col min="15116" max="15360" width="9.140625" style="147"/>
    <col min="15361" max="15361" width="8.28515625" style="147" customWidth="1"/>
    <col min="15362" max="15362" width="55.42578125" style="147" bestFit="1" customWidth="1"/>
    <col min="15363" max="15363" width="9.5703125" style="147" customWidth="1"/>
    <col min="15364" max="15364" width="9.140625" style="147"/>
    <col min="15365" max="15365" width="12.42578125" style="147" customWidth="1"/>
    <col min="15366" max="15366" width="18.5703125" style="147" customWidth="1"/>
    <col min="15367" max="15367" width="23.5703125" style="147" customWidth="1"/>
    <col min="15368" max="15368" width="17.140625" style="147" customWidth="1"/>
    <col min="15369" max="15369" width="21.140625" style="147" customWidth="1"/>
    <col min="15370" max="15370" width="19.85546875" style="147" customWidth="1"/>
    <col min="15371" max="15371" width="17.5703125" style="147" customWidth="1"/>
    <col min="15372" max="15616" width="9.140625" style="147"/>
    <col min="15617" max="15617" width="8.28515625" style="147" customWidth="1"/>
    <col min="15618" max="15618" width="55.42578125" style="147" bestFit="1" customWidth="1"/>
    <col min="15619" max="15619" width="9.5703125" style="147" customWidth="1"/>
    <col min="15620" max="15620" width="9.140625" style="147"/>
    <col min="15621" max="15621" width="12.42578125" style="147" customWidth="1"/>
    <col min="15622" max="15622" width="18.5703125" style="147" customWidth="1"/>
    <col min="15623" max="15623" width="23.5703125" style="147" customWidth="1"/>
    <col min="15624" max="15624" width="17.140625" style="147" customWidth="1"/>
    <col min="15625" max="15625" width="21.140625" style="147" customWidth="1"/>
    <col min="15626" max="15626" width="19.85546875" style="147" customWidth="1"/>
    <col min="15627" max="15627" width="17.5703125" style="147" customWidth="1"/>
    <col min="15628" max="15872" width="9.140625" style="147"/>
    <col min="15873" max="15873" width="8.28515625" style="147" customWidth="1"/>
    <col min="15874" max="15874" width="55.42578125" style="147" bestFit="1" customWidth="1"/>
    <col min="15875" max="15875" width="9.5703125" style="147" customWidth="1"/>
    <col min="15876" max="15876" width="9.140625" style="147"/>
    <col min="15877" max="15877" width="12.42578125" style="147" customWidth="1"/>
    <col min="15878" max="15878" width="18.5703125" style="147" customWidth="1"/>
    <col min="15879" max="15879" width="23.5703125" style="147" customWidth="1"/>
    <col min="15880" max="15880" width="17.140625" style="147" customWidth="1"/>
    <col min="15881" max="15881" width="21.140625" style="147" customWidth="1"/>
    <col min="15882" max="15882" width="19.85546875" style="147" customWidth="1"/>
    <col min="15883" max="15883" width="17.5703125" style="147" customWidth="1"/>
    <col min="15884" max="16128" width="9.140625" style="147"/>
    <col min="16129" max="16129" width="8.28515625" style="147" customWidth="1"/>
    <col min="16130" max="16130" width="55.42578125" style="147" bestFit="1" customWidth="1"/>
    <col min="16131" max="16131" width="9.5703125" style="147" customWidth="1"/>
    <col min="16132" max="16132" width="9.140625" style="147"/>
    <col min="16133" max="16133" width="12.42578125" style="147" customWidth="1"/>
    <col min="16134" max="16134" width="18.5703125" style="147" customWidth="1"/>
    <col min="16135" max="16135" width="23.5703125" style="147" customWidth="1"/>
    <col min="16136" max="16136" width="17.140625" style="147" customWidth="1"/>
    <col min="16137" max="16137" width="21.140625" style="147" customWidth="1"/>
    <col min="16138" max="16138" width="19.85546875" style="147" customWidth="1"/>
    <col min="16139" max="16139" width="17.5703125" style="147" customWidth="1"/>
    <col min="16140" max="16384" width="9.140625" style="147"/>
  </cols>
  <sheetData>
    <row r="1" spans="1:11" ht="18" customHeight="1">
      <c r="C1" s="148"/>
      <c r="D1" s="149"/>
      <c r="E1" s="148"/>
      <c r="F1" s="148"/>
      <c r="G1" s="148"/>
      <c r="H1" s="148"/>
      <c r="I1" s="148"/>
      <c r="J1" s="148"/>
      <c r="K1" s="148"/>
    </row>
    <row r="2" spans="1:11" ht="18" customHeight="1">
      <c r="D2" s="910" t="s">
        <v>713</v>
      </c>
      <c r="E2" s="911"/>
      <c r="F2" s="911"/>
      <c r="G2" s="911"/>
      <c r="H2" s="911"/>
    </row>
    <row r="3" spans="1:11" ht="18" customHeight="1">
      <c r="B3" s="150" t="s">
        <v>0</v>
      </c>
    </row>
    <row r="5" spans="1:11" ht="18" customHeight="1">
      <c r="B5" s="151" t="s">
        <v>40</v>
      </c>
      <c r="C5" s="912" t="s">
        <v>392</v>
      </c>
      <c r="D5" s="918"/>
      <c r="E5" s="918"/>
      <c r="F5" s="918"/>
      <c r="G5" s="919"/>
    </row>
    <row r="6" spans="1:11" ht="18" customHeight="1">
      <c r="B6" s="151" t="s">
        <v>3</v>
      </c>
      <c r="C6" s="929">
        <v>39</v>
      </c>
      <c r="D6" s="921"/>
      <c r="E6" s="921"/>
      <c r="F6" s="921"/>
      <c r="G6" s="922"/>
    </row>
    <row r="7" spans="1:11" ht="18" customHeight="1">
      <c r="B7" s="151" t="s">
        <v>4</v>
      </c>
      <c r="C7" s="930">
        <v>1105</v>
      </c>
      <c r="D7" s="924"/>
      <c r="E7" s="924"/>
      <c r="F7" s="924"/>
      <c r="G7" s="925"/>
    </row>
    <row r="9" spans="1:11" ht="18" customHeight="1">
      <c r="B9" s="151" t="s">
        <v>1</v>
      </c>
      <c r="C9" s="912" t="s">
        <v>393</v>
      </c>
      <c r="D9" s="918"/>
      <c r="E9" s="918"/>
      <c r="F9" s="918"/>
      <c r="G9" s="919"/>
    </row>
    <row r="10" spans="1:11" ht="18" customHeight="1">
      <c r="B10" s="151" t="s">
        <v>2</v>
      </c>
      <c r="C10" s="926" t="s">
        <v>817</v>
      </c>
      <c r="D10" s="927"/>
      <c r="E10" s="927"/>
      <c r="F10" s="927"/>
      <c r="G10" s="928"/>
    </row>
    <row r="11" spans="1:11" ht="18" customHeight="1">
      <c r="B11" s="151" t="s">
        <v>32</v>
      </c>
      <c r="C11" s="912" t="s">
        <v>394</v>
      </c>
      <c r="D11" s="913"/>
      <c r="E11" s="913"/>
      <c r="F11" s="913"/>
      <c r="G11" s="913"/>
    </row>
    <row r="12" spans="1:11" ht="18" customHeight="1">
      <c r="B12" s="151"/>
      <c r="C12" s="151"/>
      <c r="D12" s="151"/>
      <c r="E12" s="151"/>
      <c r="F12" s="151"/>
      <c r="G12" s="151"/>
    </row>
    <row r="13" spans="1:11" ht="24.6" customHeight="1">
      <c r="B13" s="914"/>
      <c r="C13" s="915"/>
      <c r="D13" s="915"/>
      <c r="E13" s="915"/>
      <c r="F13" s="915"/>
      <c r="G13" s="915"/>
      <c r="H13" s="916"/>
      <c r="I13" s="148"/>
    </row>
    <row r="14" spans="1:11" ht="18" customHeight="1">
      <c r="B14" s="152"/>
    </row>
    <row r="15" spans="1:11" ht="18" customHeight="1">
      <c r="B15" s="152"/>
    </row>
    <row r="16" spans="1:11" ht="45" customHeight="1">
      <c r="A16" s="149" t="s">
        <v>181</v>
      </c>
      <c r="B16" s="148"/>
      <c r="C16" s="148"/>
      <c r="D16" s="148"/>
      <c r="E16" s="148"/>
      <c r="F16" s="153" t="s">
        <v>9</v>
      </c>
      <c r="G16" s="153" t="s">
        <v>37</v>
      </c>
      <c r="H16" s="153" t="s">
        <v>29</v>
      </c>
      <c r="I16" s="153" t="s">
        <v>30</v>
      </c>
      <c r="J16" s="153" t="s">
        <v>33</v>
      </c>
      <c r="K16" s="153" t="s">
        <v>34</v>
      </c>
    </row>
    <row r="17" spans="1:11" ht="18" customHeight="1">
      <c r="A17" s="154" t="s">
        <v>184</v>
      </c>
      <c r="B17" s="150" t="s">
        <v>182</v>
      </c>
    </row>
    <row r="18" spans="1:11" ht="18" customHeight="1">
      <c r="A18" s="151" t="s">
        <v>185</v>
      </c>
      <c r="B18" s="155" t="s">
        <v>183</v>
      </c>
      <c r="F18" s="156" t="s">
        <v>73</v>
      </c>
      <c r="G18" s="156" t="s">
        <v>73</v>
      </c>
      <c r="H18" s="596">
        <v>3641094</v>
      </c>
      <c r="I18" s="596">
        <v>0</v>
      </c>
      <c r="J18" s="596">
        <v>3113591</v>
      </c>
      <c r="K18" s="159">
        <f>(H18+I18)-J18</f>
        <v>527503</v>
      </c>
    </row>
    <row r="19" spans="1:11" ht="45" customHeight="1">
      <c r="A19" s="149" t="s">
        <v>8</v>
      </c>
      <c r="B19" s="148"/>
      <c r="C19" s="148"/>
      <c r="D19" s="148"/>
      <c r="E19" s="148"/>
      <c r="F19" s="153" t="s">
        <v>9</v>
      </c>
      <c r="G19" s="153" t="s">
        <v>37</v>
      </c>
      <c r="H19" s="153" t="s">
        <v>29</v>
      </c>
      <c r="I19" s="153" t="s">
        <v>30</v>
      </c>
      <c r="J19" s="153" t="s">
        <v>33</v>
      </c>
      <c r="K19" s="153" t="s">
        <v>34</v>
      </c>
    </row>
    <row r="20" spans="1:11" ht="18" customHeight="1">
      <c r="A20" s="154" t="s">
        <v>74</v>
      </c>
      <c r="B20" s="150" t="s">
        <v>41</v>
      </c>
    </row>
    <row r="21" spans="1:11" ht="18" customHeight="1">
      <c r="A21" s="151" t="s">
        <v>75</v>
      </c>
      <c r="B21" s="155" t="s">
        <v>42</v>
      </c>
      <c r="F21" s="597">
        <v>2601.5</v>
      </c>
      <c r="G21" s="597">
        <v>140182</v>
      </c>
      <c r="H21" s="596">
        <v>341463</v>
      </c>
      <c r="I21" s="596">
        <v>238925</v>
      </c>
      <c r="J21" s="596">
        <v>10360</v>
      </c>
      <c r="K21" s="159">
        <f t="shared" ref="K21:K34" si="0">(H21+I21)-J21</f>
        <v>570028</v>
      </c>
    </row>
    <row r="22" spans="1:11" ht="18" customHeight="1">
      <c r="A22" s="151" t="s">
        <v>76</v>
      </c>
      <c r="B22" s="147" t="s">
        <v>6</v>
      </c>
      <c r="F22" s="597">
        <v>184.5</v>
      </c>
      <c r="G22" s="597">
        <v>1222</v>
      </c>
      <c r="H22" s="596">
        <v>7290</v>
      </c>
      <c r="I22" s="596">
        <v>6220</v>
      </c>
      <c r="J22" s="596">
        <v>0</v>
      </c>
      <c r="K22" s="159">
        <f t="shared" si="0"/>
        <v>13510</v>
      </c>
    </row>
    <row r="23" spans="1:11" ht="18" customHeight="1">
      <c r="A23" s="151" t="s">
        <v>77</v>
      </c>
      <c r="B23" s="147" t="s">
        <v>43</v>
      </c>
      <c r="F23" s="597"/>
      <c r="G23" s="597"/>
      <c r="H23" s="596"/>
      <c r="I23" s="596">
        <v>0</v>
      </c>
      <c r="J23" s="596"/>
      <c r="K23" s="159">
        <f t="shared" si="0"/>
        <v>0</v>
      </c>
    </row>
    <row r="24" spans="1:11" ht="18" customHeight="1">
      <c r="A24" s="151" t="s">
        <v>78</v>
      </c>
      <c r="B24" s="147" t="s">
        <v>44</v>
      </c>
      <c r="F24" s="597">
        <v>15</v>
      </c>
      <c r="G24" s="597">
        <v>49</v>
      </c>
      <c r="H24" s="596">
        <v>583</v>
      </c>
      <c r="I24" s="596">
        <v>314</v>
      </c>
      <c r="J24" s="596">
        <v>0</v>
      </c>
      <c r="K24" s="159">
        <f t="shared" si="0"/>
        <v>897</v>
      </c>
    </row>
    <row r="25" spans="1:11" ht="18" customHeight="1">
      <c r="A25" s="151" t="s">
        <v>79</v>
      </c>
      <c r="B25" s="147" t="s">
        <v>5</v>
      </c>
      <c r="F25" s="597">
        <v>506.5</v>
      </c>
      <c r="G25" s="597">
        <v>1168</v>
      </c>
      <c r="H25" s="596">
        <v>21212</v>
      </c>
      <c r="I25" s="596">
        <v>17871</v>
      </c>
      <c r="J25" s="596">
        <v>800</v>
      </c>
      <c r="K25" s="159">
        <f t="shared" si="0"/>
        <v>38283</v>
      </c>
    </row>
    <row r="26" spans="1:11" ht="18" customHeight="1">
      <c r="A26" s="151" t="s">
        <v>80</v>
      </c>
      <c r="B26" s="147" t="s">
        <v>45</v>
      </c>
      <c r="F26" s="597"/>
      <c r="G26" s="597"/>
      <c r="H26" s="596"/>
      <c r="I26" s="596">
        <v>0</v>
      </c>
      <c r="J26" s="596"/>
      <c r="K26" s="159">
        <f t="shared" si="0"/>
        <v>0</v>
      </c>
    </row>
    <row r="27" spans="1:11" ht="18" customHeight="1">
      <c r="A27" s="151" t="s">
        <v>81</v>
      </c>
      <c r="B27" s="147" t="s">
        <v>46</v>
      </c>
      <c r="F27" s="597">
        <v>179</v>
      </c>
      <c r="G27" s="597">
        <v>52</v>
      </c>
      <c r="H27" s="596">
        <v>8287</v>
      </c>
      <c r="I27" s="596">
        <v>7144</v>
      </c>
      <c r="J27" s="596">
        <v>0</v>
      </c>
      <c r="K27" s="159">
        <f t="shared" si="0"/>
        <v>15431</v>
      </c>
    </row>
    <row r="28" spans="1:11" ht="18" customHeight="1">
      <c r="A28" s="151" t="s">
        <v>82</v>
      </c>
      <c r="B28" s="147" t="s">
        <v>47</v>
      </c>
      <c r="F28" s="597"/>
      <c r="G28" s="597"/>
      <c r="H28" s="596"/>
      <c r="I28" s="596">
        <v>0</v>
      </c>
      <c r="J28" s="596"/>
      <c r="K28" s="159">
        <f t="shared" si="0"/>
        <v>0</v>
      </c>
    </row>
    <row r="29" spans="1:11" ht="18" customHeight="1">
      <c r="A29" s="151" t="s">
        <v>83</v>
      </c>
      <c r="B29" s="147" t="s">
        <v>48</v>
      </c>
      <c r="F29" s="597">
        <v>893.5</v>
      </c>
      <c r="G29" s="597">
        <v>3860</v>
      </c>
      <c r="H29" s="596">
        <v>363580</v>
      </c>
      <c r="I29" s="596">
        <v>313471</v>
      </c>
      <c r="J29" s="596">
        <v>0</v>
      </c>
      <c r="K29" s="159">
        <f t="shared" si="0"/>
        <v>677051</v>
      </c>
    </row>
    <row r="30" spans="1:11" ht="18" customHeight="1">
      <c r="A30" s="151" t="s">
        <v>84</v>
      </c>
      <c r="B30" s="898"/>
      <c r="C30" s="899"/>
      <c r="D30" s="900"/>
      <c r="F30" s="156"/>
      <c r="G30" s="156"/>
      <c r="H30" s="157"/>
      <c r="I30" s="158">
        <f>H30*F$114</f>
        <v>0</v>
      </c>
      <c r="J30" s="157"/>
      <c r="K30" s="159">
        <f t="shared" si="0"/>
        <v>0</v>
      </c>
    </row>
    <row r="31" spans="1:11" ht="18" customHeight="1">
      <c r="A31" s="151" t="s">
        <v>133</v>
      </c>
      <c r="B31" s="898"/>
      <c r="C31" s="899"/>
      <c r="D31" s="900"/>
      <c r="F31" s="156"/>
      <c r="G31" s="156"/>
      <c r="H31" s="157"/>
      <c r="I31" s="158">
        <f>H31*F$114</f>
        <v>0</v>
      </c>
      <c r="J31" s="157"/>
      <c r="K31" s="159">
        <f t="shared" si="0"/>
        <v>0</v>
      </c>
    </row>
    <row r="32" spans="1:11" ht="18" customHeight="1">
      <c r="A32" s="151" t="s">
        <v>134</v>
      </c>
      <c r="B32" s="393"/>
      <c r="C32" s="394"/>
      <c r="D32" s="395"/>
      <c r="F32" s="156"/>
      <c r="G32" s="160" t="s">
        <v>85</v>
      </c>
      <c r="H32" s="157"/>
      <c r="I32" s="158">
        <f>H32*F$114</f>
        <v>0</v>
      </c>
      <c r="J32" s="157"/>
      <c r="K32" s="159">
        <f t="shared" si="0"/>
        <v>0</v>
      </c>
    </row>
    <row r="33" spans="1:11" ht="18" customHeight="1">
      <c r="A33" s="151" t="s">
        <v>135</v>
      </c>
      <c r="B33" s="393"/>
      <c r="C33" s="394"/>
      <c r="D33" s="395"/>
      <c r="F33" s="156"/>
      <c r="G33" s="160" t="s">
        <v>85</v>
      </c>
      <c r="H33" s="157"/>
      <c r="I33" s="158">
        <f>H33*F$114</f>
        <v>0</v>
      </c>
      <c r="J33" s="157"/>
      <c r="K33" s="159">
        <f t="shared" si="0"/>
        <v>0</v>
      </c>
    </row>
    <row r="34" spans="1:11" ht="18" customHeight="1">
      <c r="A34" s="151" t="s">
        <v>136</v>
      </c>
      <c r="B34" s="898"/>
      <c r="C34" s="899"/>
      <c r="D34" s="900"/>
      <c r="F34" s="156"/>
      <c r="G34" s="160" t="s">
        <v>85</v>
      </c>
      <c r="H34" s="157"/>
      <c r="I34" s="158">
        <f>H34*F$114</f>
        <v>0</v>
      </c>
      <c r="J34" s="157"/>
      <c r="K34" s="159">
        <f t="shared" si="0"/>
        <v>0</v>
      </c>
    </row>
    <row r="35" spans="1:11" ht="18" customHeight="1">
      <c r="K35" s="161"/>
    </row>
    <row r="36" spans="1:11" ht="18" customHeight="1">
      <c r="A36" s="154" t="s">
        <v>137</v>
      </c>
      <c r="B36" s="150" t="s">
        <v>138</v>
      </c>
      <c r="E36" s="150" t="s">
        <v>7</v>
      </c>
      <c r="F36" s="162">
        <f t="shared" ref="F36:K36" si="1">SUM(F21:F34)</f>
        <v>4380</v>
      </c>
      <c r="G36" s="162">
        <f t="shared" si="1"/>
        <v>146533</v>
      </c>
      <c r="H36" s="162">
        <f t="shared" si="1"/>
        <v>742415</v>
      </c>
      <c r="I36" s="159">
        <f t="shared" si="1"/>
        <v>583945</v>
      </c>
      <c r="J36" s="159">
        <f t="shared" si="1"/>
        <v>11160</v>
      </c>
      <c r="K36" s="159">
        <f t="shared" si="1"/>
        <v>1315200</v>
      </c>
    </row>
    <row r="37" spans="1:11" ht="18" customHeight="1" thickBot="1">
      <c r="B37" s="150"/>
      <c r="F37" s="163"/>
      <c r="G37" s="163"/>
      <c r="H37" s="164"/>
      <c r="I37" s="164"/>
      <c r="J37" s="164"/>
      <c r="K37" s="165"/>
    </row>
    <row r="38" spans="1:11" ht="42.75" customHeight="1">
      <c r="F38" s="153" t="s">
        <v>9</v>
      </c>
      <c r="G38" s="153" t="s">
        <v>37</v>
      </c>
      <c r="H38" s="153" t="s">
        <v>29</v>
      </c>
      <c r="I38" s="153" t="s">
        <v>30</v>
      </c>
      <c r="J38" s="153" t="s">
        <v>33</v>
      </c>
      <c r="K38" s="153" t="s">
        <v>34</v>
      </c>
    </row>
    <row r="39" spans="1:11" ht="18.75" customHeight="1">
      <c r="A39" s="154" t="s">
        <v>86</v>
      </c>
      <c r="B39" s="150" t="s">
        <v>49</v>
      </c>
    </row>
    <row r="40" spans="1:11" ht="18" customHeight="1">
      <c r="A40" s="151" t="s">
        <v>87</v>
      </c>
      <c r="B40" s="147" t="s">
        <v>31</v>
      </c>
      <c r="F40" s="597">
        <v>10</v>
      </c>
      <c r="G40" s="597">
        <v>280</v>
      </c>
      <c r="H40" s="596">
        <v>49800</v>
      </c>
      <c r="I40" s="596">
        <v>17199</v>
      </c>
      <c r="J40" s="596">
        <v>0</v>
      </c>
      <c r="K40" s="159">
        <f t="shared" ref="K40:K47" si="2">(H40+I40)-J40</f>
        <v>66999</v>
      </c>
    </row>
    <row r="41" spans="1:11" ht="18" customHeight="1">
      <c r="A41" s="151" t="s">
        <v>88</v>
      </c>
      <c r="B41" s="904" t="s">
        <v>50</v>
      </c>
      <c r="C41" s="907"/>
      <c r="F41" s="156"/>
      <c r="G41" s="156"/>
      <c r="H41" s="157"/>
      <c r="I41" s="158">
        <v>0</v>
      </c>
      <c r="J41" s="157"/>
      <c r="K41" s="159">
        <f t="shared" si="2"/>
        <v>0</v>
      </c>
    </row>
    <row r="42" spans="1:11" ht="18" customHeight="1">
      <c r="A42" s="151" t="s">
        <v>89</v>
      </c>
      <c r="B42" s="155" t="s">
        <v>11</v>
      </c>
      <c r="F42" s="156"/>
      <c r="G42" s="156"/>
      <c r="H42" s="157"/>
      <c r="I42" s="158">
        <v>0</v>
      </c>
      <c r="J42" s="157"/>
      <c r="K42" s="159">
        <f t="shared" si="2"/>
        <v>0</v>
      </c>
    </row>
    <row r="43" spans="1:11" ht="18" customHeight="1">
      <c r="A43" s="151" t="s">
        <v>90</v>
      </c>
      <c r="B43" s="166" t="s">
        <v>10</v>
      </c>
      <c r="C43" s="167"/>
      <c r="D43" s="167"/>
      <c r="F43" s="156"/>
      <c r="G43" s="156"/>
      <c r="H43" s="157"/>
      <c r="I43" s="158">
        <v>0</v>
      </c>
      <c r="J43" s="157"/>
      <c r="K43" s="159">
        <f t="shared" si="2"/>
        <v>0</v>
      </c>
    </row>
    <row r="44" spans="1:11" ht="18" customHeight="1">
      <c r="A44" s="151" t="s">
        <v>91</v>
      </c>
      <c r="B44" s="598" t="s">
        <v>818</v>
      </c>
      <c r="C44" s="598"/>
      <c r="D44" s="598"/>
      <c r="F44" s="597">
        <v>12231</v>
      </c>
      <c r="G44" s="597">
        <v>279</v>
      </c>
      <c r="H44" s="596">
        <v>569393</v>
      </c>
      <c r="I44" s="596">
        <v>215080</v>
      </c>
      <c r="J44" s="596">
        <v>0</v>
      </c>
      <c r="K44" s="170">
        <f t="shared" si="2"/>
        <v>784473</v>
      </c>
    </row>
    <row r="45" spans="1:11" ht="18" customHeight="1">
      <c r="A45" s="151" t="s">
        <v>139</v>
      </c>
      <c r="B45" s="898"/>
      <c r="C45" s="899"/>
      <c r="D45" s="900"/>
      <c r="F45" s="156"/>
      <c r="G45" s="156"/>
      <c r="H45" s="157"/>
      <c r="I45" s="158">
        <v>0</v>
      </c>
      <c r="J45" s="157"/>
      <c r="K45" s="159">
        <f t="shared" si="2"/>
        <v>0</v>
      </c>
    </row>
    <row r="46" spans="1:11" ht="18" customHeight="1">
      <c r="A46" s="151" t="s">
        <v>140</v>
      </c>
      <c r="B46" s="898"/>
      <c r="C46" s="899"/>
      <c r="D46" s="900"/>
      <c r="F46" s="156"/>
      <c r="G46" s="156"/>
      <c r="H46" s="157"/>
      <c r="I46" s="158">
        <v>0</v>
      </c>
      <c r="J46" s="157"/>
      <c r="K46" s="159">
        <f t="shared" si="2"/>
        <v>0</v>
      </c>
    </row>
    <row r="47" spans="1:11" ht="18" customHeight="1">
      <c r="A47" s="151" t="s">
        <v>141</v>
      </c>
      <c r="B47" s="898"/>
      <c r="C47" s="899"/>
      <c r="D47" s="900"/>
      <c r="F47" s="156"/>
      <c r="G47" s="156"/>
      <c r="H47" s="157"/>
      <c r="I47" s="158">
        <v>0</v>
      </c>
      <c r="J47" s="157"/>
      <c r="K47" s="159">
        <f t="shared" si="2"/>
        <v>0</v>
      </c>
    </row>
    <row r="49" spans="1:11" ht="18" customHeight="1">
      <c r="A49" s="154" t="s">
        <v>142</v>
      </c>
      <c r="B49" s="150" t="s">
        <v>143</v>
      </c>
      <c r="E49" s="150" t="s">
        <v>7</v>
      </c>
      <c r="F49" s="171">
        <f t="shared" ref="F49:K49" si="3">SUM(F40:F47)</f>
        <v>12241</v>
      </c>
      <c r="G49" s="171">
        <f t="shared" si="3"/>
        <v>559</v>
      </c>
      <c r="H49" s="159">
        <f t="shared" si="3"/>
        <v>619193</v>
      </c>
      <c r="I49" s="159">
        <f t="shared" si="3"/>
        <v>232279</v>
      </c>
      <c r="J49" s="159">
        <f t="shared" si="3"/>
        <v>0</v>
      </c>
      <c r="K49" s="159">
        <f t="shared" si="3"/>
        <v>851472</v>
      </c>
    </row>
    <row r="50" spans="1:11" ht="18" customHeight="1" thickBot="1">
      <c r="G50" s="172"/>
      <c r="H50" s="172"/>
      <c r="I50" s="172"/>
      <c r="J50" s="172"/>
      <c r="K50" s="172"/>
    </row>
    <row r="51" spans="1:11" ht="42.75" customHeight="1">
      <c r="F51" s="153" t="s">
        <v>9</v>
      </c>
      <c r="G51" s="153" t="s">
        <v>37</v>
      </c>
      <c r="H51" s="153" t="s">
        <v>29</v>
      </c>
      <c r="I51" s="153" t="s">
        <v>30</v>
      </c>
      <c r="J51" s="153" t="s">
        <v>33</v>
      </c>
      <c r="K51" s="153" t="s">
        <v>34</v>
      </c>
    </row>
    <row r="52" spans="1:11" ht="18" customHeight="1">
      <c r="A52" s="154" t="s">
        <v>92</v>
      </c>
      <c r="B52" s="905" t="s">
        <v>38</v>
      </c>
      <c r="C52" s="906"/>
    </row>
    <row r="53" spans="1:11" ht="18" customHeight="1">
      <c r="A53" s="151" t="s">
        <v>51</v>
      </c>
      <c r="B53" s="598" t="s">
        <v>819</v>
      </c>
      <c r="C53" s="599"/>
      <c r="D53" s="599"/>
      <c r="F53" s="597">
        <v>35331</v>
      </c>
      <c r="G53" s="597">
        <v>25879</v>
      </c>
      <c r="H53" s="596">
        <v>2751324</v>
      </c>
      <c r="I53" s="596">
        <v>1366487</v>
      </c>
      <c r="J53" s="596">
        <v>2846766</v>
      </c>
      <c r="K53" s="159">
        <f t="shared" ref="K53:K62" si="4">(H53+I53)-J53</f>
        <v>1271045</v>
      </c>
    </row>
    <row r="54" spans="1:11" ht="18" customHeight="1">
      <c r="A54" s="151" t="s">
        <v>93</v>
      </c>
      <c r="B54" s="598" t="s">
        <v>820</v>
      </c>
      <c r="C54" s="599"/>
      <c r="D54" s="599"/>
      <c r="F54" s="597">
        <v>9825</v>
      </c>
      <c r="G54" s="597">
        <v>2822</v>
      </c>
      <c r="H54" s="596">
        <v>589925</v>
      </c>
      <c r="I54" s="596">
        <v>283283</v>
      </c>
      <c r="J54" s="596">
        <v>292844</v>
      </c>
      <c r="K54" s="159">
        <f t="shared" si="4"/>
        <v>580364</v>
      </c>
    </row>
    <row r="55" spans="1:11" ht="18" customHeight="1">
      <c r="A55" s="151" t="s">
        <v>94</v>
      </c>
      <c r="B55" s="598" t="s">
        <v>821</v>
      </c>
      <c r="C55" s="599"/>
      <c r="D55" s="599"/>
      <c r="F55" s="597">
        <v>43235</v>
      </c>
      <c r="G55" s="597">
        <v>322</v>
      </c>
      <c r="H55" s="596">
        <v>2449577</v>
      </c>
      <c r="I55" s="596">
        <v>1810087</v>
      </c>
      <c r="J55" s="596">
        <v>1834779</v>
      </c>
      <c r="K55" s="159">
        <f t="shared" si="4"/>
        <v>2424885</v>
      </c>
    </row>
    <row r="56" spans="1:11" ht="18" customHeight="1">
      <c r="A56" s="151" t="s">
        <v>95</v>
      </c>
      <c r="B56" s="598" t="s">
        <v>822</v>
      </c>
      <c r="C56" s="599"/>
      <c r="D56" s="599"/>
      <c r="F56" s="597">
        <v>4121</v>
      </c>
      <c r="G56" s="597">
        <v>0</v>
      </c>
      <c r="H56" s="596">
        <v>963768</v>
      </c>
      <c r="I56" s="596">
        <v>572394</v>
      </c>
      <c r="J56" s="596">
        <v>261605</v>
      </c>
      <c r="K56" s="159">
        <f t="shared" si="4"/>
        <v>1274557</v>
      </c>
    </row>
    <row r="57" spans="1:11" ht="18" customHeight="1">
      <c r="A57" s="151" t="s">
        <v>96</v>
      </c>
      <c r="B57" s="598" t="s">
        <v>823</v>
      </c>
      <c r="C57" s="599"/>
      <c r="D57" s="599"/>
      <c r="F57" s="597">
        <v>0</v>
      </c>
      <c r="G57" s="597">
        <v>0</v>
      </c>
      <c r="H57" s="596">
        <v>1501005</v>
      </c>
      <c r="I57" s="596">
        <v>861919</v>
      </c>
      <c r="J57" s="596">
        <v>0</v>
      </c>
      <c r="K57" s="159">
        <f t="shared" si="4"/>
        <v>2362924</v>
      </c>
    </row>
    <row r="58" spans="1:11" ht="18" customHeight="1">
      <c r="A58" s="151" t="s">
        <v>97</v>
      </c>
      <c r="B58" s="598" t="s">
        <v>824</v>
      </c>
      <c r="C58" s="599"/>
      <c r="D58" s="599"/>
      <c r="F58" s="597">
        <v>0</v>
      </c>
      <c r="G58" s="597">
        <v>0</v>
      </c>
      <c r="H58" s="596">
        <v>25000</v>
      </c>
      <c r="I58" s="596">
        <v>14356</v>
      </c>
      <c r="J58" s="596">
        <v>0</v>
      </c>
      <c r="K58" s="159">
        <f t="shared" si="4"/>
        <v>39356</v>
      </c>
    </row>
    <row r="59" spans="1:11" ht="18" customHeight="1">
      <c r="A59" s="151" t="s">
        <v>98</v>
      </c>
      <c r="B59" s="598"/>
      <c r="C59" s="599"/>
      <c r="D59" s="599"/>
      <c r="F59" s="597"/>
      <c r="G59" s="597"/>
      <c r="H59" s="596"/>
      <c r="I59" s="596">
        <v>0</v>
      </c>
      <c r="J59" s="596"/>
      <c r="K59" s="159">
        <f t="shared" si="4"/>
        <v>0</v>
      </c>
    </row>
    <row r="60" spans="1:11" ht="18" customHeight="1">
      <c r="A60" s="151" t="s">
        <v>99</v>
      </c>
      <c r="B60" s="598" t="s">
        <v>825</v>
      </c>
      <c r="C60" s="599"/>
      <c r="D60" s="599"/>
      <c r="F60" s="597">
        <v>0</v>
      </c>
      <c r="G60" s="597">
        <v>0</v>
      </c>
      <c r="H60" s="596">
        <v>1726932</v>
      </c>
      <c r="I60" s="596">
        <v>644198</v>
      </c>
      <c r="J60" s="596">
        <v>400338</v>
      </c>
      <c r="K60" s="159">
        <f t="shared" si="4"/>
        <v>1970792</v>
      </c>
    </row>
    <row r="61" spans="1:11" ht="18" customHeight="1">
      <c r="A61" s="151" t="s">
        <v>100</v>
      </c>
      <c r="B61" s="396"/>
      <c r="C61" s="397"/>
      <c r="D61" s="392"/>
      <c r="F61" s="156"/>
      <c r="G61" s="156"/>
      <c r="H61" s="157"/>
      <c r="I61" s="158">
        <v>0</v>
      </c>
      <c r="J61" s="157"/>
      <c r="K61" s="159">
        <f t="shared" si="4"/>
        <v>0</v>
      </c>
    </row>
    <row r="62" spans="1:11" ht="18" customHeight="1">
      <c r="A62" s="151" t="s">
        <v>101</v>
      </c>
      <c r="B62" s="901"/>
      <c r="C62" s="902"/>
      <c r="D62" s="903"/>
      <c r="F62" s="156"/>
      <c r="G62" s="156"/>
      <c r="H62" s="157"/>
      <c r="I62" s="158">
        <v>0</v>
      </c>
      <c r="J62" s="157"/>
      <c r="K62" s="159">
        <f t="shared" si="4"/>
        <v>0</v>
      </c>
    </row>
    <row r="63" spans="1:11" ht="18" customHeight="1">
      <c r="A63" s="151"/>
      <c r="I63" s="173"/>
    </row>
    <row r="64" spans="1:11" ht="18" customHeight="1">
      <c r="A64" s="151" t="s">
        <v>144</v>
      </c>
      <c r="B64" s="150" t="s">
        <v>145</v>
      </c>
      <c r="E64" s="150" t="s">
        <v>7</v>
      </c>
      <c r="F64" s="162">
        <f t="shared" ref="F64:K64" si="5">SUM(F53:F62)</f>
        <v>92512</v>
      </c>
      <c r="G64" s="162">
        <f t="shared" si="5"/>
        <v>29023</v>
      </c>
      <c r="H64" s="159">
        <f t="shared" si="5"/>
        <v>10007531</v>
      </c>
      <c r="I64" s="159">
        <f t="shared" si="5"/>
        <v>5552724</v>
      </c>
      <c r="J64" s="159">
        <f t="shared" si="5"/>
        <v>5636332</v>
      </c>
      <c r="K64" s="159">
        <f t="shared" si="5"/>
        <v>9923923</v>
      </c>
    </row>
    <row r="65" spans="1:11" ht="18" customHeight="1">
      <c r="F65" s="174"/>
      <c r="G65" s="174"/>
      <c r="H65" s="174"/>
      <c r="I65" s="174"/>
      <c r="J65" s="174"/>
      <c r="K65" s="174"/>
    </row>
    <row r="66" spans="1:11" ht="42.75" customHeight="1">
      <c r="F66" s="175" t="s">
        <v>9</v>
      </c>
      <c r="G66" s="175" t="s">
        <v>37</v>
      </c>
      <c r="H66" s="175" t="s">
        <v>29</v>
      </c>
      <c r="I66" s="175" t="s">
        <v>30</v>
      </c>
      <c r="J66" s="175" t="s">
        <v>33</v>
      </c>
      <c r="K66" s="175" t="s">
        <v>34</v>
      </c>
    </row>
    <row r="67" spans="1:11" ht="18" customHeight="1">
      <c r="A67" s="154" t="s">
        <v>102</v>
      </c>
      <c r="B67" s="150" t="s">
        <v>12</v>
      </c>
      <c r="F67" s="176"/>
      <c r="G67" s="176"/>
      <c r="H67" s="176"/>
      <c r="I67" s="177"/>
      <c r="J67" s="176"/>
      <c r="K67" s="178"/>
    </row>
    <row r="68" spans="1:11" ht="18" customHeight="1">
      <c r="A68" s="151" t="s">
        <v>103</v>
      </c>
      <c r="B68" s="147" t="s">
        <v>52</v>
      </c>
      <c r="F68" s="179"/>
      <c r="G68" s="179"/>
      <c r="H68" s="179"/>
      <c r="I68" s="158">
        <v>0</v>
      </c>
      <c r="J68" s="179"/>
      <c r="K68" s="159">
        <f>(H68+I68)-J68</f>
        <v>0</v>
      </c>
    </row>
    <row r="69" spans="1:11" ht="18" customHeight="1">
      <c r="A69" s="151" t="s">
        <v>104</v>
      </c>
      <c r="B69" s="155" t="s">
        <v>53</v>
      </c>
      <c r="F69" s="179"/>
      <c r="G69" s="179"/>
      <c r="H69" s="179"/>
      <c r="I69" s="158">
        <v>0</v>
      </c>
      <c r="J69" s="179"/>
      <c r="K69" s="159">
        <f>(H69+I69)-J69</f>
        <v>0</v>
      </c>
    </row>
    <row r="70" spans="1:11" ht="18" customHeight="1">
      <c r="A70" s="151" t="s">
        <v>178</v>
      </c>
      <c r="B70" s="396"/>
      <c r="C70" s="397"/>
      <c r="D70" s="392"/>
      <c r="E70" s="150"/>
      <c r="F70" s="180"/>
      <c r="G70" s="180"/>
      <c r="H70" s="181"/>
      <c r="I70" s="158">
        <v>0</v>
      </c>
      <c r="J70" s="181"/>
      <c r="K70" s="159">
        <f>(H70+I70)-J70</f>
        <v>0</v>
      </c>
    </row>
    <row r="71" spans="1:11" ht="18" customHeight="1">
      <c r="A71" s="151" t="s">
        <v>179</v>
      </c>
      <c r="B71" s="396"/>
      <c r="C71" s="397"/>
      <c r="D71" s="392"/>
      <c r="E71" s="150"/>
      <c r="F71" s="180"/>
      <c r="G71" s="180"/>
      <c r="H71" s="181"/>
      <c r="I71" s="158">
        <v>0</v>
      </c>
      <c r="J71" s="181"/>
      <c r="K71" s="159">
        <f>(H71+I71)-J71</f>
        <v>0</v>
      </c>
    </row>
    <row r="72" spans="1:11" ht="18" customHeight="1">
      <c r="A72" s="151" t="s">
        <v>180</v>
      </c>
      <c r="B72" s="390"/>
      <c r="C72" s="391"/>
      <c r="D72" s="182"/>
      <c r="E72" s="150"/>
      <c r="F72" s="156"/>
      <c r="G72" s="156"/>
      <c r="H72" s="157"/>
      <c r="I72" s="158">
        <v>0</v>
      </c>
      <c r="J72" s="157"/>
      <c r="K72" s="159">
        <f>(H72+I72)-J72</f>
        <v>0</v>
      </c>
    </row>
    <row r="73" spans="1:11" ht="18" customHeight="1">
      <c r="A73" s="151"/>
      <c r="B73" s="155"/>
      <c r="E73" s="150"/>
      <c r="F73" s="183"/>
      <c r="G73" s="183"/>
      <c r="H73" s="184"/>
      <c r="I73" s="177"/>
      <c r="J73" s="184"/>
      <c r="K73" s="178"/>
    </row>
    <row r="74" spans="1:11" ht="18" customHeight="1">
      <c r="A74" s="154" t="s">
        <v>146</v>
      </c>
      <c r="B74" s="150" t="s">
        <v>147</v>
      </c>
      <c r="E74" s="150" t="s">
        <v>7</v>
      </c>
      <c r="F74" s="185">
        <f t="shared" ref="F74:K74" si="6">SUM(F68:F72)</f>
        <v>0</v>
      </c>
      <c r="G74" s="185">
        <f t="shared" si="6"/>
        <v>0</v>
      </c>
      <c r="H74" s="185">
        <f t="shared" si="6"/>
        <v>0</v>
      </c>
      <c r="I74" s="186">
        <f t="shared" si="6"/>
        <v>0</v>
      </c>
      <c r="J74" s="185">
        <f t="shared" si="6"/>
        <v>0</v>
      </c>
      <c r="K74" s="187">
        <f t="shared" si="6"/>
        <v>0</v>
      </c>
    </row>
    <row r="75" spans="1:11" ht="42.75" customHeight="1">
      <c r="F75" s="153" t="s">
        <v>9</v>
      </c>
      <c r="G75" s="153" t="s">
        <v>37</v>
      </c>
      <c r="H75" s="153" t="s">
        <v>29</v>
      </c>
      <c r="I75" s="153" t="s">
        <v>30</v>
      </c>
      <c r="J75" s="153" t="s">
        <v>33</v>
      </c>
      <c r="K75" s="153" t="s">
        <v>34</v>
      </c>
    </row>
    <row r="76" spans="1:11" ht="18" customHeight="1">
      <c r="A76" s="154" t="s">
        <v>105</v>
      </c>
      <c r="B76" s="150" t="s">
        <v>106</v>
      </c>
    </row>
    <row r="77" spans="1:11" ht="18" customHeight="1">
      <c r="A77" s="151" t="s">
        <v>107</v>
      </c>
      <c r="B77" s="155" t="s">
        <v>54</v>
      </c>
      <c r="F77" s="597">
        <v>0</v>
      </c>
      <c r="G77" s="597">
        <v>1</v>
      </c>
      <c r="H77" s="596">
        <v>23136</v>
      </c>
      <c r="I77" s="596">
        <v>7636</v>
      </c>
      <c r="J77" s="596">
        <v>0</v>
      </c>
      <c r="K77" s="159">
        <f>(H77+I77)-J77</f>
        <v>30772</v>
      </c>
    </row>
    <row r="78" spans="1:11" ht="18" customHeight="1">
      <c r="A78" s="151" t="s">
        <v>108</v>
      </c>
      <c r="B78" s="155" t="s">
        <v>55</v>
      </c>
      <c r="F78" s="156"/>
      <c r="G78" s="156"/>
      <c r="H78" s="157"/>
      <c r="I78" s="158">
        <v>0</v>
      </c>
      <c r="J78" s="157"/>
      <c r="K78" s="159">
        <f>(H78+I78)-J78</f>
        <v>0</v>
      </c>
    </row>
    <row r="79" spans="1:11" ht="18" customHeight="1">
      <c r="A79" s="151" t="s">
        <v>109</v>
      </c>
      <c r="B79" s="155" t="s">
        <v>13</v>
      </c>
      <c r="F79" s="597">
        <v>58</v>
      </c>
      <c r="G79" s="597">
        <v>506</v>
      </c>
      <c r="H79" s="596">
        <v>6591</v>
      </c>
      <c r="I79" s="596">
        <v>5680</v>
      </c>
      <c r="J79" s="596">
        <v>0</v>
      </c>
      <c r="K79" s="159">
        <f>(H79+I79)-J79</f>
        <v>12271</v>
      </c>
    </row>
    <row r="80" spans="1:11" ht="18" customHeight="1">
      <c r="A80" s="151" t="s">
        <v>110</v>
      </c>
      <c r="B80" s="155" t="s">
        <v>56</v>
      </c>
      <c r="F80" s="156"/>
      <c r="G80" s="156"/>
      <c r="H80" s="157"/>
      <c r="I80" s="158">
        <v>0</v>
      </c>
      <c r="J80" s="157"/>
      <c r="K80" s="159">
        <f>(H80+I80)-J80</f>
        <v>0</v>
      </c>
    </row>
    <row r="81" spans="1:11" ht="18" customHeight="1">
      <c r="A81" s="151"/>
      <c r="K81" s="188"/>
    </row>
    <row r="82" spans="1:11" ht="18" customHeight="1">
      <c r="A82" s="151" t="s">
        <v>148</v>
      </c>
      <c r="B82" s="150" t="s">
        <v>149</v>
      </c>
      <c r="E82" s="150" t="s">
        <v>7</v>
      </c>
      <c r="F82" s="185">
        <f t="shared" ref="F82:K82" si="7">SUM(F77:F80)</f>
        <v>58</v>
      </c>
      <c r="G82" s="185">
        <f t="shared" si="7"/>
        <v>507</v>
      </c>
      <c r="H82" s="187">
        <f t="shared" si="7"/>
        <v>29727</v>
      </c>
      <c r="I82" s="187">
        <f t="shared" si="7"/>
        <v>13316</v>
      </c>
      <c r="J82" s="187">
        <f t="shared" si="7"/>
        <v>0</v>
      </c>
      <c r="K82" s="187">
        <f t="shared" si="7"/>
        <v>43043</v>
      </c>
    </row>
    <row r="83" spans="1:11" ht="18" customHeight="1" thickBot="1">
      <c r="A83" s="151"/>
      <c r="F83" s="172"/>
      <c r="G83" s="172"/>
      <c r="H83" s="172"/>
      <c r="I83" s="172"/>
      <c r="J83" s="172"/>
      <c r="K83" s="172"/>
    </row>
    <row r="84" spans="1:11" ht="42.75" customHeight="1">
      <c r="F84" s="153" t="s">
        <v>9</v>
      </c>
      <c r="G84" s="153" t="s">
        <v>37</v>
      </c>
      <c r="H84" s="153" t="s">
        <v>29</v>
      </c>
      <c r="I84" s="153" t="s">
        <v>30</v>
      </c>
      <c r="J84" s="153" t="s">
        <v>33</v>
      </c>
      <c r="K84" s="153" t="s">
        <v>34</v>
      </c>
    </row>
    <row r="85" spans="1:11" ht="18" customHeight="1">
      <c r="A85" s="154" t="s">
        <v>111</v>
      </c>
      <c r="B85" s="150" t="s">
        <v>57</v>
      </c>
    </row>
    <row r="86" spans="1:11" ht="18" customHeight="1">
      <c r="A86" s="151" t="s">
        <v>112</v>
      </c>
      <c r="B86" s="155" t="s">
        <v>113</v>
      </c>
      <c r="F86" s="156"/>
      <c r="G86" s="156"/>
      <c r="H86" s="157"/>
      <c r="I86" s="158">
        <f t="shared" ref="I86:I96" si="8">H86*F$114</f>
        <v>0</v>
      </c>
      <c r="J86" s="157"/>
      <c r="K86" s="159">
        <f t="shared" ref="K86:K96" si="9">(H86+I86)-J86</f>
        <v>0</v>
      </c>
    </row>
    <row r="87" spans="1:11" ht="18" customHeight="1">
      <c r="A87" s="151" t="s">
        <v>114</v>
      </c>
      <c r="B87" s="155" t="s">
        <v>14</v>
      </c>
      <c r="F87" s="156"/>
      <c r="G87" s="156"/>
      <c r="H87" s="157"/>
      <c r="I87" s="158">
        <f t="shared" si="8"/>
        <v>0</v>
      </c>
      <c r="J87" s="157"/>
      <c r="K87" s="159">
        <f t="shared" si="9"/>
        <v>0</v>
      </c>
    </row>
    <row r="88" spans="1:11" ht="18" customHeight="1">
      <c r="A88" s="151" t="s">
        <v>115</v>
      </c>
      <c r="B88" s="155" t="s">
        <v>116</v>
      </c>
      <c r="F88" s="156"/>
      <c r="G88" s="156"/>
      <c r="H88" s="157"/>
      <c r="I88" s="158">
        <f t="shared" si="8"/>
        <v>0</v>
      </c>
      <c r="J88" s="157"/>
      <c r="K88" s="159">
        <f t="shared" si="9"/>
        <v>0</v>
      </c>
    </row>
    <row r="89" spans="1:11" ht="18" customHeight="1">
      <c r="A89" s="151" t="s">
        <v>117</v>
      </c>
      <c r="B89" s="155" t="s">
        <v>58</v>
      </c>
      <c r="F89" s="156"/>
      <c r="G89" s="156"/>
      <c r="H89" s="157"/>
      <c r="I89" s="158">
        <f t="shared" si="8"/>
        <v>0</v>
      </c>
      <c r="J89" s="157"/>
      <c r="K89" s="159">
        <f t="shared" si="9"/>
        <v>0</v>
      </c>
    </row>
    <row r="90" spans="1:11" ht="18" customHeight="1">
      <c r="A90" s="151" t="s">
        <v>118</v>
      </c>
      <c r="B90" s="904" t="s">
        <v>59</v>
      </c>
      <c r="C90" s="907"/>
      <c r="F90" s="597">
        <v>96</v>
      </c>
      <c r="G90" s="597">
        <v>0</v>
      </c>
      <c r="H90" s="596">
        <v>15169</v>
      </c>
      <c r="I90" s="596">
        <v>13075</v>
      </c>
      <c r="J90" s="596">
        <v>0</v>
      </c>
      <c r="K90" s="159">
        <f t="shared" si="9"/>
        <v>28244</v>
      </c>
    </row>
    <row r="91" spans="1:11" ht="18" customHeight="1">
      <c r="A91" s="151" t="s">
        <v>119</v>
      </c>
      <c r="B91" s="155" t="s">
        <v>60</v>
      </c>
      <c r="F91" s="597">
        <v>1029</v>
      </c>
      <c r="G91" s="597">
        <v>280</v>
      </c>
      <c r="H91" s="596">
        <v>45418</v>
      </c>
      <c r="I91" s="596">
        <v>39136</v>
      </c>
      <c r="J91" s="596">
        <v>0</v>
      </c>
      <c r="K91" s="159">
        <f t="shared" si="9"/>
        <v>84554</v>
      </c>
    </row>
    <row r="92" spans="1:11" ht="18" customHeight="1">
      <c r="A92" s="151" t="s">
        <v>120</v>
      </c>
      <c r="B92" s="155" t="s">
        <v>121</v>
      </c>
      <c r="F92" s="597">
        <v>330</v>
      </c>
      <c r="G92" s="597">
        <v>36</v>
      </c>
      <c r="H92" s="596">
        <v>16006</v>
      </c>
      <c r="I92" s="596">
        <v>13798</v>
      </c>
      <c r="J92" s="596">
        <v>0</v>
      </c>
      <c r="K92" s="159">
        <f t="shared" si="9"/>
        <v>29804</v>
      </c>
    </row>
    <row r="93" spans="1:11" ht="18" customHeight="1">
      <c r="A93" s="151" t="s">
        <v>122</v>
      </c>
      <c r="B93" s="155" t="s">
        <v>123</v>
      </c>
      <c r="F93" s="156"/>
      <c r="G93" s="156"/>
      <c r="H93" s="157"/>
      <c r="I93" s="158">
        <f t="shared" si="8"/>
        <v>0</v>
      </c>
      <c r="J93" s="157"/>
      <c r="K93" s="159">
        <f t="shared" si="9"/>
        <v>0</v>
      </c>
    </row>
    <row r="94" spans="1:11" ht="18" customHeight="1">
      <c r="A94" s="151" t="s">
        <v>124</v>
      </c>
      <c r="B94" s="901"/>
      <c r="C94" s="902"/>
      <c r="D94" s="903"/>
      <c r="F94" s="156"/>
      <c r="G94" s="156"/>
      <c r="H94" s="157"/>
      <c r="I94" s="158">
        <f t="shared" si="8"/>
        <v>0</v>
      </c>
      <c r="J94" s="157"/>
      <c r="K94" s="159">
        <f t="shared" si="9"/>
        <v>0</v>
      </c>
    </row>
    <row r="95" spans="1:11" ht="18" customHeight="1">
      <c r="A95" s="151" t="s">
        <v>125</v>
      </c>
      <c r="B95" s="901"/>
      <c r="C95" s="902"/>
      <c r="D95" s="903"/>
      <c r="F95" s="156"/>
      <c r="G95" s="156"/>
      <c r="H95" s="157"/>
      <c r="I95" s="158">
        <f t="shared" si="8"/>
        <v>0</v>
      </c>
      <c r="J95" s="157"/>
      <c r="K95" s="159">
        <f t="shared" si="9"/>
        <v>0</v>
      </c>
    </row>
    <row r="96" spans="1:11" ht="18" customHeight="1">
      <c r="A96" s="151" t="s">
        <v>126</v>
      </c>
      <c r="B96" s="901"/>
      <c r="C96" s="902"/>
      <c r="D96" s="903"/>
      <c r="F96" s="156"/>
      <c r="G96" s="156"/>
      <c r="H96" s="157"/>
      <c r="I96" s="158">
        <f t="shared" si="8"/>
        <v>0</v>
      </c>
      <c r="J96" s="157"/>
      <c r="K96" s="159">
        <f t="shared" si="9"/>
        <v>0</v>
      </c>
    </row>
    <row r="97" spans="1:11" ht="18" customHeight="1">
      <c r="A97" s="151"/>
      <c r="B97" s="155"/>
    </row>
    <row r="98" spans="1:11" ht="18" customHeight="1">
      <c r="A98" s="154" t="s">
        <v>150</v>
      </c>
      <c r="B98" s="150" t="s">
        <v>151</v>
      </c>
      <c r="E98" s="150" t="s">
        <v>7</v>
      </c>
      <c r="F98" s="162">
        <f t="shared" ref="F98:K98" si="10">SUM(F86:F96)</f>
        <v>1455</v>
      </c>
      <c r="G98" s="162">
        <f t="shared" si="10"/>
        <v>316</v>
      </c>
      <c r="H98" s="162">
        <f t="shared" si="10"/>
        <v>76593</v>
      </c>
      <c r="I98" s="162">
        <f t="shared" si="10"/>
        <v>66009</v>
      </c>
      <c r="J98" s="162">
        <f t="shared" si="10"/>
        <v>0</v>
      </c>
      <c r="K98" s="162">
        <f t="shared" si="10"/>
        <v>142602</v>
      </c>
    </row>
    <row r="99" spans="1:11" ht="18" customHeight="1" thickBot="1">
      <c r="B99" s="150"/>
      <c r="F99" s="172"/>
      <c r="G99" s="172"/>
      <c r="H99" s="172"/>
      <c r="I99" s="172"/>
      <c r="J99" s="172"/>
      <c r="K99" s="172"/>
    </row>
    <row r="100" spans="1:11" ht="42.75" customHeight="1">
      <c r="F100" s="153" t="s">
        <v>9</v>
      </c>
      <c r="G100" s="153" t="s">
        <v>37</v>
      </c>
      <c r="H100" s="153" t="s">
        <v>29</v>
      </c>
      <c r="I100" s="153" t="s">
        <v>30</v>
      </c>
      <c r="J100" s="153" t="s">
        <v>33</v>
      </c>
      <c r="K100" s="153" t="s">
        <v>34</v>
      </c>
    </row>
    <row r="101" spans="1:11" ht="18" customHeight="1">
      <c r="A101" s="154" t="s">
        <v>130</v>
      </c>
      <c r="B101" s="150" t="s">
        <v>63</v>
      </c>
    </row>
    <row r="102" spans="1:11" ht="18" customHeight="1">
      <c r="A102" s="151" t="s">
        <v>131</v>
      </c>
      <c r="B102" s="155" t="s">
        <v>152</v>
      </c>
      <c r="F102" s="156"/>
      <c r="G102" s="156"/>
      <c r="H102" s="157"/>
      <c r="I102" s="158">
        <f>H102*F$114</f>
        <v>0</v>
      </c>
      <c r="J102" s="157"/>
      <c r="K102" s="159">
        <f>(H102+I102)-J102</f>
        <v>0</v>
      </c>
    </row>
    <row r="103" spans="1:11" ht="18" customHeight="1">
      <c r="A103" s="151" t="s">
        <v>132</v>
      </c>
      <c r="B103" s="904" t="s">
        <v>62</v>
      </c>
      <c r="C103" s="904"/>
      <c r="F103" s="597">
        <v>13</v>
      </c>
      <c r="G103" s="597">
        <v>0</v>
      </c>
      <c r="H103" s="596">
        <v>19699</v>
      </c>
      <c r="I103" s="596">
        <v>16981</v>
      </c>
      <c r="J103" s="596">
        <v>2500</v>
      </c>
      <c r="K103" s="159">
        <f>(H103+I103)-J103</f>
        <v>34180</v>
      </c>
    </row>
    <row r="104" spans="1:11" ht="18" customHeight="1">
      <c r="A104" s="151" t="s">
        <v>128</v>
      </c>
      <c r="B104" s="901"/>
      <c r="C104" s="902"/>
      <c r="D104" s="903"/>
      <c r="F104" s="156"/>
      <c r="G104" s="156"/>
      <c r="H104" s="157"/>
      <c r="I104" s="158">
        <f>H104*F$114</f>
        <v>0</v>
      </c>
      <c r="J104" s="157"/>
      <c r="K104" s="159">
        <f>(H104+I104)-J104</f>
        <v>0</v>
      </c>
    </row>
    <row r="105" spans="1:11" ht="18" customHeight="1">
      <c r="A105" s="151" t="s">
        <v>127</v>
      </c>
      <c r="B105" s="901"/>
      <c r="C105" s="902"/>
      <c r="D105" s="903"/>
      <c r="F105" s="156"/>
      <c r="G105" s="156"/>
      <c r="H105" s="157"/>
      <c r="I105" s="158">
        <f>H105*F$114</f>
        <v>0</v>
      </c>
      <c r="J105" s="157"/>
      <c r="K105" s="159">
        <f>(H105+I105)-J105</f>
        <v>0</v>
      </c>
    </row>
    <row r="106" spans="1:11" ht="18" customHeight="1">
      <c r="A106" s="151" t="s">
        <v>129</v>
      </c>
      <c r="B106" s="901"/>
      <c r="C106" s="902"/>
      <c r="D106" s="903"/>
      <c r="F106" s="156"/>
      <c r="G106" s="156"/>
      <c r="H106" s="157"/>
      <c r="I106" s="158">
        <f>H106*F$114</f>
        <v>0</v>
      </c>
      <c r="J106" s="157"/>
      <c r="K106" s="159">
        <f>(H106+I106)-J106</f>
        <v>0</v>
      </c>
    </row>
    <row r="107" spans="1:11" ht="18" customHeight="1">
      <c r="B107" s="150"/>
    </row>
    <row r="108" spans="1:11" s="167" customFormat="1" ht="18" customHeight="1">
      <c r="A108" s="154" t="s">
        <v>153</v>
      </c>
      <c r="B108" s="191" t="s">
        <v>154</v>
      </c>
      <c r="C108" s="147"/>
      <c r="D108" s="147"/>
      <c r="E108" s="150" t="s">
        <v>7</v>
      </c>
      <c r="F108" s="162">
        <f t="shared" ref="F108:K108" si="11">SUM(F102:F106)</f>
        <v>13</v>
      </c>
      <c r="G108" s="162">
        <f t="shared" si="11"/>
        <v>0</v>
      </c>
      <c r="H108" s="159">
        <f t="shared" si="11"/>
        <v>19699</v>
      </c>
      <c r="I108" s="159">
        <f t="shared" si="11"/>
        <v>16981</v>
      </c>
      <c r="J108" s="159">
        <f t="shared" si="11"/>
        <v>2500</v>
      </c>
      <c r="K108" s="159">
        <f t="shared" si="11"/>
        <v>34180</v>
      </c>
    </row>
    <row r="109" spans="1:11" s="167" customFormat="1" ht="18" customHeight="1" thickBot="1">
      <c r="A109" s="192"/>
      <c r="B109" s="193"/>
      <c r="C109" s="194"/>
      <c r="D109" s="194"/>
      <c r="E109" s="194"/>
      <c r="F109" s="172"/>
      <c r="G109" s="172"/>
      <c r="H109" s="172"/>
      <c r="I109" s="172"/>
      <c r="J109" s="172"/>
      <c r="K109" s="172"/>
    </row>
    <row r="110" spans="1:11" s="167" customFormat="1" ht="18" customHeight="1">
      <c r="A110" s="154" t="s">
        <v>156</v>
      </c>
      <c r="B110" s="150" t="s">
        <v>39</v>
      </c>
      <c r="C110" s="147"/>
      <c r="D110" s="147"/>
      <c r="E110" s="147"/>
      <c r="F110" s="147"/>
      <c r="G110" s="147"/>
      <c r="H110" s="147"/>
      <c r="I110" s="147"/>
      <c r="J110" s="147"/>
      <c r="K110" s="147"/>
    </row>
    <row r="111" spans="1:11" ht="18" customHeight="1">
      <c r="A111" s="154" t="s">
        <v>155</v>
      </c>
      <c r="B111" s="150" t="s">
        <v>164</v>
      </c>
      <c r="E111" s="150" t="s">
        <v>7</v>
      </c>
      <c r="F111" s="157">
        <v>3943515</v>
      </c>
    </row>
    <row r="112" spans="1:11" ht="18" customHeight="1">
      <c r="B112" s="150"/>
      <c r="E112" s="150"/>
      <c r="F112" s="195"/>
    </row>
    <row r="113" spans="1:6" ht="18" customHeight="1">
      <c r="A113" s="154"/>
      <c r="B113" s="150" t="s">
        <v>15</v>
      </c>
    </row>
    <row r="114" spans="1:6" ht="18" customHeight="1">
      <c r="A114" s="151" t="s">
        <v>171</v>
      </c>
      <c r="B114" s="155" t="s">
        <v>35</v>
      </c>
      <c r="F114" s="196">
        <v>0.86240000000000006</v>
      </c>
    </row>
    <row r="115" spans="1:6" ht="18" customHeight="1">
      <c r="A115" s="151"/>
      <c r="B115" s="150"/>
    </row>
    <row r="116" spans="1:6" ht="18" customHeight="1">
      <c r="A116" s="151" t="s">
        <v>170</v>
      </c>
      <c r="B116" s="150" t="s">
        <v>16</v>
      </c>
    </row>
    <row r="117" spans="1:6" ht="18" customHeight="1">
      <c r="A117" s="151" t="s">
        <v>172</v>
      </c>
      <c r="B117" s="155" t="s">
        <v>17</v>
      </c>
      <c r="F117" s="157">
        <v>129732785</v>
      </c>
    </row>
    <row r="118" spans="1:6" ht="18" customHeight="1">
      <c r="A118" s="151" t="s">
        <v>173</v>
      </c>
      <c r="B118" s="147" t="s">
        <v>18</v>
      </c>
      <c r="F118" s="157">
        <v>4503778</v>
      </c>
    </row>
    <row r="119" spans="1:6" ht="18" customHeight="1">
      <c r="A119" s="151" t="s">
        <v>174</v>
      </c>
      <c r="B119" s="150" t="s">
        <v>19</v>
      </c>
      <c r="F119" s="187">
        <f>SUM(F117:F118)</f>
        <v>134236563</v>
      </c>
    </row>
    <row r="120" spans="1:6" ht="18" customHeight="1">
      <c r="A120" s="151"/>
      <c r="B120" s="150"/>
    </row>
    <row r="121" spans="1:6" ht="18" customHeight="1">
      <c r="A121" s="151" t="s">
        <v>167</v>
      </c>
      <c r="B121" s="150" t="s">
        <v>36</v>
      </c>
      <c r="F121" s="157">
        <v>124536666</v>
      </c>
    </row>
    <row r="122" spans="1:6" ht="18" customHeight="1">
      <c r="A122" s="151"/>
    </row>
    <row r="123" spans="1:6" ht="18" customHeight="1">
      <c r="A123" s="151" t="s">
        <v>175</v>
      </c>
      <c r="B123" s="150" t="s">
        <v>20</v>
      </c>
      <c r="F123" s="157">
        <v>9699897</v>
      </c>
    </row>
    <row r="124" spans="1:6" ht="18" customHeight="1">
      <c r="A124" s="151"/>
    </row>
    <row r="125" spans="1:6" ht="18" customHeight="1">
      <c r="A125" s="151" t="s">
        <v>176</v>
      </c>
      <c r="B125" s="150" t="s">
        <v>21</v>
      </c>
      <c r="F125" s="157">
        <v>-2146955</v>
      </c>
    </row>
    <row r="126" spans="1:6" ht="18" customHeight="1">
      <c r="A126" s="151"/>
    </row>
    <row r="127" spans="1:6" ht="18" customHeight="1">
      <c r="A127" s="151" t="s">
        <v>177</v>
      </c>
      <c r="B127" s="150" t="s">
        <v>22</v>
      </c>
      <c r="F127" s="157">
        <v>7552942</v>
      </c>
    </row>
    <row r="128" spans="1:6" ht="18" customHeight="1">
      <c r="A128" s="151"/>
    </row>
    <row r="129" spans="1:11" ht="42.75" customHeight="1">
      <c r="F129" s="153" t="s">
        <v>9</v>
      </c>
      <c r="G129" s="153" t="s">
        <v>37</v>
      </c>
      <c r="H129" s="153" t="s">
        <v>29</v>
      </c>
      <c r="I129" s="153" t="s">
        <v>30</v>
      </c>
      <c r="J129" s="153" t="s">
        <v>33</v>
      </c>
      <c r="K129" s="153" t="s">
        <v>34</v>
      </c>
    </row>
    <row r="130" spans="1:11" ht="18" customHeight="1">
      <c r="A130" s="154" t="s">
        <v>157</v>
      </c>
      <c r="B130" s="150" t="s">
        <v>23</v>
      </c>
    </row>
    <row r="131" spans="1:11" ht="18" customHeight="1">
      <c r="A131" s="151" t="s">
        <v>158</v>
      </c>
      <c r="B131" s="147" t="s">
        <v>24</v>
      </c>
      <c r="F131" s="156"/>
      <c r="G131" s="156"/>
      <c r="H131" s="157"/>
      <c r="I131" s="158">
        <v>0</v>
      </c>
      <c r="J131" s="157"/>
      <c r="K131" s="159">
        <f>(H131+I131)-J131</f>
        <v>0</v>
      </c>
    </row>
    <row r="132" spans="1:11" ht="18" customHeight="1">
      <c r="A132" s="151" t="s">
        <v>159</v>
      </c>
      <c r="B132" s="147" t="s">
        <v>25</v>
      </c>
      <c r="F132" s="156"/>
      <c r="G132" s="156"/>
      <c r="H132" s="157"/>
      <c r="I132" s="158">
        <v>0</v>
      </c>
      <c r="J132" s="157"/>
      <c r="K132" s="159">
        <f>(H132+I132)-J132</f>
        <v>0</v>
      </c>
    </row>
    <row r="133" spans="1:11" ht="18" customHeight="1">
      <c r="A133" s="151" t="s">
        <v>160</v>
      </c>
      <c r="B133" s="898"/>
      <c r="C133" s="899"/>
      <c r="D133" s="900"/>
      <c r="F133" s="156"/>
      <c r="G133" s="156"/>
      <c r="H133" s="157"/>
      <c r="I133" s="158">
        <v>0</v>
      </c>
      <c r="J133" s="157"/>
      <c r="K133" s="159">
        <f>(H133+I133)-J133</f>
        <v>0</v>
      </c>
    </row>
    <row r="134" spans="1:11" ht="18" customHeight="1">
      <c r="A134" s="151" t="s">
        <v>161</v>
      </c>
      <c r="B134" s="898"/>
      <c r="C134" s="899"/>
      <c r="D134" s="900"/>
      <c r="F134" s="156"/>
      <c r="G134" s="156"/>
      <c r="H134" s="157"/>
      <c r="I134" s="158">
        <v>0</v>
      </c>
      <c r="J134" s="157"/>
      <c r="K134" s="159">
        <f>(H134+I134)-J134</f>
        <v>0</v>
      </c>
    </row>
    <row r="135" spans="1:11" ht="18" customHeight="1">
      <c r="A135" s="151" t="s">
        <v>162</v>
      </c>
      <c r="B135" s="898"/>
      <c r="C135" s="899"/>
      <c r="D135" s="900"/>
      <c r="F135" s="156"/>
      <c r="G135" s="156"/>
      <c r="H135" s="157"/>
      <c r="I135" s="158">
        <v>0</v>
      </c>
      <c r="J135" s="157"/>
      <c r="K135" s="159">
        <f>(H135+I135)-J135</f>
        <v>0</v>
      </c>
    </row>
    <row r="136" spans="1:11" ht="18" customHeight="1">
      <c r="A136" s="154"/>
    </row>
    <row r="137" spans="1:11" ht="18" customHeight="1">
      <c r="A137" s="154" t="s">
        <v>163</v>
      </c>
      <c r="B137" s="150" t="s">
        <v>27</v>
      </c>
      <c r="F137" s="162">
        <f t="shared" ref="F137:K137" si="12">SUM(F131:F135)</f>
        <v>0</v>
      </c>
      <c r="G137" s="162">
        <f t="shared" si="12"/>
        <v>0</v>
      </c>
      <c r="H137" s="159">
        <f t="shared" si="12"/>
        <v>0</v>
      </c>
      <c r="I137" s="159">
        <f t="shared" si="12"/>
        <v>0</v>
      </c>
      <c r="J137" s="159">
        <f t="shared" si="12"/>
        <v>0</v>
      </c>
      <c r="K137" s="159">
        <f t="shared" si="12"/>
        <v>0</v>
      </c>
    </row>
    <row r="138" spans="1:11" ht="18" customHeight="1">
      <c r="A138" s="147"/>
    </row>
    <row r="139" spans="1:11" ht="42.75" customHeight="1">
      <c r="F139" s="153" t="s">
        <v>9</v>
      </c>
      <c r="G139" s="153" t="s">
        <v>37</v>
      </c>
      <c r="H139" s="153" t="s">
        <v>29</v>
      </c>
      <c r="I139" s="153" t="s">
        <v>30</v>
      </c>
      <c r="J139" s="153" t="s">
        <v>33</v>
      </c>
      <c r="K139" s="153" t="s">
        <v>34</v>
      </c>
    </row>
    <row r="140" spans="1:11" ht="18" customHeight="1">
      <c r="A140" s="154" t="s">
        <v>166</v>
      </c>
      <c r="B140" s="150" t="s">
        <v>26</v>
      </c>
    </row>
    <row r="141" spans="1:11" ht="18" customHeight="1">
      <c r="A141" s="151" t="s">
        <v>137</v>
      </c>
      <c r="B141" s="150" t="s">
        <v>64</v>
      </c>
      <c r="F141" s="197">
        <f t="shared" ref="F141:K141" si="13">F36</f>
        <v>4380</v>
      </c>
      <c r="G141" s="197">
        <f t="shared" si="13"/>
        <v>146533</v>
      </c>
      <c r="H141" s="197">
        <f t="shared" si="13"/>
        <v>742415</v>
      </c>
      <c r="I141" s="197">
        <f t="shared" si="13"/>
        <v>583945</v>
      </c>
      <c r="J141" s="197">
        <f t="shared" si="13"/>
        <v>11160</v>
      </c>
      <c r="K141" s="197">
        <f t="shared" si="13"/>
        <v>1315200</v>
      </c>
    </row>
    <row r="142" spans="1:11" ht="18" customHeight="1">
      <c r="A142" s="151" t="s">
        <v>142</v>
      </c>
      <c r="B142" s="150" t="s">
        <v>65</v>
      </c>
      <c r="F142" s="197">
        <f t="shared" ref="F142:K142" si="14">F49</f>
        <v>12241</v>
      </c>
      <c r="G142" s="197">
        <f t="shared" si="14"/>
        <v>559</v>
      </c>
      <c r="H142" s="197">
        <f t="shared" si="14"/>
        <v>619193</v>
      </c>
      <c r="I142" s="197">
        <f t="shared" si="14"/>
        <v>232279</v>
      </c>
      <c r="J142" s="197">
        <f t="shared" si="14"/>
        <v>0</v>
      </c>
      <c r="K142" s="197">
        <f t="shared" si="14"/>
        <v>851472</v>
      </c>
    </row>
    <row r="143" spans="1:11" ht="18" customHeight="1">
      <c r="A143" s="151" t="s">
        <v>144</v>
      </c>
      <c r="B143" s="150" t="s">
        <v>66</v>
      </c>
      <c r="F143" s="197">
        <f t="shared" ref="F143:K143" si="15">F64</f>
        <v>92512</v>
      </c>
      <c r="G143" s="197">
        <f t="shared" si="15"/>
        <v>29023</v>
      </c>
      <c r="H143" s="197">
        <f t="shared" si="15"/>
        <v>10007531</v>
      </c>
      <c r="I143" s="197">
        <f t="shared" si="15"/>
        <v>5552724</v>
      </c>
      <c r="J143" s="197">
        <f t="shared" si="15"/>
        <v>5636332</v>
      </c>
      <c r="K143" s="197">
        <f t="shared" si="15"/>
        <v>9923923</v>
      </c>
    </row>
    <row r="144" spans="1:11" ht="18" customHeight="1">
      <c r="A144" s="151" t="s">
        <v>146</v>
      </c>
      <c r="B144" s="150" t="s">
        <v>67</v>
      </c>
      <c r="F144" s="197">
        <f t="shared" ref="F144:K144" si="16">F74</f>
        <v>0</v>
      </c>
      <c r="G144" s="197">
        <f t="shared" si="16"/>
        <v>0</v>
      </c>
      <c r="H144" s="197">
        <f t="shared" si="16"/>
        <v>0</v>
      </c>
      <c r="I144" s="197">
        <f t="shared" si="16"/>
        <v>0</v>
      </c>
      <c r="J144" s="197">
        <f t="shared" si="16"/>
        <v>0</v>
      </c>
      <c r="K144" s="197">
        <f t="shared" si="16"/>
        <v>0</v>
      </c>
    </row>
    <row r="145" spans="1:11" ht="18" customHeight="1">
      <c r="A145" s="151" t="s">
        <v>148</v>
      </c>
      <c r="B145" s="150" t="s">
        <v>68</v>
      </c>
      <c r="F145" s="197">
        <f t="shared" ref="F145:K145" si="17">F82</f>
        <v>58</v>
      </c>
      <c r="G145" s="197">
        <f t="shared" si="17"/>
        <v>507</v>
      </c>
      <c r="H145" s="197">
        <f t="shared" si="17"/>
        <v>29727</v>
      </c>
      <c r="I145" s="197">
        <f t="shared" si="17"/>
        <v>13316</v>
      </c>
      <c r="J145" s="197">
        <f t="shared" si="17"/>
        <v>0</v>
      </c>
      <c r="K145" s="197">
        <f t="shared" si="17"/>
        <v>43043</v>
      </c>
    </row>
    <row r="146" spans="1:11" ht="18" customHeight="1">
      <c r="A146" s="151" t="s">
        <v>150</v>
      </c>
      <c r="B146" s="150" t="s">
        <v>69</v>
      </c>
      <c r="F146" s="197">
        <f t="shared" ref="F146:K146" si="18">F98</f>
        <v>1455</v>
      </c>
      <c r="G146" s="197">
        <f t="shared" si="18"/>
        <v>316</v>
      </c>
      <c r="H146" s="197">
        <f t="shared" si="18"/>
        <v>76593</v>
      </c>
      <c r="I146" s="197">
        <f t="shared" si="18"/>
        <v>66009</v>
      </c>
      <c r="J146" s="197">
        <f t="shared" si="18"/>
        <v>0</v>
      </c>
      <c r="K146" s="197">
        <f t="shared" si="18"/>
        <v>142602</v>
      </c>
    </row>
    <row r="147" spans="1:11" ht="18" customHeight="1">
      <c r="A147" s="151" t="s">
        <v>153</v>
      </c>
      <c r="B147" s="150" t="s">
        <v>61</v>
      </c>
      <c r="F147" s="162">
        <f t="shared" ref="F147:K147" si="19">F108</f>
        <v>13</v>
      </c>
      <c r="G147" s="162">
        <f t="shared" si="19"/>
        <v>0</v>
      </c>
      <c r="H147" s="162">
        <f t="shared" si="19"/>
        <v>19699</v>
      </c>
      <c r="I147" s="162">
        <f t="shared" si="19"/>
        <v>16981</v>
      </c>
      <c r="J147" s="162">
        <f t="shared" si="19"/>
        <v>2500</v>
      </c>
      <c r="K147" s="162">
        <f t="shared" si="19"/>
        <v>34180</v>
      </c>
    </row>
    <row r="148" spans="1:11" ht="18" customHeight="1">
      <c r="A148" s="151" t="s">
        <v>155</v>
      </c>
      <c r="B148" s="150" t="s">
        <v>70</v>
      </c>
      <c r="F148" s="198" t="s">
        <v>73</v>
      </c>
      <c r="G148" s="198" t="s">
        <v>73</v>
      </c>
      <c r="H148" s="199" t="s">
        <v>73</v>
      </c>
      <c r="I148" s="199" t="s">
        <v>73</v>
      </c>
      <c r="J148" s="199" t="s">
        <v>73</v>
      </c>
      <c r="K148" s="200">
        <f>F111</f>
        <v>3943515</v>
      </c>
    </row>
    <row r="149" spans="1:11" ht="18" customHeight="1">
      <c r="A149" s="151" t="s">
        <v>163</v>
      </c>
      <c r="B149" s="150" t="s">
        <v>71</v>
      </c>
      <c r="F149" s="162">
        <f t="shared" ref="F149:K149" si="20">F137</f>
        <v>0</v>
      </c>
      <c r="G149" s="162">
        <f t="shared" si="20"/>
        <v>0</v>
      </c>
      <c r="H149" s="162">
        <f t="shared" si="20"/>
        <v>0</v>
      </c>
      <c r="I149" s="162">
        <f t="shared" si="20"/>
        <v>0</v>
      </c>
      <c r="J149" s="162">
        <f t="shared" si="20"/>
        <v>0</v>
      </c>
      <c r="K149" s="162">
        <f t="shared" si="20"/>
        <v>0</v>
      </c>
    </row>
    <row r="150" spans="1:11" ht="18" customHeight="1">
      <c r="A150" s="151" t="s">
        <v>185</v>
      </c>
      <c r="B150" s="150" t="s">
        <v>186</v>
      </c>
      <c r="F150" s="198" t="s">
        <v>73</v>
      </c>
      <c r="G150" s="198" t="s">
        <v>73</v>
      </c>
      <c r="H150" s="162">
        <f>H18</f>
        <v>3641094</v>
      </c>
      <c r="I150" s="162">
        <f>I18</f>
        <v>0</v>
      </c>
      <c r="J150" s="162">
        <f>J18</f>
        <v>3113591</v>
      </c>
      <c r="K150" s="162">
        <f>K18</f>
        <v>527503</v>
      </c>
    </row>
    <row r="151" spans="1:11" ht="18" customHeight="1">
      <c r="B151" s="150"/>
      <c r="F151" s="174"/>
      <c r="G151" s="174"/>
      <c r="H151" s="174"/>
      <c r="I151" s="174"/>
      <c r="J151" s="174"/>
      <c r="K151" s="174"/>
    </row>
    <row r="152" spans="1:11" ht="18" customHeight="1">
      <c r="A152" s="154" t="s">
        <v>165</v>
      </c>
      <c r="B152" s="150" t="s">
        <v>26</v>
      </c>
      <c r="F152" s="201">
        <f t="shared" ref="F152:K152" si="21">SUM(F141:F150)</f>
        <v>110659</v>
      </c>
      <c r="G152" s="201">
        <f t="shared" si="21"/>
        <v>176938</v>
      </c>
      <c r="H152" s="201">
        <f t="shared" si="21"/>
        <v>15136252</v>
      </c>
      <c r="I152" s="201">
        <f t="shared" si="21"/>
        <v>6465254</v>
      </c>
      <c r="J152" s="201">
        <f t="shared" si="21"/>
        <v>8763583</v>
      </c>
      <c r="K152" s="201">
        <f t="shared" si="21"/>
        <v>16781438</v>
      </c>
    </row>
    <row r="154" spans="1:11" ht="18" customHeight="1">
      <c r="A154" s="154" t="s">
        <v>168</v>
      </c>
      <c r="B154" s="150" t="s">
        <v>28</v>
      </c>
      <c r="F154" s="53">
        <f>K152/F121</f>
        <v>0.13475098169080582</v>
      </c>
    </row>
    <row r="155" spans="1:11" ht="18" customHeight="1">
      <c r="A155" s="154" t="s">
        <v>169</v>
      </c>
      <c r="B155" s="150" t="s">
        <v>72</v>
      </c>
      <c r="F155" s="53">
        <f>K152/F127</f>
        <v>2.2218412374939462</v>
      </c>
      <c r="G155" s="150"/>
    </row>
    <row r="156" spans="1:11" ht="18" customHeight="1">
      <c r="G156" s="150"/>
    </row>
  </sheetData>
  <sheetProtection sheet="1" objects="1" scenarios="1"/>
  <mergeCells count="28">
    <mergeCell ref="C10:G10"/>
    <mergeCell ref="D2:H2"/>
    <mergeCell ref="C5:G5"/>
    <mergeCell ref="C6:G6"/>
    <mergeCell ref="C7:G7"/>
    <mergeCell ref="C9:G9"/>
    <mergeCell ref="B90:C90"/>
    <mergeCell ref="C11:G11"/>
    <mergeCell ref="B13:H13"/>
    <mergeCell ref="B30:D30"/>
    <mergeCell ref="B31:D31"/>
    <mergeCell ref="B34:D34"/>
    <mergeCell ref="B41:C41"/>
    <mergeCell ref="B45:D45"/>
    <mergeCell ref="B46:D46"/>
    <mergeCell ref="B47:D47"/>
    <mergeCell ref="B52:C52"/>
    <mergeCell ref="B62:D62"/>
    <mergeCell ref="B106:D106"/>
    <mergeCell ref="B133:D133"/>
    <mergeCell ref="B134:D134"/>
    <mergeCell ref="B135:D135"/>
    <mergeCell ref="B94:D94"/>
    <mergeCell ref="B95:D95"/>
    <mergeCell ref="B96:D96"/>
    <mergeCell ref="B103:C103"/>
    <mergeCell ref="B104:D104"/>
    <mergeCell ref="B105:D105"/>
  </mergeCells>
  <printOptions horizontalCentered="1" headings="1" gridLines="1"/>
  <pageMargins left="0.17" right="0.16" top="0.35" bottom="0.32" header="0.17" footer="0.17"/>
  <pageSetup scale="59" fitToHeight="3" orientation="landscape"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K156"/>
  <sheetViews>
    <sheetView showGridLines="0" topLeftCell="A10" zoomScaleNormal="100" zoomScaleSheetLayoutView="80" workbookViewId="0">
      <selection activeCell="K18" sqref="K18"/>
    </sheetView>
  </sheetViews>
  <sheetFormatPr defaultRowHeight="18" customHeight="1"/>
  <cols>
    <col min="1" max="1" width="8.28515625" style="146" customWidth="1"/>
    <col min="2" max="2" width="55.42578125" style="147" bestFit="1" customWidth="1"/>
    <col min="3" max="3" width="9.5703125" style="147" customWidth="1"/>
    <col min="4" max="4" width="9.140625" style="147"/>
    <col min="5" max="5" width="12.42578125" style="147" customWidth="1"/>
    <col min="6" max="6" width="18.5703125" style="147" customWidth="1"/>
    <col min="7" max="7" width="23.5703125" style="147" customWidth="1"/>
    <col min="8" max="8" width="17.140625" style="147" customWidth="1"/>
    <col min="9" max="9" width="21.140625" style="147" customWidth="1"/>
    <col min="10" max="10" width="19.85546875" style="147" customWidth="1"/>
    <col min="11" max="11" width="17.5703125" style="147" customWidth="1"/>
    <col min="12" max="16384" width="9.140625" style="147"/>
  </cols>
  <sheetData>
    <row r="1" spans="1:11" ht="18" customHeight="1">
      <c r="C1" s="148"/>
      <c r="D1" s="149"/>
      <c r="E1" s="148"/>
      <c r="F1" s="148"/>
      <c r="G1" s="148"/>
      <c r="H1" s="148"/>
      <c r="I1" s="148"/>
      <c r="J1" s="148"/>
      <c r="K1" s="148"/>
    </row>
    <row r="2" spans="1:11" ht="18" customHeight="1">
      <c r="D2" s="910" t="s">
        <v>713</v>
      </c>
      <c r="E2" s="911"/>
      <c r="F2" s="911"/>
      <c r="G2" s="911"/>
      <c r="H2" s="911"/>
    </row>
    <row r="3" spans="1:11" ht="18" customHeight="1">
      <c r="B3" s="150" t="s">
        <v>0</v>
      </c>
    </row>
    <row r="5" spans="1:11" ht="18" customHeight="1">
      <c r="B5" s="151" t="s">
        <v>40</v>
      </c>
      <c r="C5" s="912" t="s">
        <v>532</v>
      </c>
      <c r="D5" s="918"/>
      <c r="E5" s="918"/>
      <c r="F5" s="918"/>
      <c r="G5" s="919"/>
    </row>
    <row r="6" spans="1:11" ht="18" customHeight="1">
      <c r="B6" s="151" t="s">
        <v>3</v>
      </c>
      <c r="C6" s="929">
        <v>40</v>
      </c>
      <c r="D6" s="921"/>
      <c r="E6" s="921"/>
      <c r="F6" s="921"/>
      <c r="G6" s="922"/>
    </row>
    <row r="7" spans="1:11" ht="18" customHeight="1">
      <c r="B7" s="151" t="s">
        <v>4</v>
      </c>
      <c r="C7" s="930">
        <v>1658</v>
      </c>
      <c r="D7" s="924"/>
      <c r="E7" s="924"/>
      <c r="F7" s="924"/>
      <c r="G7" s="925"/>
    </row>
    <row r="9" spans="1:11" ht="18" customHeight="1">
      <c r="B9" s="151" t="s">
        <v>1</v>
      </c>
      <c r="C9" s="912" t="s">
        <v>486</v>
      </c>
      <c r="D9" s="918"/>
      <c r="E9" s="918"/>
      <c r="F9" s="918"/>
      <c r="G9" s="919"/>
    </row>
    <row r="10" spans="1:11" ht="18" customHeight="1">
      <c r="B10" s="151" t="s">
        <v>2</v>
      </c>
      <c r="C10" s="926" t="s">
        <v>487</v>
      </c>
      <c r="D10" s="927"/>
      <c r="E10" s="927"/>
      <c r="F10" s="927"/>
      <c r="G10" s="928"/>
    </row>
    <row r="11" spans="1:11" ht="18" customHeight="1">
      <c r="B11" s="151" t="s">
        <v>32</v>
      </c>
      <c r="C11" s="912" t="s">
        <v>488</v>
      </c>
      <c r="D11" s="913"/>
      <c r="E11" s="913"/>
      <c r="F11" s="913"/>
      <c r="G11" s="913"/>
    </row>
    <row r="12" spans="1:11" ht="18" customHeight="1">
      <c r="B12" s="151"/>
      <c r="C12" s="151"/>
      <c r="D12" s="151"/>
      <c r="E12" s="151"/>
      <c r="F12" s="151"/>
      <c r="G12" s="151"/>
    </row>
    <row r="13" spans="1:11" ht="24.6" customHeight="1">
      <c r="B13" s="914"/>
      <c r="C13" s="915"/>
      <c r="D13" s="915"/>
      <c r="E13" s="915"/>
      <c r="F13" s="915"/>
      <c r="G13" s="915"/>
      <c r="H13" s="916"/>
      <c r="I13" s="148"/>
    </row>
    <row r="14" spans="1:11" ht="18" customHeight="1">
      <c r="B14" s="152"/>
    </row>
    <row r="15" spans="1:11" ht="18" customHeight="1">
      <c r="B15" s="152"/>
    </row>
    <row r="16" spans="1:11" ht="45" customHeight="1">
      <c r="A16" s="149" t="s">
        <v>181</v>
      </c>
      <c r="B16" s="148"/>
      <c r="C16" s="148"/>
      <c r="D16" s="148"/>
      <c r="E16" s="148"/>
      <c r="F16" s="153" t="s">
        <v>9</v>
      </c>
      <c r="G16" s="153" t="s">
        <v>37</v>
      </c>
      <c r="H16" s="153" t="s">
        <v>29</v>
      </c>
      <c r="I16" s="153" t="s">
        <v>30</v>
      </c>
      <c r="J16" s="153" t="s">
        <v>33</v>
      </c>
      <c r="K16" s="153" t="s">
        <v>34</v>
      </c>
    </row>
    <row r="17" spans="1:11" ht="18" customHeight="1">
      <c r="A17" s="154" t="s">
        <v>184</v>
      </c>
      <c r="B17" s="150" t="s">
        <v>182</v>
      </c>
    </row>
    <row r="18" spans="1:11" ht="18" customHeight="1">
      <c r="A18" s="151" t="s">
        <v>185</v>
      </c>
      <c r="B18" s="155" t="s">
        <v>183</v>
      </c>
      <c r="F18" s="156" t="s">
        <v>73</v>
      </c>
      <c r="G18" s="156" t="s">
        <v>73</v>
      </c>
      <c r="H18" s="157">
        <v>6077319</v>
      </c>
      <c r="I18" s="158">
        <v>0</v>
      </c>
      <c r="J18" s="157">
        <v>5196868</v>
      </c>
      <c r="K18" s="159">
        <f>(H18+I18)-J18</f>
        <v>880451</v>
      </c>
    </row>
    <row r="19" spans="1:11" ht="45" customHeight="1">
      <c r="A19" s="149" t="s">
        <v>8</v>
      </c>
      <c r="B19" s="148"/>
      <c r="C19" s="148"/>
      <c r="D19" s="148"/>
      <c r="E19" s="148"/>
      <c r="F19" s="153" t="s">
        <v>9</v>
      </c>
      <c r="G19" s="153" t="s">
        <v>37</v>
      </c>
      <c r="H19" s="153" t="s">
        <v>29</v>
      </c>
      <c r="I19" s="153" t="s">
        <v>30</v>
      </c>
      <c r="J19" s="153" t="s">
        <v>33</v>
      </c>
      <c r="K19" s="153" t="s">
        <v>34</v>
      </c>
    </row>
    <row r="20" spans="1:11" ht="18" customHeight="1">
      <c r="A20" s="154" t="s">
        <v>74</v>
      </c>
      <c r="B20" s="150" t="s">
        <v>41</v>
      </c>
    </row>
    <row r="21" spans="1:11" ht="18" customHeight="1">
      <c r="A21" s="151" t="s">
        <v>75</v>
      </c>
      <c r="B21" s="155" t="s">
        <v>42</v>
      </c>
      <c r="F21" s="156">
        <v>991</v>
      </c>
      <c r="G21" s="156">
        <v>141</v>
      </c>
      <c r="H21" s="157">
        <v>31610</v>
      </c>
      <c r="I21" s="158">
        <f t="shared" ref="I21:I34" si="0">H21*F$114</f>
        <v>23413.527000000002</v>
      </c>
      <c r="J21" s="157"/>
      <c r="K21" s="159">
        <f t="shared" ref="K21:K34" si="1">(H21+I21)-J21</f>
        <v>55023.527000000002</v>
      </c>
    </row>
    <row r="22" spans="1:11" ht="18" customHeight="1">
      <c r="A22" s="151" t="s">
        <v>76</v>
      </c>
      <c r="B22" s="147" t="s">
        <v>6</v>
      </c>
      <c r="F22" s="156"/>
      <c r="G22" s="156"/>
      <c r="H22" s="157"/>
      <c r="I22" s="158">
        <f t="shared" si="0"/>
        <v>0</v>
      </c>
      <c r="J22" s="157"/>
      <c r="K22" s="159">
        <f t="shared" si="1"/>
        <v>0</v>
      </c>
    </row>
    <row r="23" spans="1:11" ht="18" customHeight="1">
      <c r="A23" s="151" t="s">
        <v>77</v>
      </c>
      <c r="B23" s="147" t="s">
        <v>43</v>
      </c>
      <c r="F23" s="156"/>
      <c r="G23" s="156"/>
      <c r="H23" s="157"/>
      <c r="I23" s="158">
        <f t="shared" si="0"/>
        <v>0</v>
      </c>
      <c r="J23" s="157"/>
      <c r="K23" s="159">
        <f t="shared" si="1"/>
        <v>0</v>
      </c>
    </row>
    <row r="24" spans="1:11" ht="18" customHeight="1">
      <c r="A24" s="151" t="s">
        <v>78</v>
      </c>
      <c r="B24" s="147" t="s">
        <v>44</v>
      </c>
      <c r="F24" s="156">
        <v>4639.5</v>
      </c>
      <c r="G24" s="156"/>
      <c r="H24" s="157"/>
      <c r="I24" s="158">
        <f t="shared" si="0"/>
        <v>0</v>
      </c>
      <c r="J24" s="157"/>
      <c r="K24" s="159">
        <f t="shared" si="1"/>
        <v>0</v>
      </c>
    </row>
    <row r="25" spans="1:11" ht="18" customHeight="1">
      <c r="A25" s="151" t="s">
        <v>79</v>
      </c>
      <c r="B25" s="147" t="s">
        <v>5</v>
      </c>
      <c r="F25" s="156"/>
      <c r="G25" s="156">
        <v>57</v>
      </c>
      <c r="H25" s="157">
        <v>79432</v>
      </c>
      <c r="I25" s="158">
        <f t="shared" si="0"/>
        <v>58835.282400000004</v>
      </c>
      <c r="J25" s="157">
        <v>76614</v>
      </c>
      <c r="K25" s="159">
        <f t="shared" si="1"/>
        <v>61653.282399999996</v>
      </c>
    </row>
    <row r="26" spans="1:11" ht="18" customHeight="1">
      <c r="A26" s="151" t="s">
        <v>80</v>
      </c>
      <c r="B26" s="147" t="s">
        <v>45</v>
      </c>
      <c r="F26" s="156"/>
      <c r="G26" s="156"/>
      <c r="H26" s="157"/>
      <c r="I26" s="158">
        <f t="shared" si="0"/>
        <v>0</v>
      </c>
      <c r="J26" s="157"/>
      <c r="K26" s="159">
        <f t="shared" si="1"/>
        <v>0</v>
      </c>
    </row>
    <row r="27" spans="1:11" ht="18" customHeight="1">
      <c r="A27" s="151" t="s">
        <v>81</v>
      </c>
      <c r="B27" s="147" t="s">
        <v>46</v>
      </c>
      <c r="F27" s="156"/>
      <c r="G27" s="156"/>
      <c r="H27" s="157"/>
      <c r="I27" s="158">
        <f t="shared" si="0"/>
        <v>0</v>
      </c>
      <c r="J27" s="157"/>
      <c r="K27" s="159">
        <f t="shared" si="1"/>
        <v>0</v>
      </c>
    </row>
    <row r="28" spans="1:11" ht="18" customHeight="1">
      <c r="A28" s="151" t="s">
        <v>82</v>
      </c>
      <c r="B28" s="147" t="s">
        <v>47</v>
      </c>
      <c r="F28" s="156"/>
      <c r="G28" s="156"/>
      <c r="H28" s="157"/>
      <c r="I28" s="158">
        <f t="shared" si="0"/>
        <v>0</v>
      </c>
      <c r="J28" s="157"/>
      <c r="K28" s="159">
        <f t="shared" si="1"/>
        <v>0</v>
      </c>
    </row>
    <row r="29" spans="1:11" ht="18" customHeight="1">
      <c r="A29" s="151" t="s">
        <v>83</v>
      </c>
      <c r="B29" s="147" t="s">
        <v>48</v>
      </c>
      <c r="F29" s="156">
        <v>9089</v>
      </c>
      <c r="G29" s="156">
        <v>743</v>
      </c>
      <c r="H29" s="157">
        <v>1064438</v>
      </c>
      <c r="I29" s="158">
        <f t="shared" si="0"/>
        <v>788429.22660000005</v>
      </c>
      <c r="J29" s="157">
        <v>295975</v>
      </c>
      <c r="K29" s="159">
        <f t="shared" si="1"/>
        <v>1556892.2266000002</v>
      </c>
    </row>
    <row r="30" spans="1:11" ht="18" customHeight="1">
      <c r="A30" s="151" t="s">
        <v>84</v>
      </c>
      <c r="B30" s="898"/>
      <c r="C30" s="899"/>
      <c r="D30" s="900"/>
      <c r="F30" s="156"/>
      <c r="G30" s="156"/>
      <c r="H30" s="157"/>
      <c r="I30" s="158">
        <f t="shared" si="0"/>
        <v>0</v>
      </c>
      <c r="J30" s="157"/>
      <c r="K30" s="159">
        <f t="shared" si="1"/>
        <v>0</v>
      </c>
    </row>
    <row r="31" spans="1:11" ht="18" customHeight="1">
      <c r="A31" s="151" t="s">
        <v>133</v>
      </c>
      <c r="B31" s="898"/>
      <c r="C31" s="899"/>
      <c r="D31" s="900"/>
      <c r="F31" s="156"/>
      <c r="G31" s="156"/>
      <c r="H31" s="157"/>
      <c r="I31" s="158">
        <f t="shared" si="0"/>
        <v>0</v>
      </c>
      <c r="J31" s="157"/>
      <c r="K31" s="159">
        <f t="shared" si="1"/>
        <v>0</v>
      </c>
    </row>
    <row r="32" spans="1:11" ht="18" customHeight="1">
      <c r="A32" s="151" t="s">
        <v>134</v>
      </c>
      <c r="B32" s="393"/>
      <c r="C32" s="394"/>
      <c r="D32" s="395"/>
      <c r="F32" s="156"/>
      <c r="G32" s="160" t="s">
        <v>85</v>
      </c>
      <c r="H32" s="157"/>
      <c r="I32" s="158">
        <f t="shared" si="0"/>
        <v>0</v>
      </c>
      <c r="J32" s="157"/>
      <c r="K32" s="159">
        <f t="shared" si="1"/>
        <v>0</v>
      </c>
    </row>
    <row r="33" spans="1:11" ht="18" customHeight="1">
      <c r="A33" s="151" t="s">
        <v>135</v>
      </c>
      <c r="B33" s="393"/>
      <c r="C33" s="394"/>
      <c r="D33" s="395"/>
      <c r="F33" s="156"/>
      <c r="G33" s="160" t="s">
        <v>85</v>
      </c>
      <c r="H33" s="157"/>
      <c r="I33" s="158">
        <f t="shared" si="0"/>
        <v>0</v>
      </c>
      <c r="J33" s="157"/>
      <c r="K33" s="159">
        <f t="shared" si="1"/>
        <v>0</v>
      </c>
    </row>
    <row r="34" spans="1:11" ht="18" customHeight="1">
      <c r="A34" s="151" t="s">
        <v>136</v>
      </c>
      <c r="B34" s="898"/>
      <c r="C34" s="899"/>
      <c r="D34" s="900"/>
      <c r="F34" s="156"/>
      <c r="G34" s="160" t="s">
        <v>85</v>
      </c>
      <c r="H34" s="157"/>
      <c r="I34" s="158">
        <f t="shared" si="0"/>
        <v>0</v>
      </c>
      <c r="J34" s="157"/>
      <c r="K34" s="159">
        <f t="shared" si="1"/>
        <v>0</v>
      </c>
    </row>
    <row r="35" spans="1:11" ht="18" customHeight="1">
      <c r="K35" s="161"/>
    </row>
    <row r="36" spans="1:11" ht="18" customHeight="1">
      <c r="A36" s="154" t="s">
        <v>137</v>
      </c>
      <c r="B36" s="150" t="s">
        <v>138</v>
      </c>
      <c r="E36" s="150" t="s">
        <v>7</v>
      </c>
      <c r="F36" s="162">
        <f t="shared" ref="F36:K36" si="2">SUM(F21:F34)</f>
        <v>14719.5</v>
      </c>
      <c r="G36" s="162">
        <f t="shared" si="2"/>
        <v>941</v>
      </c>
      <c r="H36" s="162">
        <f t="shared" si="2"/>
        <v>1175480</v>
      </c>
      <c r="I36" s="159">
        <f t="shared" si="2"/>
        <v>870678.03600000008</v>
      </c>
      <c r="J36" s="159">
        <f t="shared" si="2"/>
        <v>372589</v>
      </c>
      <c r="K36" s="159">
        <f t="shared" si="2"/>
        <v>1673569.0360000001</v>
      </c>
    </row>
    <row r="37" spans="1:11" ht="18" customHeight="1" thickBot="1">
      <c r="B37" s="150"/>
      <c r="F37" s="163"/>
      <c r="G37" s="163"/>
      <c r="H37" s="164"/>
      <c r="I37" s="164"/>
      <c r="J37" s="164"/>
      <c r="K37" s="165"/>
    </row>
    <row r="38" spans="1:11" ht="42.75" customHeight="1">
      <c r="F38" s="153" t="s">
        <v>9</v>
      </c>
      <c r="G38" s="153" t="s">
        <v>37</v>
      </c>
      <c r="H38" s="153" t="s">
        <v>29</v>
      </c>
      <c r="I38" s="153" t="s">
        <v>30</v>
      </c>
      <c r="J38" s="153" t="s">
        <v>33</v>
      </c>
      <c r="K38" s="153" t="s">
        <v>34</v>
      </c>
    </row>
    <row r="39" spans="1:11" ht="18.75" customHeight="1">
      <c r="A39" s="154" t="s">
        <v>86</v>
      </c>
      <c r="B39" s="150" t="s">
        <v>49</v>
      </c>
    </row>
    <row r="40" spans="1:11" ht="18" customHeight="1">
      <c r="A40" s="151" t="s">
        <v>87</v>
      </c>
      <c r="B40" s="147" t="s">
        <v>31</v>
      </c>
      <c r="F40" s="156"/>
      <c r="G40" s="156"/>
      <c r="H40" s="157"/>
      <c r="I40" s="158">
        <v>0</v>
      </c>
      <c r="J40" s="157"/>
      <c r="K40" s="159">
        <f t="shared" ref="K40:K47" si="3">(H40+I40)-J40</f>
        <v>0</v>
      </c>
    </row>
    <row r="41" spans="1:11" ht="18" customHeight="1">
      <c r="A41" s="151" t="s">
        <v>88</v>
      </c>
      <c r="B41" s="904" t="s">
        <v>50</v>
      </c>
      <c r="C41" s="907"/>
      <c r="F41" s="156">
        <v>2606</v>
      </c>
      <c r="G41" s="156"/>
      <c r="H41" s="157">
        <v>92578</v>
      </c>
      <c r="I41" s="158">
        <f>H41*F$114</f>
        <v>68572.524600000004</v>
      </c>
      <c r="J41" s="157"/>
      <c r="K41" s="159">
        <f t="shared" si="3"/>
        <v>161150.5246</v>
      </c>
    </row>
    <row r="42" spans="1:11" ht="18" customHeight="1">
      <c r="A42" s="151" t="s">
        <v>89</v>
      </c>
      <c r="B42" s="155" t="s">
        <v>11</v>
      </c>
      <c r="F42" s="156">
        <v>6702</v>
      </c>
      <c r="G42" s="156"/>
      <c r="H42" s="157">
        <v>328398</v>
      </c>
      <c r="I42" s="158">
        <f>H42*F$114</f>
        <v>243244.39860000001</v>
      </c>
      <c r="J42" s="157"/>
      <c r="K42" s="159">
        <f t="shared" si="3"/>
        <v>571642.39859999996</v>
      </c>
    </row>
    <row r="43" spans="1:11" ht="18" customHeight="1">
      <c r="A43" s="151" t="s">
        <v>90</v>
      </c>
      <c r="B43" s="166" t="s">
        <v>10</v>
      </c>
      <c r="C43" s="167"/>
      <c r="D43" s="167"/>
      <c r="F43" s="156"/>
      <c r="G43" s="156"/>
      <c r="H43" s="157"/>
      <c r="I43" s="158">
        <v>0</v>
      </c>
      <c r="J43" s="157"/>
      <c r="K43" s="159">
        <f t="shared" si="3"/>
        <v>0</v>
      </c>
    </row>
    <row r="44" spans="1:11" ht="18" customHeight="1">
      <c r="A44" s="151" t="s">
        <v>91</v>
      </c>
      <c r="B44" s="898"/>
      <c r="C44" s="899"/>
      <c r="D44" s="900"/>
      <c r="F44" s="168"/>
      <c r="G44" s="168"/>
      <c r="H44" s="168"/>
      <c r="I44" s="169">
        <v>0</v>
      </c>
      <c r="J44" s="168"/>
      <c r="K44" s="170">
        <f t="shared" si="3"/>
        <v>0</v>
      </c>
    </row>
    <row r="45" spans="1:11" ht="18" customHeight="1">
      <c r="A45" s="151" t="s">
        <v>139</v>
      </c>
      <c r="B45" s="898"/>
      <c r="C45" s="899"/>
      <c r="D45" s="900"/>
      <c r="F45" s="156"/>
      <c r="G45" s="156"/>
      <c r="H45" s="157"/>
      <c r="I45" s="158">
        <v>0</v>
      </c>
      <c r="J45" s="157"/>
      <c r="K45" s="159">
        <f t="shared" si="3"/>
        <v>0</v>
      </c>
    </row>
    <row r="46" spans="1:11" ht="18" customHeight="1">
      <c r="A46" s="151" t="s">
        <v>140</v>
      </c>
      <c r="B46" s="898"/>
      <c r="C46" s="899"/>
      <c r="D46" s="900"/>
      <c r="F46" s="156"/>
      <c r="G46" s="156"/>
      <c r="H46" s="157"/>
      <c r="I46" s="158">
        <v>0</v>
      </c>
      <c r="J46" s="157"/>
      <c r="K46" s="159">
        <f t="shared" si="3"/>
        <v>0</v>
      </c>
    </row>
    <row r="47" spans="1:11" ht="18" customHeight="1">
      <c r="A47" s="151" t="s">
        <v>141</v>
      </c>
      <c r="B47" s="898"/>
      <c r="C47" s="899"/>
      <c r="D47" s="900"/>
      <c r="F47" s="156"/>
      <c r="G47" s="156"/>
      <c r="H47" s="157"/>
      <c r="I47" s="158">
        <v>0</v>
      </c>
      <c r="J47" s="157"/>
      <c r="K47" s="159">
        <f t="shared" si="3"/>
        <v>0</v>
      </c>
    </row>
    <row r="49" spans="1:11" ht="18" customHeight="1">
      <c r="A49" s="154" t="s">
        <v>142</v>
      </c>
      <c r="B49" s="150" t="s">
        <v>143</v>
      </c>
      <c r="E49" s="150" t="s">
        <v>7</v>
      </c>
      <c r="F49" s="171">
        <f t="shared" ref="F49:K49" si="4">SUM(F40:F47)</f>
        <v>9308</v>
      </c>
      <c r="G49" s="171">
        <f t="shared" si="4"/>
        <v>0</v>
      </c>
      <c r="H49" s="159">
        <f t="shared" si="4"/>
        <v>420976</v>
      </c>
      <c r="I49" s="159">
        <f t="shared" si="4"/>
        <v>311816.92320000002</v>
      </c>
      <c r="J49" s="159">
        <f t="shared" si="4"/>
        <v>0</v>
      </c>
      <c r="K49" s="159">
        <f t="shared" si="4"/>
        <v>732792.92319999996</v>
      </c>
    </row>
    <row r="50" spans="1:11" ht="18" customHeight="1" thickBot="1">
      <c r="G50" s="172"/>
      <c r="H50" s="172"/>
      <c r="I50" s="172"/>
      <c r="J50" s="172"/>
      <c r="K50" s="172"/>
    </row>
    <row r="51" spans="1:11" ht="42.75" customHeight="1">
      <c r="F51" s="153" t="s">
        <v>9</v>
      </c>
      <c r="G51" s="153" t="s">
        <v>37</v>
      </c>
      <c r="H51" s="153" t="s">
        <v>29</v>
      </c>
      <c r="I51" s="153" t="s">
        <v>30</v>
      </c>
      <c r="J51" s="153" t="s">
        <v>33</v>
      </c>
      <c r="K51" s="153" t="s">
        <v>34</v>
      </c>
    </row>
    <row r="52" spans="1:11" ht="18" customHeight="1">
      <c r="A52" s="154" t="s">
        <v>92</v>
      </c>
      <c r="B52" s="905" t="s">
        <v>38</v>
      </c>
      <c r="C52" s="906"/>
    </row>
    <row r="53" spans="1:11" ht="18" customHeight="1">
      <c r="A53" s="151" t="s">
        <v>51</v>
      </c>
      <c r="B53" s="908" t="s">
        <v>533</v>
      </c>
      <c r="C53" s="909"/>
      <c r="D53" s="903"/>
      <c r="F53" s="156"/>
      <c r="G53" s="156"/>
      <c r="H53" s="157">
        <v>2673119</v>
      </c>
      <c r="I53" s="158">
        <f>H53*F$114</f>
        <v>1979979.2433</v>
      </c>
      <c r="J53" s="157"/>
      <c r="K53" s="159">
        <f t="shared" ref="K53:K62" si="5">(H53+I53)-J53</f>
        <v>4653098.2433000002</v>
      </c>
    </row>
    <row r="54" spans="1:11" ht="18" customHeight="1">
      <c r="A54" s="151" t="s">
        <v>93</v>
      </c>
      <c r="B54" s="396" t="s">
        <v>826</v>
      </c>
      <c r="C54" s="397"/>
      <c r="D54" s="392"/>
      <c r="F54" s="156"/>
      <c r="G54" s="156"/>
      <c r="H54" s="157">
        <v>467192</v>
      </c>
      <c r="I54" s="158">
        <f>H54*F$114</f>
        <v>346049.11440000002</v>
      </c>
      <c r="J54" s="157"/>
      <c r="K54" s="159">
        <f t="shared" si="5"/>
        <v>813241.11440000008</v>
      </c>
    </row>
    <row r="55" spans="1:11" ht="18" customHeight="1">
      <c r="A55" s="151" t="s">
        <v>94</v>
      </c>
      <c r="B55" s="901" t="s">
        <v>535</v>
      </c>
      <c r="C55" s="902"/>
      <c r="D55" s="903"/>
      <c r="F55" s="156"/>
      <c r="G55" s="156"/>
      <c r="H55" s="157">
        <v>1889008</v>
      </c>
      <c r="I55" s="158">
        <f>H55*F$114</f>
        <v>1399188.2256</v>
      </c>
      <c r="J55" s="157"/>
      <c r="K55" s="159">
        <f t="shared" si="5"/>
        <v>3288196.2256</v>
      </c>
    </row>
    <row r="56" spans="1:11" ht="18" customHeight="1">
      <c r="A56" s="151" t="s">
        <v>95</v>
      </c>
      <c r="B56" s="901" t="s">
        <v>523</v>
      </c>
      <c r="C56" s="902"/>
      <c r="D56" s="903"/>
      <c r="F56" s="156"/>
      <c r="G56" s="156"/>
      <c r="H56" s="157">
        <v>48695</v>
      </c>
      <c r="I56" s="158">
        <f>H56*F$114</f>
        <v>36068.386500000001</v>
      </c>
      <c r="J56" s="157"/>
      <c r="K56" s="159">
        <f t="shared" si="5"/>
        <v>84763.386499999993</v>
      </c>
    </row>
    <row r="57" spans="1:11" ht="18" customHeight="1">
      <c r="A57" s="151" t="s">
        <v>96</v>
      </c>
      <c r="B57" s="901"/>
      <c r="C57" s="902"/>
      <c r="D57" s="903"/>
      <c r="F57" s="156"/>
      <c r="G57" s="156"/>
      <c r="H57" s="157"/>
      <c r="I57" s="158">
        <v>0</v>
      </c>
      <c r="J57" s="157"/>
      <c r="K57" s="159">
        <f t="shared" si="5"/>
        <v>0</v>
      </c>
    </row>
    <row r="58" spans="1:11" ht="18" customHeight="1">
      <c r="A58" s="151" t="s">
        <v>97</v>
      </c>
      <c r="B58" s="396"/>
      <c r="C58" s="397"/>
      <c r="D58" s="392"/>
      <c r="F58" s="156"/>
      <c r="G58" s="156"/>
      <c r="H58" s="157"/>
      <c r="I58" s="158">
        <v>0</v>
      </c>
      <c r="J58" s="157"/>
      <c r="K58" s="159">
        <f t="shared" si="5"/>
        <v>0</v>
      </c>
    </row>
    <row r="59" spans="1:11" ht="18" customHeight="1">
      <c r="A59" s="151" t="s">
        <v>98</v>
      </c>
      <c r="B59" s="901"/>
      <c r="C59" s="902"/>
      <c r="D59" s="903"/>
      <c r="F59" s="156"/>
      <c r="G59" s="156"/>
      <c r="H59" s="157"/>
      <c r="I59" s="158">
        <v>0</v>
      </c>
      <c r="J59" s="157"/>
      <c r="K59" s="159">
        <f t="shared" si="5"/>
        <v>0</v>
      </c>
    </row>
    <row r="60" spans="1:11" ht="18" customHeight="1">
      <c r="A60" s="151" t="s">
        <v>99</v>
      </c>
      <c r="B60" s="396"/>
      <c r="C60" s="397"/>
      <c r="D60" s="392"/>
      <c r="F60" s="156"/>
      <c r="G60" s="156"/>
      <c r="H60" s="157"/>
      <c r="I60" s="158">
        <v>0</v>
      </c>
      <c r="J60" s="157"/>
      <c r="K60" s="159">
        <f t="shared" si="5"/>
        <v>0</v>
      </c>
    </row>
    <row r="61" spans="1:11" ht="18" customHeight="1">
      <c r="A61" s="151" t="s">
        <v>100</v>
      </c>
      <c r="B61" s="396"/>
      <c r="C61" s="397"/>
      <c r="D61" s="392"/>
      <c r="F61" s="156"/>
      <c r="G61" s="156"/>
      <c r="H61" s="157"/>
      <c r="I61" s="158">
        <v>0</v>
      </c>
      <c r="J61" s="157"/>
      <c r="K61" s="159">
        <f t="shared" si="5"/>
        <v>0</v>
      </c>
    </row>
    <row r="62" spans="1:11" ht="18" customHeight="1">
      <c r="A62" s="151" t="s">
        <v>101</v>
      </c>
      <c r="B62" s="901"/>
      <c r="C62" s="902"/>
      <c r="D62" s="903"/>
      <c r="F62" s="156"/>
      <c r="G62" s="156"/>
      <c r="H62" s="157"/>
      <c r="I62" s="158">
        <v>0</v>
      </c>
      <c r="J62" s="157"/>
      <c r="K62" s="159">
        <f t="shared" si="5"/>
        <v>0</v>
      </c>
    </row>
    <row r="63" spans="1:11" ht="18" customHeight="1">
      <c r="A63" s="151"/>
      <c r="I63" s="173"/>
    </row>
    <row r="64" spans="1:11" ht="18" customHeight="1">
      <c r="A64" s="151" t="s">
        <v>144</v>
      </c>
      <c r="B64" s="150" t="s">
        <v>145</v>
      </c>
      <c r="E64" s="150" t="s">
        <v>7</v>
      </c>
      <c r="F64" s="162">
        <f t="shared" ref="F64:K64" si="6">SUM(F53:F62)</f>
        <v>0</v>
      </c>
      <c r="G64" s="162">
        <f t="shared" si="6"/>
        <v>0</v>
      </c>
      <c r="H64" s="159">
        <f t="shared" si="6"/>
        <v>5078014</v>
      </c>
      <c r="I64" s="159">
        <f t="shared" si="6"/>
        <v>3761284.9698000001</v>
      </c>
      <c r="J64" s="159">
        <f t="shared" si="6"/>
        <v>0</v>
      </c>
      <c r="K64" s="159">
        <f t="shared" si="6"/>
        <v>8839298.9697999991</v>
      </c>
    </row>
    <row r="65" spans="1:11" ht="18" customHeight="1">
      <c r="F65" s="174"/>
      <c r="G65" s="174"/>
      <c r="H65" s="174"/>
      <c r="I65" s="174"/>
      <c r="J65" s="174"/>
      <c r="K65" s="174"/>
    </row>
    <row r="66" spans="1:11" ht="42.75" customHeight="1">
      <c r="F66" s="175" t="s">
        <v>9</v>
      </c>
      <c r="G66" s="175" t="s">
        <v>37</v>
      </c>
      <c r="H66" s="175" t="s">
        <v>29</v>
      </c>
      <c r="I66" s="175" t="s">
        <v>30</v>
      </c>
      <c r="J66" s="175" t="s">
        <v>33</v>
      </c>
      <c r="K66" s="175" t="s">
        <v>34</v>
      </c>
    </row>
    <row r="67" spans="1:11" ht="18" customHeight="1">
      <c r="A67" s="154" t="s">
        <v>102</v>
      </c>
      <c r="B67" s="150" t="s">
        <v>12</v>
      </c>
      <c r="F67" s="176"/>
      <c r="G67" s="176"/>
      <c r="H67" s="176"/>
      <c r="I67" s="177"/>
      <c r="J67" s="176"/>
      <c r="K67" s="178"/>
    </row>
    <row r="68" spans="1:11" ht="18" customHeight="1">
      <c r="A68" s="151" t="s">
        <v>103</v>
      </c>
      <c r="B68" s="147" t="s">
        <v>52</v>
      </c>
      <c r="F68" s="179"/>
      <c r="G68" s="179"/>
      <c r="H68" s="179">
        <v>19692</v>
      </c>
      <c r="I68" s="158">
        <f>H68*F$114</f>
        <v>14585.8644</v>
      </c>
      <c r="J68" s="179">
        <v>23439</v>
      </c>
      <c r="K68" s="159">
        <f>(H68+I68)-J68</f>
        <v>10838.864399999999</v>
      </c>
    </row>
    <row r="69" spans="1:11" ht="18" customHeight="1">
      <c r="A69" s="151" t="s">
        <v>104</v>
      </c>
      <c r="B69" s="155" t="s">
        <v>53</v>
      </c>
      <c r="F69" s="179"/>
      <c r="G69" s="179"/>
      <c r="H69" s="179"/>
      <c r="I69" s="158">
        <v>0</v>
      </c>
      <c r="J69" s="179"/>
      <c r="K69" s="159">
        <f>(H69+I69)-J69</f>
        <v>0</v>
      </c>
    </row>
    <row r="70" spans="1:11" ht="18" customHeight="1">
      <c r="A70" s="151" t="s">
        <v>178</v>
      </c>
      <c r="B70" s="396" t="s">
        <v>459</v>
      </c>
      <c r="C70" s="397"/>
      <c r="D70" s="392"/>
      <c r="E70" s="150"/>
      <c r="F70" s="180">
        <v>1047</v>
      </c>
      <c r="G70" s="180"/>
      <c r="H70" s="181">
        <v>33842</v>
      </c>
      <c r="I70" s="158">
        <f>H70*F$114</f>
        <v>25066.769400000001</v>
      </c>
      <c r="J70" s="181"/>
      <c r="K70" s="159">
        <f>(H70+I70)-J70</f>
        <v>58908.769400000005</v>
      </c>
    </row>
    <row r="71" spans="1:11" ht="18" customHeight="1">
      <c r="A71" s="151" t="s">
        <v>179</v>
      </c>
      <c r="B71" s="396"/>
      <c r="C71" s="397"/>
      <c r="D71" s="392"/>
      <c r="E71" s="150"/>
      <c r="F71" s="180"/>
      <c r="G71" s="180"/>
      <c r="H71" s="181"/>
      <c r="I71" s="158">
        <v>0</v>
      </c>
      <c r="J71" s="181"/>
      <c r="K71" s="159">
        <f>(H71+I71)-J71</f>
        <v>0</v>
      </c>
    </row>
    <row r="72" spans="1:11" ht="18" customHeight="1">
      <c r="A72" s="151" t="s">
        <v>180</v>
      </c>
      <c r="B72" s="390"/>
      <c r="C72" s="391"/>
      <c r="D72" s="182"/>
      <c r="E72" s="150"/>
      <c r="F72" s="156"/>
      <c r="G72" s="156"/>
      <c r="H72" s="157"/>
      <c r="I72" s="158">
        <v>0</v>
      </c>
      <c r="J72" s="157"/>
      <c r="K72" s="159">
        <f>(H72+I72)-J72</f>
        <v>0</v>
      </c>
    </row>
    <row r="73" spans="1:11" ht="18" customHeight="1">
      <c r="A73" s="151"/>
      <c r="B73" s="155"/>
      <c r="E73" s="150"/>
      <c r="F73" s="183"/>
      <c r="G73" s="183"/>
      <c r="H73" s="184"/>
      <c r="I73" s="177"/>
      <c r="J73" s="184"/>
      <c r="K73" s="178"/>
    </row>
    <row r="74" spans="1:11" ht="18" customHeight="1">
      <c r="A74" s="154" t="s">
        <v>146</v>
      </c>
      <c r="B74" s="150" t="s">
        <v>147</v>
      </c>
      <c r="E74" s="150" t="s">
        <v>7</v>
      </c>
      <c r="F74" s="185">
        <f t="shared" ref="F74:K74" si="7">SUM(F68:F72)</f>
        <v>1047</v>
      </c>
      <c r="G74" s="185">
        <f t="shared" si="7"/>
        <v>0</v>
      </c>
      <c r="H74" s="185">
        <f t="shared" si="7"/>
        <v>53534</v>
      </c>
      <c r="I74" s="186">
        <f t="shared" si="7"/>
        <v>39652.633800000003</v>
      </c>
      <c r="J74" s="185">
        <f t="shared" si="7"/>
        <v>23439</v>
      </c>
      <c r="K74" s="187">
        <f t="shared" si="7"/>
        <v>69747.633800000011</v>
      </c>
    </row>
    <row r="75" spans="1:11" ht="42.75" customHeight="1">
      <c r="F75" s="153" t="s">
        <v>9</v>
      </c>
      <c r="G75" s="153" t="s">
        <v>37</v>
      </c>
      <c r="H75" s="153" t="s">
        <v>29</v>
      </c>
      <c r="I75" s="153" t="s">
        <v>30</v>
      </c>
      <c r="J75" s="153" t="s">
        <v>33</v>
      </c>
      <c r="K75" s="153" t="s">
        <v>34</v>
      </c>
    </row>
    <row r="76" spans="1:11" ht="18" customHeight="1">
      <c r="A76" s="154" t="s">
        <v>105</v>
      </c>
      <c r="B76" s="150" t="s">
        <v>106</v>
      </c>
    </row>
    <row r="77" spans="1:11" ht="18" customHeight="1">
      <c r="A77" s="151" t="s">
        <v>107</v>
      </c>
      <c r="B77" s="155" t="s">
        <v>54</v>
      </c>
      <c r="F77" s="156"/>
      <c r="G77" s="156"/>
      <c r="H77" s="157">
        <v>123652</v>
      </c>
      <c r="I77" s="158">
        <v>0</v>
      </c>
      <c r="J77" s="157"/>
      <c r="K77" s="159">
        <f>(H77+I77)-J77</f>
        <v>123652</v>
      </c>
    </row>
    <row r="78" spans="1:11" ht="18" customHeight="1">
      <c r="A78" s="151" t="s">
        <v>108</v>
      </c>
      <c r="B78" s="155" t="s">
        <v>55</v>
      </c>
      <c r="F78" s="156"/>
      <c r="G78" s="156"/>
      <c r="H78" s="157"/>
      <c r="I78" s="158">
        <v>0</v>
      </c>
      <c r="J78" s="157"/>
      <c r="K78" s="159">
        <f>(H78+I78)-J78</f>
        <v>0</v>
      </c>
    </row>
    <row r="79" spans="1:11" ht="18" customHeight="1">
      <c r="A79" s="151" t="s">
        <v>109</v>
      </c>
      <c r="B79" s="155" t="s">
        <v>13</v>
      </c>
      <c r="F79" s="156"/>
      <c r="G79" s="156"/>
      <c r="H79" s="157">
        <v>9578</v>
      </c>
      <c r="I79" s="158">
        <f>H79*F$114</f>
        <v>7094.4246000000003</v>
      </c>
      <c r="J79" s="157">
        <v>9578</v>
      </c>
      <c r="K79" s="159">
        <f>(H79+I79)-J79</f>
        <v>7094.4245999999985</v>
      </c>
    </row>
    <row r="80" spans="1:11" ht="18" customHeight="1">
      <c r="A80" s="151" t="s">
        <v>110</v>
      </c>
      <c r="B80" s="155" t="s">
        <v>56</v>
      </c>
      <c r="F80" s="156"/>
      <c r="G80" s="156"/>
      <c r="H80" s="157"/>
      <c r="I80" s="158">
        <v>0</v>
      </c>
      <c r="J80" s="157"/>
      <c r="K80" s="159">
        <f>(H80+I80)-J80</f>
        <v>0</v>
      </c>
    </row>
    <row r="81" spans="1:11" ht="18" customHeight="1">
      <c r="A81" s="151"/>
      <c r="K81" s="188"/>
    </row>
    <row r="82" spans="1:11" ht="18" customHeight="1">
      <c r="A82" s="151" t="s">
        <v>148</v>
      </c>
      <c r="B82" s="150" t="s">
        <v>149</v>
      </c>
      <c r="E82" s="150" t="s">
        <v>7</v>
      </c>
      <c r="F82" s="185">
        <f t="shared" ref="F82:K82" si="8">SUM(F77:F80)</f>
        <v>0</v>
      </c>
      <c r="G82" s="185">
        <f t="shared" si="8"/>
        <v>0</v>
      </c>
      <c r="H82" s="187">
        <f t="shared" si="8"/>
        <v>133230</v>
      </c>
      <c r="I82" s="187">
        <f t="shared" si="8"/>
        <v>7094.4246000000003</v>
      </c>
      <c r="J82" s="187">
        <f t="shared" si="8"/>
        <v>9578</v>
      </c>
      <c r="K82" s="187">
        <f t="shared" si="8"/>
        <v>130746.4246</v>
      </c>
    </row>
    <row r="83" spans="1:11" ht="18" customHeight="1" thickBot="1">
      <c r="A83" s="151"/>
      <c r="F83" s="172"/>
      <c r="G83" s="172"/>
      <c r="H83" s="172"/>
      <c r="I83" s="172"/>
      <c r="J83" s="172"/>
      <c r="K83" s="172"/>
    </row>
    <row r="84" spans="1:11" ht="42.75" customHeight="1">
      <c r="F84" s="153" t="s">
        <v>9</v>
      </c>
      <c r="G84" s="153" t="s">
        <v>37</v>
      </c>
      <c r="H84" s="153" t="s">
        <v>29</v>
      </c>
      <c r="I84" s="153" t="s">
        <v>30</v>
      </c>
      <c r="J84" s="153" t="s">
        <v>33</v>
      </c>
      <c r="K84" s="153" t="s">
        <v>34</v>
      </c>
    </row>
    <row r="85" spans="1:11" ht="18" customHeight="1">
      <c r="A85" s="154" t="s">
        <v>111</v>
      </c>
      <c r="B85" s="150" t="s">
        <v>57</v>
      </c>
    </row>
    <row r="86" spans="1:11" ht="18" customHeight="1">
      <c r="A86" s="151" t="s">
        <v>112</v>
      </c>
      <c r="B86" s="155" t="s">
        <v>113</v>
      </c>
      <c r="F86" s="156"/>
      <c r="G86" s="156"/>
      <c r="H86" s="157"/>
      <c r="I86" s="158">
        <f t="shared" ref="I86:I96" si="9">H86*F$114</f>
        <v>0</v>
      </c>
      <c r="J86" s="157"/>
      <c r="K86" s="159">
        <f t="shared" ref="K86:K96" si="10">(H86+I86)-J86</f>
        <v>0</v>
      </c>
    </row>
    <row r="87" spans="1:11" ht="18" customHeight="1">
      <c r="A87" s="151" t="s">
        <v>114</v>
      </c>
      <c r="B87" s="155" t="s">
        <v>14</v>
      </c>
      <c r="F87" s="156"/>
      <c r="G87" s="156"/>
      <c r="H87" s="157"/>
      <c r="I87" s="158">
        <f t="shared" si="9"/>
        <v>0</v>
      </c>
      <c r="J87" s="157"/>
      <c r="K87" s="159">
        <f t="shared" si="10"/>
        <v>0</v>
      </c>
    </row>
    <row r="88" spans="1:11" ht="18" customHeight="1">
      <c r="A88" s="151" t="s">
        <v>115</v>
      </c>
      <c r="B88" s="155" t="s">
        <v>116</v>
      </c>
      <c r="F88" s="156"/>
      <c r="G88" s="156"/>
      <c r="H88" s="157">
        <v>156072</v>
      </c>
      <c r="I88" s="158">
        <f t="shared" si="9"/>
        <v>115602.5304</v>
      </c>
      <c r="J88" s="157">
        <v>38264</v>
      </c>
      <c r="K88" s="159">
        <f t="shared" si="10"/>
        <v>233410.53039999999</v>
      </c>
    </row>
    <row r="89" spans="1:11" ht="18" customHeight="1">
      <c r="A89" s="151" t="s">
        <v>117</v>
      </c>
      <c r="B89" s="155" t="s">
        <v>58</v>
      </c>
      <c r="F89" s="156"/>
      <c r="G89" s="156"/>
      <c r="H89" s="157"/>
      <c r="I89" s="158">
        <f t="shared" si="9"/>
        <v>0</v>
      </c>
      <c r="J89" s="157"/>
      <c r="K89" s="159">
        <f t="shared" si="10"/>
        <v>0</v>
      </c>
    </row>
    <row r="90" spans="1:11" ht="18" customHeight="1">
      <c r="A90" s="151" t="s">
        <v>118</v>
      </c>
      <c r="B90" s="904" t="s">
        <v>59</v>
      </c>
      <c r="C90" s="907"/>
      <c r="F90" s="156"/>
      <c r="G90" s="156"/>
      <c r="H90" s="157"/>
      <c r="I90" s="158">
        <f t="shared" si="9"/>
        <v>0</v>
      </c>
      <c r="J90" s="157"/>
      <c r="K90" s="159">
        <f t="shared" si="10"/>
        <v>0</v>
      </c>
    </row>
    <row r="91" spans="1:11" ht="18" customHeight="1">
      <c r="A91" s="151" t="s">
        <v>119</v>
      </c>
      <c r="B91" s="155" t="s">
        <v>60</v>
      </c>
      <c r="F91" s="156"/>
      <c r="G91" s="156"/>
      <c r="H91" s="157"/>
      <c r="I91" s="158">
        <f t="shared" si="9"/>
        <v>0</v>
      </c>
      <c r="J91" s="157"/>
      <c r="K91" s="159">
        <f t="shared" si="10"/>
        <v>0</v>
      </c>
    </row>
    <row r="92" spans="1:11" ht="18" customHeight="1">
      <c r="A92" s="151" t="s">
        <v>120</v>
      </c>
      <c r="B92" s="155" t="s">
        <v>121</v>
      </c>
      <c r="F92" s="189"/>
      <c r="G92" s="189"/>
      <c r="H92" s="190"/>
      <c r="I92" s="158">
        <f t="shared" si="9"/>
        <v>0</v>
      </c>
      <c r="J92" s="190"/>
      <c r="K92" s="159">
        <f t="shared" si="10"/>
        <v>0</v>
      </c>
    </row>
    <row r="93" spans="1:11" ht="18" customHeight="1">
      <c r="A93" s="151" t="s">
        <v>122</v>
      </c>
      <c r="B93" s="155" t="s">
        <v>123</v>
      </c>
      <c r="F93" s="156"/>
      <c r="G93" s="156"/>
      <c r="H93" s="157"/>
      <c r="I93" s="158">
        <f t="shared" si="9"/>
        <v>0</v>
      </c>
      <c r="J93" s="157"/>
      <c r="K93" s="159">
        <f t="shared" si="10"/>
        <v>0</v>
      </c>
    </row>
    <row r="94" spans="1:11" ht="18" customHeight="1">
      <c r="A94" s="151" t="s">
        <v>124</v>
      </c>
      <c r="B94" s="901"/>
      <c r="C94" s="902"/>
      <c r="D94" s="903"/>
      <c r="F94" s="156"/>
      <c r="G94" s="156"/>
      <c r="H94" s="157"/>
      <c r="I94" s="158">
        <f t="shared" si="9"/>
        <v>0</v>
      </c>
      <c r="J94" s="157"/>
      <c r="K94" s="159">
        <f t="shared" si="10"/>
        <v>0</v>
      </c>
    </row>
    <row r="95" spans="1:11" ht="18" customHeight="1">
      <c r="A95" s="151" t="s">
        <v>125</v>
      </c>
      <c r="B95" s="901"/>
      <c r="C95" s="902"/>
      <c r="D95" s="903"/>
      <c r="F95" s="156"/>
      <c r="G95" s="156"/>
      <c r="H95" s="157"/>
      <c r="I95" s="158">
        <f t="shared" si="9"/>
        <v>0</v>
      </c>
      <c r="J95" s="157"/>
      <c r="K95" s="159">
        <f t="shared" si="10"/>
        <v>0</v>
      </c>
    </row>
    <row r="96" spans="1:11" ht="18" customHeight="1">
      <c r="A96" s="151" t="s">
        <v>126</v>
      </c>
      <c r="B96" s="901"/>
      <c r="C96" s="902"/>
      <c r="D96" s="903"/>
      <c r="F96" s="156"/>
      <c r="G96" s="156"/>
      <c r="H96" s="157"/>
      <c r="I96" s="158">
        <f t="shared" si="9"/>
        <v>0</v>
      </c>
      <c r="J96" s="157"/>
      <c r="K96" s="159">
        <f t="shared" si="10"/>
        <v>0</v>
      </c>
    </row>
    <row r="97" spans="1:11" ht="18" customHeight="1">
      <c r="A97" s="151"/>
      <c r="B97" s="155"/>
    </row>
    <row r="98" spans="1:11" ht="18" customHeight="1">
      <c r="A98" s="154" t="s">
        <v>150</v>
      </c>
      <c r="B98" s="150" t="s">
        <v>151</v>
      </c>
      <c r="E98" s="150" t="s">
        <v>7</v>
      </c>
      <c r="F98" s="162">
        <f t="shared" ref="F98:K98" si="11">SUM(F86:F96)</f>
        <v>0</v>
      </c>
      <c r="G98" s="162">
        <f t="shared" si="11"/>
        <v>0</v>
      </c>
      <c r="H98" s="162">
        <f t="shared" si="11"/>
        <v>156072</v>
      </c>
      <c r="I98" s="162">
        <f t="shared" si="11"/>
        <v>115602.5304</v>
      </c>
      <c r="J98" s="162">
        <f t="shared" si="11"/>
        <v>38264</v>
      </c>
      <c r="K98" s="162">
        <f t="shared" si="11"/>
        <v>233410.53039999999</v>
      </c>
    </row>
    <row r="99" spans="1:11" ht="18" customHeight="1" thickBot="1">
      <c r="B99" s="150"/>
      <c r="F99" s="172"/>
      <c r="G99" s="172"/>
      <c r="H99" s="172"/>
      <c r="I99" s="172"/>
      <c r="J99" s="172"/>
      <c r="K99" s="172"/>
    </row>
    <row r="100" spans="1:11" ht="42.75" customHeight="1">
      <c r="F100" s="153" t="s">
        <v>9</v>
      </c>
      <c r="G100" s="153" t="s">
        <v>37</v>
      </c>
      <c r="H100" s="153" t="s">
        <v>29</v>
      </c>
      <c r="I100" s="153" t="s">
        <v>30</v>
      </c>
      <c r="J100" s="153" t="s">
        <v>33</v>
      </c>
      <c r="K100" s="153" t="s">
        <v>34</v>
      </c>
    </row>
    <row r="101" spans="1:11" ht="18" customHeight="1">
      <c r="A101" s="154" t="s">
        <v>130</v>
      </c>
      <c r="B101" s="150" t="s">
        <v>63</v>
      </c>
    </row>
    <row r="102" spans="1:11" ht="18" customHeight="1">
      <c r="A102" s="151" t="s">
        <v>131</v>
      </c>
      <c r="B102" s="155" t="s">
        <v>152</v>
      </c>
      <c r="F102" s="156">
        <v>481</v>
      </c>
      <c r="G102" s="156"/>
      <c r="H102" s="157">
        <v>22921</v>
      </c>
      <c r="I102" s="158">
        <f>H102*F$114</f>
        <v>16977.584699999999</v>
      </c>
      <c r="J102" s="157"/>
      <c r="K102" s="159">
        <f>(H102+I102)-J102</f>
        <v>39898.584699999999</v>
      </c>
    </row>
    <row r="103" spans="1:11" ht="18" customHeight="1">
      <c r="A103" s="151" t="s">
        <v>132</v>
      </c>
      <c r="B103" s="904" t="s">
        <v>62</v>
      </c>
      <c r="C103" s="904"/>
      <c r="F103" s="156"/>
      <c r="G103" s="156"/>
      <c r="H103" s="157"/>
      <c r="I103" s="158">
        <f>H103*F$114</f>
        <v>0</v>
      </c>
      <c r="J103" s="157"/>
      <c r="K103" s="159">
        <f>(H103+I103)-J103</f>
        <v>0</v>
      </c>
    </row>
    <row r="104" spans="1:11" ht="18" customHeight="1">
      <c r="A104" s="151" t="s">
        <v>128</v>
      </c>
      <c r="B104" s="901"/>
      <c r="C104" s="902"/>
      <c r="D104" s="903"/>
      <c r="F104" s="156"/>
      <c r="G104" s="156"/>
      <c r="H104" s="157"/>
      <c r="I104" s="158">
        <f>H104*F$114</f>
        <v>0</v>
      </c>
      <c r="J104" s="157"/>
      <c r="K104" s="159">
        <f>(H104+I104)-J104</f>
        <v>0</v>
      </c>
    </row>
    <row r="105" spans="1:11" ht="18" customHeight="1">
      <c r="A105" s="151" t="s">
        <v>127</v>
      </c>
      <c r="B105" s="901"/>
      <c r="C105" s="902"/>
      <c r="D105" s="903"/>
      <c r="F105" s="156"/>
      <c r="G105" s="156"/>
      <c r="H105" s="157"/>
      <c r="I105" s="158">
        <f>H105*F$114</f>
        <v>0</v>
      </c>
      <c r="J105" s="157"/>
      <c r="K105" s="159">
        <f>(H105+I105)-J105</f>
        <v>0</v>
      </c>
    </row>
    <row r="106" spans="1:11" ht="18" customHeight="1">
      <c r="A106" s="151" t="s">
        <v>129</v>
      </c>
      <c r="B106" s="901"/>
      <c r="C106" s="902"/>
      <c r="D106" s="903"/>
      <c r="F106" s="156"/>
      <c r="G106" s="156"/>
      <c r="H106" s="157"/>
      <c r="I106" s="158">
        <f>H106*F$114</f>
        <v>0</v>
      </c>
      <c r="J106" s="157"/>
      <c r="K106" s="159">
        <f>(H106+I106)-J106</f>
        <v>0</v>
      </c>
    </row>
    <row r="107" spans="1:11" ht="18" customHeight="1">
      <c r="B107" s="150"/>
    </row>
    <row r="108" spans="1:11" s="167" customFormat="1" ht="18" customHeight="1">
      <c r="A108" s="154" t="s">
        <v>153</v>
      </c>
      <c r="B108" s="191" t="s">
        <v>154</v>
      </c>
      <c r="C108" s="147"/>
      <c r="D108" s="147"/>
      <c r="E108" s="150" t="s">
        <v>7</v>
      </c>
      <c r="F108" s="162">
        <f t="shared" ref="F108:K108" si="12">SUM(F102:F106)</f>
        <v>481</v>
      </c>
      <c r="G108" s="162">
        <f t="shared" si="12"/>
        <v>0</v>
      </c>
      <c r="H108" s="159">
        <f t="shared" si="12"/>
        <v>22921</v>
      </c>
      <c r="I108" s="159">
        <f t="shared" si="12"/>
        <v>16977.584699999999</v>
      </c>
      <c r="J108" s="159">
        <f t="shared" si="12"/>
        <v>0</v>
      </c>
      <c r="K108" s="159">
        <f t="shared" si="12"/>
        <v>39898.584699999999</v>
      </c>
    </row>
    <row r="109" spans="1:11" s="167" customFormat="1" ht="18" customHeight="1" thickBot="1">
      <c r="A109" s="192"/>
      <c r="B109" s="193"/>
      <c r="C109" s="194"/>
      <c r="D109" s="194"/>
      <c r="E109" s="194"/>
      <c r="F109" s="172"/>
      <c r="G109" s="172"/>
      <c r="H109" s="172"/>
      <c r="I109" s="172"/>
      <c r="J109" s="172"/>
      <c r="K109" s="172"/>
    </row>
    <row r="110" spans="1:11" s="167" customFormat="1" ht="18" customHeight="1">
      <c r="A110" s="154" t="s">
        <v>156</v>
      </c>
      <c r="B110" s="150" t="s">
        <v>39</v>
      </c>
      <c r="C110" s="147"/>
      <c r="D110" s="147"/>
      <c r="E110" s="147"/>
      <c r="F110" s="147"/>
      <c r="G110" s="147"/>
      <c r="H110" s="147"/>
      <c r="I110" s="147"/>
      <c r="J110" s="147"/>
      <c r="K110" s="147"/>
    </row>
    <row r="111" spans="1:11" ht="18" customHeight="1">
      <c r="A111" s="154" t="s">
        <v>155</v>
      </c>
      <c r="B111" s="150" t="s">
        <v>164</v>
      </c>
      <c r="E111" s="150" t="s">
        <v>7</v>
      </c>
      <c r="F111" s="157">
        <v>3226996</v>
      </c>
    </row>
    <row r="112" spans="1:11" ht="18" customHeight="1">
      <c r="B112" s="150"/>
      <c r="E112" s="150"/>
      <c r="F112" s="195"/>
    </row>
    <row r="113" spans="1:6" ht="18" customHeight="1">
      <c r="A113" s="154"/>
      <c r="B113" s="150" t="s">
        <v>15</v>
      </c>
    </row>
    <row r="114" spans="1:6" ht="18" customHeight="1">
      <c r="A114" s="151" t="s">
        <v>171</v>
      </c>
      <c r="B114" s="155" t="s">
        <v>35</v>
      </c>
      <c r="F114" s="196">
        <v>0.74070000000000003</v>
      </c>
    </row>
    <row r="115" spans="1:6" ht="18" customHeight="1">
      <c r="A115" s="151"/>
      <c r="B115" s="150"/>
    </row>
    <row r="116" spans="1:6" ht="18" customHeight="1">
      <c r="A116" s="151" t="s">
        <v>170</v>
      </c>
      <c r="B116" s="150" t="s">
        <v>16</v>
      </c>
    </row>
    <row r="117" spans="1:6" ht="18" customHeight="1">
      <c r="A117" s="151" t="s">
        <v>172</v>
      </c>
      <c r="B117" s="155" t="s">
        <v>17</v>
      </c>
      <c r="F117" s="157">
        <v>226374624</v>
      </c>
    </row>
    <row r="118" spans="1:6" ht="18" customHeight="1">
      <c r="A118" s="151" t="s">
        <v>173</v>
      </c>
      <c r="B118" s="147" t="s">
        <v>18</v>
      </c>
      <c r="F118" s="157">
        <v>7231656</v>
      </c>
    </row>
    <row r="119" spans="1:6" ht="18" customHeight="1">
      <c r="A119" s="151" t="s">
        <v>174</v>
      </c>
      <c r="B119" s="150" t="s">
        <v>19</v>
      </c>
      <c r="F119" s="187">
        <f>SUM(F117:F118)</f>
        <v>233606280</v>
      </c>
    </row>
    <row r="120" spans="1:6" ht="18" customHeight="1">
      <c r="A120" s="151"/>
      <c r="B120" s="150"/>
    </row>
    <row r="121" spans="1:6" ht="18" customHeight="1">
      <c r="A121" s="151" t="s">
        <v>167</v>
      </c>
      <c r="B121" s="150" t="s">
        <v>36</v>
      </c>
      <c r="F121" s="157">
        <v>217152668</v>
      </c>
    </row>
    <row r="122" spans="1:6" ht="18" customHeight="1">
      <c r="A122" s="151"/>
    </row>
    <row r="123" spans="1:6" ht="18" customHeight="1">
      <c r="A123" s="151" t="s">
        <v>175</v>
      </c>
      <c r="B123" s="150" t="s">
        <v>20</v>
      </c>
      <c r="F123" s="157">
        <f>F119-F121</f>
        <v>16453612</v>
      </c>
    </row>
    <row r="124" spans="1:6" ht="18" customHeight="1">
      <c r="A124" s="151"/>
    </row>
    <row r="125" spans="1:6" ht="18" customHeight="1">
      <c r="A125" s="151" t="s">
        <v>176</v>
      </c>
      <c r="B125" s="150" t="s">
        <v>21</v>
      </c>
      <c r="F125" s="157">
        <v>2338720</v>
      </c>
    </row>
    <row r="126" spans="1:6" ht="18" customHeight="1">
      <c r="A126" s="151"/>
    </row>
    <row r="127" spans="1:6" ht="18" customHeight="1">
      <c r="A127" s="151" t="s">
        <v>177</v>
      </c>
      <c r="B127" s="150" t="s">
        <v>22</v>
      </c>
      <c r="F127" s="157">
        <f>F123+F125</f>
        <v>18792332</v>
      </c>
    </row>
    <row r="128" spans="1:6" ht="18" customHeight="1">
      <c r="A128" s="151"/>
    </row>
    <row r="129" spans="1:11" ht="42.75" customHeight="1">
      <c r="F129" s="153" t="s">
        <v>9</v>
      </c>
      <c r="G129" s="153" t="s">
        <v>37</v>
      </c>
      <c r="H129" s="153" t="s">
        <v>29</v>
      </c>
      <c r="I129" s="153" t="s">
        <v>30</v>
      </c>
      <c r="J129" s="153" t="s">
        <v>33</v>
      </c>
      <c r="K129" s="153" t="s">
        <v>34</v>
      </c>
    </row>
    <row r="130" spans="1:11" ht="18" customHeight="1">
      <c r="A130" s="154" t="s">
        <v>157</v>
      </c>
      <c r="B130" s="150" t="s">
        <v>23</v>
      </c>
    </row>
    <row r="131" spans="1:11" ht="18" customHeight="1">
      <c r="A131" s="151" t="s">
        <v>158</v>
      </c>
      <c r="B131" s="147" t="s">
        <v>24</v>
      </c>
      <c r="F131" s="156"/>
      <c r="G131" s="156"/>
      <c r="H131" s="157"/>
      <c r="I131" s="158">
        <v>0</v>
      </c>
      <c r="J131" s="157"/>
      <c r="K131" s="159">
        <f>(H131+I131)-J131</f>
        <v>0</v>
      </c>
    </row>
    <row r="132" spans="1:11" ht="18" customHeight="1">
      <c r="A132" s="151" t="s">
        <v>159</v>
      </c>
      <c r="B132" s="147" t="s">
        <v>25</v>
      </c>
      <c r="F132" s="156"/>
      <c r="G132" s="156"/>
      <c r="H132" s="157"/>
      <c r="I132" s="158">
        <v>0</v>
      </c>
      <c r="J132" s="157"/>
      <c r="K132" s="159">
        <f>(H132+I132)-J132</f>
        <v>0</v>
      </c>
    </row>
    <row r="133" spans="1:11" ht="18" customHeight="1">
      <c r="A133" s="151" t="s">
        <v>160</v>
      </c>
      <c r="B133" s="898"/>
      <c r="C133" s="899"/>
      <c r="D133" s="900"/>
      <c r="F133" s="156"/>
      <c r="G133" s="156"/>
      <c r="H133" s="157"/>
      <c r="I133" s="158">
        <v>0</v>
      </c>
      <c r="J133" s="157"/>
      <c r="K133" s="159">
        <f>(H133+I133)-J133</f>
        <v>0</v>
      </c>
    </row>
    <row r="134" spans="1:11" ht="18" customHeight="1">
      <c r="A134" s="151" t="s">
        <v>161</v>
      </c>
      <c r="B134" s="898"/>
      <c r="C134" s="899"/>
      <c r="D134" s="900"/>
      <c r="F134" s="156"/>
      <c r="G134" s="156"/>
      <c r="H134" s="157"/>
      <c r="I134" s="158">
        <v>0</v>
      </c>
      <c r="J134" s="157"/>
      <c r="K134" s="159">
        <f>(H134+I134)-J134</f>
        <v>0</v>
      </c>
    </row>
    <row r="135" spans="1:11" ht="18" customHeight="1">
      <c r="A135" s="151" t="s">
        <v>162</v>
      </c>
      <c r="B135" s="898"/>
      <c r="C135" s="899"/>
      <c r="D135" s="900"/>
      <c r="F135" s="156"/>
      <c r="G135" s="156"/>
      <c r="H135" s="157"/>
      <c r="I135" s="158">
        <v>0</v>
      </c>
      <c r="J135" s="157"/>
      <c r="K135" s="159">
        <f>(H135+I135)-J135</f>
        <v>0</v>
      </c>
    </row>
    <row r="136" spans="1:11" ht="18" customHeight="1">
      <c r="A136" s="154"/>
    </row>
    <row r="137" spans="1:11" ht="18" customHeight="1">
      <c r="A137" s="154" t="s">
        <v>163</v>
      </c>
      <c r="B137" s="150" t="s">
        <v>27</v>
      </c>
      <c r="F137" s="162">
        <f t="shared" ref="F137:K137" si="13">SUM(F131:F135)</f>
        <v>0</v>
      </c>
      <c r="G137" s="162">
        <f t="shared" si="13"/>
        <v>0</v>
      </c>
      <c r="H137" s="159">
        <f t="shared" si="13"/>
        <v>0</v>
      </c>
      <c r="I137" s="159">
        <f t="shared" si="13"/>
        <v>0</v>
      </c>
      <c r="J137" s="159">
        <f t="shared" si="13"/>
        <v>0</v>
      </c>
      <c r="K137" s="159">
        <f t="shared" si="13"/>
        <v>0</v>
      </c>
    </row>
    <row r="138" spans="1:11" ht="18" customHeight="1">
      <c r="A138" s="147"/>
    </row>
    <row r="139" spans="1:11" ht="42.75" customHeight="1">
      <c r="F139" s="153" t="s">
        <v>9</v>
      </c>
      <c r="G139" s="153" t="s">
        <v>37</v>
      </c>
      <c r="H139" s="153" t="s">
        <v>29</v>
      </c>
      <c r="I139" s="153" t="s">
        <v>30</v>
      </c>
      <c r="J139" s="153" t="s">
        <v>33</v>
      </c>
      <c r="K139" s="153" t="s">
        <v>34</v>
      </c>
    </row>
    <row r="140" spans="1:11" ht="18" customHeight="1">
      <c r="A140" s="154" t="s">
        <v>166</v>
      </c>
      <c r="B140" s="150" t="s">
        <v>26</v>
      </c>
    </row>
    <row r="141" spans="1:11" ht="18" customHeight="1">
      <c r="A141" s="151" t="s">
        <v>137</v>
      </c>
      <c r="B141" s="150" t="s">
        <v>64</v>
      </c>
      <c r="F141" s="197">
        <f t="shared" ref="F141:K141" si="14">F36</f>
        <v>14719.5</v>
      </c>
      <c r="G141" s="197">
        <f t="shared" si="14"/>
        <v>941</v>
      </c>
      <c r="H141" s="197">
        <f t="shared" si="14"/>
        <v>1175480</v>
      </c>
      <c r="I141" s="197">
        <f t="shared" si="14"/>
        <v>870678.03600000008</v>
      </c>
      <c r="J141" s="197">
        <f t="shared" si="14"/>
        <v>372589</v>
      </c>
      <c r="K141" s="197">
        <f t="shared" si="14"/>
        <v>1673569.0360000001</v>
      </c>
    </row>
    <row r="142" spans="1:11" ht="18" customHeight="1">
      <c r="A142" s="151" t="s">
        <v>142</v>
      </c>
      <c r="B142" s="150" t="s">
        <v>65</v>
      </c>
      <c r="F142" s="197">
        <f t="shared" ref="F142:K142" si="15">F49</f>
        <v>9308</v>
      </c>
      <c r="G142" s="197">
        <f t="shared" si="15"/>
        <v>0</v>
      </c>
      <c r="H142" s="197">
        <f t="shared" si="15"/>
        <v>420976</v>
      </c>
      <c r="I142" s="197">
        <f t="shared" si="15"/>
        <v>311816.92320000002</v>
      </c>
      <c r="J142" s="197">
        <f t="shared" si="15"/>
        <v>0</v>
      </c>
      <c r="K142" s="197">
        <f t="shared" si="15"/>
        <v>732792.92319999996</v>
      </c>
    </row>
    <row r="143" spans="1:11" ht="18" customHeight="1">
      <c r="A143" s="151" t="s">
        <v>144</v>
      </c>
      <c r="B143" s="150" t="s">
        <v>66</v>
      </c>
      <c r="F143" s="197">
        <f t="shared" ref="F143:K143" si="16">F64</f>
        <v>0</v>
      </c>
      <c r="G143" s="197">
        <f t="shared" si="16"/>
        <v>0</v>
      </c>
      <c r="H143" s="197">
        <f t="shared" si="16"/>
        <v>5078014</v>
      </c>
      <c r="I143" s="197">
        <f t="shared" si="16"/>
        <v>3761284.9698000001</v>
      </c>
      <c r="J143" s="197">
        <f t="shared" si="16"/>
        <v>0</v>
      </c>
      <c r="K143" s="197">
        <f t="shared" si="16"/>
        <v>8839298.9697999991</v>
      </c>
    </row>
    <row r="144" spans="1:11" ht="18" customHeight="1">
      <c r="A144" s="151" t="s">
        <v>146</v>
      </c>
      <c r="B144" s="150" t="s">
        <v>67</v>
      </c>
      <c r="F144" s="197">
        <f t="shared" ref="F144:K144" si="17">F74</f>
        <v>1047</v>
      </c>
      <c r="G144" s="197">
        <f t="shared" si="17"/>
        <v>0</v>
      </c>
      <c r="H144" s="197">
        <f t="shared" si="17"/>
        <v>53534</v>
      </c>
      <c r="I144" s="197">
        <f t="shared" si="17"/>
        <v>39652.633800000003</v>
      </c>
      <c r="J144" s="197">
        <f t="shared" si="17"/>
        <v>23439</v>
      </c>
      <c r="K144" s="197">
        <f t="shared" si="17"/>
        <v>69747.633800000011</v>
      </c>
    </row>
    <row r="145" spans="1:11" ht="18" customHeight="1">
      <c r="A145" s="151" t="s">
        <v>148</v>
      </c>
      <c r="B145" s="150" t="s">
        <v>68</v>
      </c>
      <c r="F145" s="197">
        <f t="shared" ref="F145:K145" si="18">F82</f>
        <v>0</v>
      </c>
      <c r="G145" s="197">
        <f t="shared" si="18"/>
        <v>0</v>
      </c>
      <c r="H145" s="197">
        <f t="shared" si="18"/>
        <v>133230</v>
      </c>
      <c r="I145" s="197">
        <f t="shared" si="18"/>
        <v>7094.4246000000003</v>
      </c>
      <c r="J145" s="197">
        <f t="shared" si="18"/>
        <v>9578</v>
      </c>
      <c r="K145" s="197">
        <f t="shared" si="18"/>
        <v>130746.4246</v>
      </c>
    </row>
    <row r="146" spans="1:11" ht="18" customHeight="1">
      <c r="A146" s="151" t="s">
        <v>150</v>
      </c>
      <c r="B146" s="150" t="s">
        <v>69</v>
      </c>
      <c r="F146" s="197">
        <f t="shared" ref="F146:K146" si="19">F98</f>
        <v>0</v>
      </c>
      <c r="G146" s="197">
        <f t="shared" si="19"/>
        <v>0</v>
      </c>
      <c r="H146" s="197">
        <f t="shared" si="19"/>
        <v>156072</v>
      </c>
      <c r="I146" s="197">
        <f t="shared" si="19"/>
        <v>115602.5304</v>
      </c>
      <c r="J146" s="197">
        <f t="shared" si="19"/>
        <v>38264</v>
      </c>
      <c r="K146" s="197">
        <f t="shared" si="19"/>
        <v>233410.53039999999</v>
      </c>
    </row>
    <row r="147" spans="1:11" ht="18" customHeight="1">
      <c r="A147" s="151" t="s">
        <v>153</v>
      </c>
      <c r="B147" s="150" t="s">
        <v>61</v>
      </c>
      <c r="F147" s="162">
        <f t="shared" ref="F147:K147" si="20">F108</f>
        <v>481</v>
      </c>
      <c r="G147" s="162">
        <f t="shared" si="20"/>
        <v>0</v>
      </c>
      <c r="H147" s="162">
        <f t="shared" si="20"/>
        <v>22921</v>
      </c>
      <c r="I147" s="162">
        <f t="shared" si="20"/>
        <v>16977.584699999999</v>
      </c>
      <c r="J147" s="162">
        <f t="shared" si="20"/>
        <v>0</v>
      </c>
      <c r="K147" s="162">
        <f t="shared" si="20"/>
        <v>39898.584699999999</v>
      </c>
    </row>
    <row r="148" spans="1:11" ht="18" customHeight="1">
      <c r="A148" s="151" t="s">
        <v>155</v>
      </c>
      <c r="B148" s="150" t="s">
        <v>70</v>
      </c>
      <c r="F148" s="198" t="s">
        <v>73</v>
      </c>
      <c r="G148" s="198" t="s">
        <v>73</v>
      </c>
      <c r="H148" s="199" t="s">
        <v>73</v>
      </c>
      <c r="I148" s="199" t="s">
        <v>73</v>
      </c>
      <c r="J148" s="199" t="s">
        <v>73</v>
      </c>
      <c r="K148" s="200">
        <f>F111</f>
        <v>3226996</v>
      </c>
    </row>
    <row r="149" spans="1:11" ht="18" customHeight="1">
      <c r="A149" s="151" t="s">
        <v>163</v>
      </c>
      <c r="B149" s="150" t="s">
        <v>71</v>
      </c>
      <c r="F149" s="162">
        <f t="shared" ref="F149:K149" si="21">F137</f>
        <v>0</v>
      </c>
      <c r="G149" s="162">
        <f t="shared" si="21"/>
        <v>0</v>
      </c>
      <c r="H149" s="162">
        <f t="shared" si="21"/>
        <v>0</v>
      </c>
      <c r="I149" s="162">
        <f t="shared" si="21"/>
        <v>0</v>
      </c>
      <c r="J149" s="162">
        <f t="shared" si="21"/>
        <v>0</v>
      </c>
      <c r="K149" s="162">
        <f t="shared" si="21"/>
        <v>0</v>
      </c>
    </row>
    <row r="150" spans="1:11" ht="18" customHeight="1">
      <c r="A150" s="151" t="s">
        <v>185</v>
      </c>
      <c r="B150" s="150" t="s">
        <v>186</v>
      </c>
      <c r="F150" s="198" t="s">
        <v>73</v>
      </c>
      <c r="G150" s="198" t="s">
        <v>73</v>
      </c>
      <c r="H150" s="162">
        <f>H18</f>
        <v>6077319</v>
      </c>
      <c r="I150" s="162">
        <f>I18</f>
        <v>0</v>
      </c>
      <c r="J150" s="162">
        <f>J18</f>
        <v>5196868</v>
      </c>
      <c r="K150" s="162">
        <f>K18</f>
        <v>880451</v>
      </c>
    </row>
    <row r="151" spans="1:11" ht="18" customHeight="1">
      <c r="B151" s="150"/>
      <c r="F151" s="174"/>
      <c r="G151" s="174"/>
      <c r="H151" s="174"/>
      <c r="I151" s="174"/>
      <c r="J151" s="174"/>
      <c r="K151" s="174"/>
    </row>
    <row r="152" spans="1:11" ht="18" customHeight="1">
      <c r="A152" s="154" t="s">
        <v>165</v>
      </c>
      <c r="B152" s="150" t="s">
        <v>26</v>
      </c>
      <c r="F152" s="201">
        <f t="shared" ref="F152:K152" si="22">SUM(F141:F150)</f>
        <v>25555.5</v>
      </c>
      <c r="G152" s="201">
        <f t="shared" si="22"/>
        <v>941</v>
      </c>
      <c r="H152" s="201">
        <f t="shared" si="22"/>
        <v>13117546</v>
      </c>
      <c r="I152" s="201">
        <f t="shared" si="22"/>
        <v>5123107.1024999991</v>
      </c>
      <c r="J152" s="201">
        <f t="shared" si="22"/>
        <v>5640738</v>
      </c>
      <c r="K152" s="201">
        <f t="shared" si="22"/>
        <v>15826911.102499999</v>
      </c>
    </row>
    <row r="154" spans="1:11" ht="18" customHeight="1">
      <c r="A154" s="154" t="s">
        <v>168</v>
      </c>
      <c r="B154" s="150" t="s">
        <v>28</v>
      </c>
      <c r="F154" s="53">
        <f>K152/F121</f>
        <v>7.2883797598563227E-2</v>
      </c>
    </row>
    <row r="155" spans="1:11" ht="18" customHeight="1">
      <c r="A155" s="154" t="s">
        <v>169</v>
      </c>
      <c r="B155" s="150" t="s">
        <v>72</v>
      </c>
      <c r="F155" s="53">
        <f>K152/F127</f>
        <v>0.84220048381967705</v>
      </c>
      <c r="G155" s="150"/>
    </row>
    <row r="156" spans="1:11" ht="18" customHeight="1">
      <c r="G156" s="150"/>
    </row>
  </sheetData>
  <sheetProtection algorithmName="SHA-512" hashValue="iVvdvBFvLJrCQayOzWBOnlmmkvSOlg0vsuWfxw4ykvUWsRMIU69Eos4F9LU4n3blGdfrud4L5z60Zw6vfmvLvQ==" saltValue="dNfDTr1s26G+Dg2uXX89nw==" spinCount="100000" sheet="1" objects="1" scenarios="1"/>
  <mergeCells count="34">
    <mergeCell ref="B41:C41"/>
    <mergeCell ref="D2:H2"/>
    <mergeCell ref="C5:G5"/>
    <mergeCell ref="C6:G6"/>
    <mergeCell ref="C7:G7"/>
    <mergeCell ref="C9:G9"/>
    <mergeCell ref="C10:G10"/>
    <mergeCell ref="C11:G11"/>
    <mergeCell ref="B13:H13"/>
    <mergeCell ref="B30:D30"/>
    <mergeCell ref="B31:D31"/>
    <mergeCell ref="B34:D34"/>
    <mergeCell ref="B90:C90"/>
    <mergeCell ref="B44:D44"/>
    <mergeCell ref="B45:D45"/>
    <mergeCell ref="B46:D46"/>
    <mergeCell ref="B47:D47"/>
    <mergeCell ref="B52:C52"/>
    <mergeCell ref="B53:D53"/>
    <mergeCell ref="B55:D55"/>
    <mergeCell ref="B56:D56"/>
    <mergeCell ref="B57:D57"/>
    <mergeCell ref="B59:D59"/>
    <mergeCell ref="B62:D62"/>
    <mergeCell ref="B106:D106"/>
    <mergeCell ref="B133:D133"/>
    <mergeCell ref="B134:D134"/>
    <mergeCell ref="B135:D135"/>
    <mergeCell ref="B94:D94"/>
    <mergeCell ref="B95:D95"/>
    <mergeCell ref="B96:D96"/>
    <mergeCell ref="B103:C103"/>
    <mergeCell ref="B104:D104"/>
    <mergeCell ref="B105:D105"/>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K156"/>
  <sheetViews>
    <sheetView showGridLines="0" topLeftCell="A8" zoomScaleNormal="100" zoomScaleSheetLayoutView="50" workbookViewId="0">
      <selection activeCell="B38" sqref="B38"/>
    </sheetView>
  </sheetViews>
  <sheetFormatPr defaultRowHeight="18" customHeight="1"/>
  <cols>
    <col min="1" max="1" width="8.28515625" style="146" customWidth="1"/>
    <col min="2" max="2" width="55.42578125" style="147" bestFit="1" customWidth="1"/>
    <col min="3" max="3" width="9.5703125" style="147" customWidth="1"/>
    <col min="4" max="4" width="9.140625" style="147"/>
    <col min="5" max="5" width="12.42578125" style="147" customWidth="1"/>
    <col min="6" max="6" width="18.5703125" style="147" customWidth="1"/>
    <col min="7" max="7" width="23.5703125" style="147" customWidth="1"/>
    <col min="8" max="8" width="17.140625" style="147" customWidth="1"/>
    <col min="9" max="9" width="21.140625" style="147" customWidth="1"/>
    <col min="10" max="10" width="19.85546875" style="147" customWidth="1"/>
    <col min="11" max="11" width="17.5703125" style="147" customWidth="1"/>
    <col min="12" max="16384" width="9.140625" style="147"/>
  </cols>
  <sheetData>
    <row r="1" spans="1:11" ht="18" customHeight="1">
      <c r="C1" s="148"/>
      <c r="D1" s="149"/>
      <c r="E1" s="148"/>
      <c r="F1" s="148"/>
      <c r="G1" s="148"/>
      <c r="H1" s="148"/>
      <c r="I1" s="148"/>
      <c r="J1" s="148"/>
      <c r="K1" s="148"/>
    </row>
    <row r="2" spans="1:11" ht="18" customHeight="1">
      <c r="D2" s="910" t="s">
        <v>713</v>
      </c>
      <c r="E2" s="911"/>
      <c r="F2" s="911"/>
      <c r="G2" s="911"/>
      <c r="H2" s="911"/>
    </row>
    <row r="3" spans="1:11" ht="18" customHeight="1">
      <c r="B3" s="150" t="s">
        <v>0</v>
      </c>
    </row>
    <row r="5" spans="1:11" ht="18" customHeight="1">
      <c r="B5" s="151" t="s">
        <v>40</v>
      </c>
      <c r="C5" s="912" t="s">
        <v>608</v>
      </c>
      <c r="D5" s="918"/>
      <c r="E5" s="918"/>
      <c r="F5" s="918"/>
      <c r="G5" s="919"/>
    </row>
    <row r="6" spans="1:11" ht="18" customHeight="1">
      <c r="B6" s="151" t="s">
        <v>3</v>
      </c>
      <c r="C6" s="929">
        <v>43</v>
      </c>
      <c r="D6" s="921"/>
      <c r="E6" s="921"/>
      <c r="F6" s="921"/>
      <c r="G6" s="922"/>
    </row>
    <row r="7" spans="1:11" ht="18" customHeight="1">
      <c r="B7" s="151" t="s">
        <v>4</v>
      </c>
      <c r="C7" s="930">
        <v>2906</v>
      </c>
      <c r="D7" s="924"/>
      <c r="E7" s="924"/>
      <c r="F7" s="924"/>
      <c r="G7" s="925"/>
    </row>
    <row r="9" spans="1:11" ht="18" customHeight="1">
      <c r="B9" s="151" t="s">
        <v>1</v>
      </c>
      <c r="C9" s="912" t="s">
        <v>725</v>
      </c>
      <c r="D9" s="918"/>
      <c r="E9" s="918"/>
      <c r="F9" s="918"/>
      <c r="G9" s="919"/>
    </row>
    <row r="10" spans="1:11" ht="18" customHeight="1">
      <c r="B10" s="151" t="s">
        <v>2</v>
      </c>
      <c r="C10" s="926" t="s">
        <v>726</v>
      </c>
      <c r="D10" s="927"/>
      <c r="E10" s="927"/>
      <c r="F10" s="927"/>
      <c r="G10" s="928"/>
    </row>
    <row r="11" spans="1:11" ht="18" customHeight="1">
      <c r="B11" s="151" t="s">
        <v>32</v>
      </c>
      <c r="C11" s="912" t="s">
        <v>727</v>
      </c>
      <c r="D11" s="913"/>
      <c r="E11" s="913"/>
      <c r="F11" s="913"/>
      <c r="G11" s="913"/>
    </row>
    <row r="12" spans="1:11" ht="18" customHeight="1">
      <c r="B12" s="151"/>
      <c r="C12" s="151"/>
      <c r="D12" s="151"/>
      <c r="E12" s="151"/>
      <c r="F12" s="151"/>
      <c r="G12" s="151"/>
    </row>
    <row r="13" spans="1:11" ht="24.6" customHeight="1">
      <c r="B13" s="914"/>
      <c r="C13" s="915"/>
      <c r="D13" s="915"/>
      <c r="E13" s="915"/>
      <c r="F13" s="915"/>
      <c r="G13" s="915"/>
      <c r="H13" s="916"/>
      <c r="I13" s="148"/>
    </row>
    <row r="14" spans="1:11" ht="18" customHeight="1">
      <c r="B14" s="152"/>
    </row>
    <row r="15" spans="1:11" ht="18" customHeight="1">
      <c r="B15" s="152"/>
    </row>
    <row r="16" spans="1:11" ht="45.2" customHeight="1">
      <c r="A16" s="149" t="s">
        <v>181</v>
      </c>
      <c r="B16" s="148"/>
      <c r="C16" s="148"/>
      <c r="D16" s="148"/>
      <c r="E16" s="148"/>
      <c r="F16" s="153" t="s">
        <v>9</v>
      </c>
      <c r="G16" s="153" t="s">
        <v>37</v>
      </c>
      <c r="H16" s="153" t="s">
        <v>29</v>
      </c>
      <c r="I16" s="153" t="s">
        <v>30</v>
      </c>
      <c r="J16" s="153" t="s">
        <v>33</v>
      </c>
      <c r="K16" s="153" t="s">
        <v>34</v>
      </c>
    </row>
    <row r="17" spans="1:11" ht="18" customHeight="1">
      <c r="A17" s="154" t="s">
        <v>184</v>
      </c>
      <c r="B17" s="150" t="s">
        <v>182</v>
      </c>
    </row>
    <row r="18" spans="1:11" ht="18" customHeight="1">
      <c r="A18" s="151" t="s">
        <v>185</v>
      </c>
      <c r="B18" s="155" t="s">
        <v>183</v>
      </c>
      <c r="F18" s="156" t="s">
        <v>73</v>
      </c>
      <c r="G18" s="156" t="s">
        <v>73</v>
      </c>
      <c r="H18" s="157">
        <v>9869004.6751208026</v>
      </c>
      <c r="I18" s="158">
        <v>0</v>
      </c>
      <c r="J18" s="157">
        <v>8439232.9487626161</v>
      </c>
      <c r="K18" s="159">
        <f>(H18+I18)-J18</f>
        <v>1429771.7263581865</v>
      </c>
    </row>
    <row r="19" spans="1:11" ht="45.2" customHeight="1">
      <c r="A19" s="149" t="s">
        <v>8</v>
      </c>
      <c r="B19" s="148"/>
      <c r="C19" s="148"/>
      <c r="D19" s="148"/>
      <c r="E19" s="148"/>
      <c r="F19" s="153" t="s">
        <v>9</v>
      </c>
      <c r="G19" s="153" t="s">
        <v>37</v>
      </c>
      <c r="H19" s="153" t="s">
        <v>29</v>
      </c>
      <c r="I19" s="153" t="s">
        <v>30</v>
      </c>
      <c r="J19" s="153" t="s">
        <v>33</v>
      </c>
      <c r="K19" s="153" t="s">
        <v>34</v>
      </c>
    </row>
    <row r="20" spans="1:11" ht="18" customHeight="1">
      <c r="A20" s="154" t="s">
        <v>74</v>
      </c>
      <c r="B20" s="150" t="s">
        <v>41</v>
      </c>
    </row>
    <row r="21" spans="1:11" ht="18" customHeight="1">
      <c r="A21" s="151" t="s">
        <v>75</v>
      </c>
      <c r="B21" s="155" t="s">
        <v>42</v>
      </c>
      <c r="F21" s="156">
        <v>1152.3</v>
      </c>
      <c r="G21" s="156">
        <v>5933</v>
      </c>
      <c r="H21" s="157">
        <v>307530</v>
      </c>
      <c r="I21" s="158">
        <v>74090</v>
      </c>
      <c r="J21" s="157">
        <v>17869</v>
      </c>
      <c r="K21" s="159">
        <f t="shared" ref="K21:K34" si="0">(H21+I21)-J21</f>
        <v>363751</v>
      </c>
    </row>
    <row r="22" spans="1:11" ht="18" customHeight="1">
      <c r="A22" s="151" t="s">
        <v>76</v>
      </c>
      <c r="B22" s="147" t="s">
        <v>6</v>
      </c>
      <c r="F22" s="156">
        <v>157.5</v>
      </c>
      <c r="G22" s="156">
        <v>560</v>
      </c>
      <c r="H22" s="157">
        <v>7598</v>
      </c>
      <c r="I22" s="158">
        <v>3034</v>
      </c>
      <c r="J22" s="157"/>
      <c r="K22" s="159">
        <f t="shared" si="0"/>
        <v>10632</v>
      </c>
    </row>
    <row r="23" spans="1:11" ht="18" customHeight="1">
      <c r="A23" s="151" t="s">
        <v>77</v>
      </c>
      <c r="B23" s="147" t="s">
        <v>43</v>
      </c>
      <c r="F23" s="156"/>
      <c r="G23" s="156">
        <v>129</v>
      </c>
      <c r="H23" s="157">
        <v>9991</v>
      </c>
      <c r="I23" s="158">
        <v>2263</v>
      </c>
      <c r="J23" s="157">
        <v>5657</v>
      </c>
      <c r="K23" s="159">
        <f t="shared" si="0"/>
        <v>6597</v>
      </c>
    </row>
    <row r="24" spans="1:11" ht="18" customHeight="1">
      <c r="A24" s="151" t="s">
        <v>78</v>
      </c>
      <c r="B24" s="147" t="s">
        <v>44</v>
      </c>
      <c r="F24" s="156">
        <v>36</v>
      </c>
      <c r="G24" s="156">
        <v>126</v>
      </c>
      <c r="H24" s="157">
        <v>1914</v>
      </c>
      <c r="I24" s="158">
        <v>577</v>
      </c>
      <c r="J24" s="157"/>
      <c r="K24" s="159">
        <f t="shared" si="0"/>
        <v>2491</v>
      </c>
    </row>
    <row r="25" spans="1:11" ht="18" customHeight="1">
      <c r="A25" s="151" t="s">
        <v>79</v>
      </c>
      <c r="B25" s="147" t="s">
        <v>5</v>
      </c>
      <c r="F25" s="156">
        <v>5</v>
      </c>
      <c r="G25" s="156">
        <v>269</v>
      </c>
      <c r="H25" s="157">
        <v>76814</v>
      </c>
      <c r="I25" s="158">
        <v>27404</v>
      </c>
      <c r="J25" s="157"/>
      <c r="K25" s="159">
        <f t="shared" si="0"/>
        <v>104218</v>
      </c>
    </row>
    <row r="26" spans="1:11" ht="18" customHeight="1">
      <c r="A26" s="151" t="s">
        <v>80</v>
      </c>
      <c r="B26" s="147" t="s">
        <v>45</v>
      </c>
      <c r="F26" s="156">
        <v>59.3</v>
      </c>
      <c r="G26" s="156">
        <v>1568</v>
      </c>
      <c r="H26" s="157">
        <v>7588</v>
      </c>
      <c r="I26" s="158">
        <v>0</v>
      </c>
      <c r="J26" s="157"/>
      <c r="K26" s="159">
        <f t="shared" si="0"/>
        <v>7588</v>
      </c>
    </row>
    <row r="27" spans="1:11" ht="18" customHeight="1">
      <c r="A27" s="151" t="s">
        <v>81</v>
      </c>
      <c r="B27" s="147" t="s">
        <v>46</v>
      </c>
      <c r="F27" s="156"/>
      <c r="G27" s="156"/>
      <c r="H27" s="157"/>
      <c r="I27" s="158"/>
      <c r="J27" s="157"/>
      <c r="K27" s="159">
        <f t="shared" si="0"/>
        <v>0</v>
      </c>
    </row>
    <row r="28" spans="1:11" ht="18" customHeight="1">
      <c r="A28" s="151" t="s">
        <v>82</v>
      </c>
      <c r="B28" s="147" t="s">
        <v>47</v>
      </c>
      <c r="F28" s="156"/>
      <c r="G28" s="156"/>
      <c r="H28" s="157"/>
      <c r="I28" s="158"/>
      <c r="J28" s="157"/>
      <c r="K28" s="159">
        <f t="shared" si="0"/>
        <v>0</v>
      </c>
    </row>
    <row r="29" spans="1:11" ht="18" customHeight="1">
      <c r="A29" s="151" t="s">
        <v>83</v>
      </c>
      <c r="B29" s="147" t="s">
        <v>48</v>
      </c>
      <c r="F29" s="156"/>
      <c r="G29" s="156">
        <v>814</v>
      </c>
      <c r="H29" s="157">
        <v>642936</v>
      </c>
      <c r="I29" s="158">
        <v>235981</v>
      </c>
      <c r="J29" s="157"/>
      <c r="K29" s="159">
        <f t="shared" si="0"/>
        <v>878917</v>
      </c>
    </row>
    <row r="30" spans="1:11" ht="18" customHeight="1">
      <c r="A30" s="151" t="s">
        <v>84</v>
      </c>
      <c r="B30" s="898"/>
      <c r="C30" s="899"/>
      <c r="D30" s="900"/>
      <c r="F30" s="156"/>
      <c r="G30" s="156"/>
      <c r="H30" s="157"/>
      <c r="I30" s="158"/>
      <c r="J30" s="157"/>
      <c r="K30" s="159">
        <f t="shared" si="0"/>
        <v>0</v>
      </c>
    </row>
    <row r="31" spans="1:11" ht="18" customHeight="1">
      <c r="A31" s="151" t="s">
        <v>133</v>
      </c>
      <c r="B31" s="898"/>
      <c r="C31" s="899"/>
      <c r="D31" s="900"/>
      <c r="F31" s="156"/>
      <c r="G31" s="156"/>
      <c r="H31" s="157"/>
      <c r="I31" s="158"/>
      <c r="J31" s="157"/>
      <c r="K31" s="159">
        <f t="shared" si="0"/>
        <v>0</v>
      </c>
    </row>
    <row r="32" spans="1:11" ht="18" customHeight="1">
      <c r="A32" s="151" t="s">
        <v>134</v>
      </c>
      <c r="B32" s="393"/>
      <c r="C32" s="394"/>
      <c r="D32" s="395"/>
      <c r="F32" s="156"/>
      <c r="G32" s="160" t="s">
        <v>85</v>
      </c>
      <c r="H32" s="157"/>
      <c r="I32" s="158"/>
      <c r="J32" s="157"/>
      <c r="K32" s="159">
        <f t="shared" si="0"/>
        <v>0</v>
      </c>
    </row>
    <row r="33" spans="1:11" ht="18" customHeight="1">
      <c r="A33" s="151" t="s">
        <v>135</v>
      </c>
      <c r="B33" s="393"/>
      <c r="C33" s="394"/>
      <c r="D33" s="395"/>
      <c r="F33" s="156"/>
      <c r="G33" s="160" t="s">
        <v>85</v>
      </c>
      <c r="H33" s="157"/>
      <c r="I33" s="158"/>
      <c r="J33" s="157"/>
      <c r="K33" s="159">
        <f t="shared" si="0"/>
        <v>0</v>
      </c>
    </row>
    <row r="34" spans="1:11" ht="18" customHeight="1">
      <c r="A34" s="151" t="s">
        <v>136</v>
      </c>
      <c r="B34" s="898"/>
      <c r="C34" s="899"/>
      <c r="D34" s="900"/>
      <c r="F34" s="156"/>
      <c r="G34" s="160" t="s">
        <v>85</v>
      </c>
      <c r="H34" s="157"/>
      <c r="I34" s="158"/>
      <c r="J34" s="157"/>
      <c r="K34" s="159">
        <f t="shared" si="0"/>
        <v>0</v>
      </c>
    </row>
    <row r="35" spans="1:11" ht="18" customHeight="1">
      <c r="K35" s="161"/>
    </row>
    <row r="36" spans="1:11" ht="18" customHeight="1">
      <c r="A36" s="154" t="s">
        <v>137</v>
      </c>
      <c r="B36" s="150" t="s">
        <v>138</v>
      </c>
      <c r="E36" s="150" t="s">
        <v>7</v>
      </c>
      <c r="F36" s="162">
        <f t="shared" ref="F36:K36" si="1">SUM(F21:F34)</f>
        <v>1410.1</v>
      </c>
      <c r="G36" s="162">
        <f t="shared" si="1"/>
        <v>9399</v>
      </c>
      <c r="H36" s="162">
        <f t="shared" si="1"/>
        <v>1054371</v>
      </c>
      <c r="I36" s="159">
        <f t="shared" si="1"/>
        <v>343349</v>
      </c>
      <c r="J36" s="159">
        <f t="shared" si="1"/>
        <v>23526</v>
      </c>
      <c r="K36" s="159">
        <f t="shared" si="1"/>
        <v>1374194</v>
      </c>
    </row>
    <row r="37" spans="1:11" ht="18" customHeight="1" thickBot="1">
      <c r="B37" s="150"/>
      <c r="F37" s="163"/>
      <c r="G37" s="163"/>
      <c r="H37" s="164"/>
      <c r="I37" s="164"/>
      <c r="J37" s="164"/>
      <c r="K37" s="165"/>
    </row>
    <row r="38" spans="1:11" ht="42.75" customHeight="1">
      <c r="F38" s="153" t="s">
        <v>9</v>
      </c>
      <c r="G38" s="153" t="s">
        <v>37</v>
      </c>
      <c r="H38" s="153" t="s">
        <v>29</v>
      </c>
      <c r="I38" s="153" t="s">
        <v>30</v>
      </c>
      <c r="J38" s="153" t="s">
        <v>33</v>
      </c>
      <c r="K38" s="153" t="s">
        <v>34</v>
      </c>
    </row>
    <row r="39" spans="1:11" ht="18.75" customHeight="1">
      <c r="A39" s="154" t="s">
        <v>86</v>
      </c>
      <c r="B39" s="150" t="s">
        <v>49</v>
      </c>
    </row>
    <row r="40" spans="1:11" ht="18" customHeight="1">
      <c r="A40" s="151" t="s">
        <v>87</v>
      </c>
      <c r="B40" s="147" t="s">
        <v>31</v>
      </c>
      <c r="F40" s="156"/>
      <c r="G40" s="156">
        <v>51</v>
      </c>
      <c r="H40" s="157">
        <v>554637</v>
      </c>
      <c r="I40" s="158">
        <v>221796</v>
      </c>
      <c r="J40" s="157"/>
      <c r="K40" s="159">
        <f t="shared" ref="K40:K47" si="2">(H40+I40)-J40</f>
        <v>776433</v>
      </c>
    </row>
    <row r="41" spans="1:11" ht="18" customHeight="1">
      <c r="A41" s="151" t="s">
        <v>88</v>
      </c>
      <c r="B41" s="904" t="s">
        <v>50</v>
      </c>
      <c r="C41" s="907"/>
      <c r="F41" s="156">
        <v>5216</v>
      </c>
      <c r="G41" s="156">
        <v>37</v>
      </c>
      <c r="H41" s="157">
        <v>181957</v>
      </c>
      <c r="I41" s="158">
        <v>72783</v>
      </c>
      <c r="J41" s="157"/>
      <c r="K41" s="159">
        <f t="shared" si="2"/>
        <v>254740</v>
      </c>
    </row>
    <row r="42" spans="1:11" ht="18" customHeight="1">
      <c r="A42" s="151" t="s">
        <v>89</v>
      </c>
      <c r="B42" s="155" t="s">
        <v>11</v>
      </c>
      <c r="F42" s="156">
        <v>8139</v>
      </c>
      <c r="G42" s="156">
        <v>38</v>
      </c>
      <c r="H42" s="157">
        <v>933793</v>
      </c>
      <c r="I42" s="158">
        <v>373518</v>
      </c>
      <c r="J42" s="157"/>
      <c r="K42" s="159">
        <f t="shared" si="2"/>
        <v>1307311</v>
      </c>
    </row>
    <row r="43" spans="1:11" ht="18" customHeight="1">
      <c r="A43" s="151" t="s">
        <v>90</v>
      </c>
      <c r="B43" s="166" t="s">
        <v>10</v>
      </c>
      <c r="C43" s="167"/>
      <c r="D43" s="167"/>
      <c r="F43" s="156"/>
      <c r="G43" s="156"/>
      <c r="H43" s="157"/>
      <c r="I43" s="158"/>
      <c r="J43" s="157"/>
      <c r="K43" s="159">
        <f t="shared" si="2"/>
        <v>0</v>
      </c>
    </row>
    <row r="44" spans="1:11" ht="18" customHeight="1">
      <c r="A44" s="151" t="s">
        <v>91</v>
      </c>
      <c r="B44" s="898"/>
      <c r="C44" s="899"/>
      <c r="D44" s="900"/>
      <c r="F44" s="168"/>
      <c r="G44" s="168"/>
      <c r="H44" s="168"/>
      <c r="I44" s="169">
        <v>0</v>
      </c>
      <c r="J44" s="168"/>
      <c r="K44" s="170">
        <f t="shared" si="2"/>
        <v>0</v>
      </c>
    </row>
    <row r="45" spans="1:11" ht="18" customHeight="1">
      <c r="A45" s="151" t="s">
        <v>139</v>
      </c>
      <c r="B45" s="898"/>
      <c r="C45" s="899"/>
      <c r="D45" s="900"/>
      <c r="F45" s="156"/>
      <c r="G45" s="156"/>
      <c r="H45" s="157"/>
      <c r="I45" s="158">
        <v>0</v>
      </c>
      <c r="J45" s="157"/>
      <c r="K45" s="159">
        <f t="shared" si="2"/>
        <v>0</v>
      </c>
    </row>
    <row r="46" spans="1:11" ht="18" customHeight="1">
      <c r="A46" s="151" t="s">
        <v>140</v>
      </c>
      <c r="B46" s="898"/>
      <c r="C46" s="899"/>
      <c r="D46" s="900"/>
      <c r="F46" s="156"/>
      <c r="G46" s="156"/>
      <c r="H46" s="157"/>
      <c r="I46" s="158">
        <v>0</v>
      </c>
      <c r="J46" s="157"/>
      <c r="K46" s="159">
        <f t="shared" si="2"/>
        <v>0</v>
      </c>
    </row>
    <row r="47" spans="1:11" ht="18" customHeight="1">
      <c r="A47" s="151" t="s">
        <v>141</v>
      </c>
      <c r="B47" s="898"/>
      <c r="C47" s="899"/>
      <c r="D47" s="900"/>
      <c r="F47" s="156"/>
      <c r="G47" s="156"/>
      <c r="H47" s="157"/>
      <c r="I47" s="158">
        <v>0</v>
      </c>
      <c r="J47" s="157"/>
      <c r="K47" s="159">
        <f t="shared" si="2"/>
        <v>0</v>
      </c>
    </row>
    <row r="49" spans="1:11" ht="18" customHeight="1">
      <c r="A49" s="154" t="s">
        <v>142</v>
      </c>
      <c r="B49" s="150" t="s">
        <v>143</v>
      </c>
      <c r="E49" s="150" t="s">
        <v>7</v>
      </c>
      <c r="F49" s="171">
        <f t="shared" ref="F49:K49" si="3">SUM(F40:F47)</f>
        <v>13355</v>
      </c>
      <c r="G49" s="171">
        <f t="shared" si="3"/>
        <v>126</v>
      </c>
      <c r="H49" s="159">
        <f t="shared" si="3"/>
        <v>1670387</v>
      </c>
      <c r="I49" s="159">
        <f t="shared" si="3"/>
        <v>668097</v>
      </c>
      <c r="J49" s="159">
        <f t="shared" si="3"/>
        <v>0</v>
      </c>
      <c r="K49" s="159">
        <f t="shared" si="3"/>
        <v>2338484</v>
      </c>
    </row>
    <row r="50" spans="1:11" ht="18" customHeight="1" thickBot="1">
      <c r="G50" s="172"/>
      <c r="H50" s="172"/>
      <c r="I50" s="172"/>
      <c r="J50" s="172"/>
      <c r="K50" s="172"/>
    </row>
    <row r="51" spans="1:11" ht="42.75" customHeight="1">
      <c r="F51" s="153" t="s">
        <v>9</v>
      </c>
      <c r="G51" s="153" t="s">
        <v>37</v>
      </c>
      <c r="H51" s="153" t="s">
        <v>29</v>
      </c>
      <c r="I51" s="153" t="s">
        <v>30</v>
      </c>
      <c r="J51" s="153" t="s">
        <v>33</v>
      </c>
      <c r="K51" s="153" t="s">
        <v>34</v>
      </c>
    </row>
    <row r="52" spans="1:11" ht="18" customHeight="1">
      <c r="A52" s="154" t="s">
        <v>92</v>
      </c>
      <c r="B52" s="905" t="s">
        <v>38</v>
      </c>
      <c r="C52" s="906"/>
    </row>
    <row r="53" spans="1:11" ht="18" customHeight="1">
      <c r="A53" s="151" t="s">
        <v>51</v>
      </c>
      <c r="B53" s="1118" t="s">
        <v>493</v>
      </c>
      <c r="C53" s="909"/>
      <c r="D53" s="903"/>
      <c r="F53" s="156"/>
      <c r="G53" s="156"/>
      <c r="H53" s="157">
        <v>1740398</v>
      </c>
      <c r="I53" s="158">
        <v>696159</v>
      </c>
      <c r="J53" s="157"/>
      <c r="K53" s="159">
        <f t="shared" ref="K53:K62" si="4">(H53+I53)-J53</f>
        <v>2436557</v>
      </c>
    </row>
    <row r="54" spans="1:11" ht="18" customHeight="1">
      <c r="A54" s="151" t="s">
        <v>93</v>
      </c>
      <c r="B54" s="398" t="s">
        <v>494</v>
      </c>
      <c r="C54" s="397"/>
      <c r="D54" s="392"/>
      <c r="F54" s="156"/>
      <c r="G54" s="156"/>
      <c r="H54" s="157">
        <v>4267037</v>
      </c>
      <c r="I54" s="158">
        <v>864787</v>
      </c>
      <c r="J54" s="157"/>
      <c r="K54" s="159">
        <f t="shared" si="4"/>
        <v>5131824</v>
      </c>
    </row>
    <row r="55" spans="1:11" ht="18" customHeight="1">
      <c r="A55" s="151" t="s">
        <v>94</v>
      </c>
      <c r="B55" s="1092" t="s">
        <v>495</v>
      </c>
      <c r="C55" s="902"/>
      <c r="D55" s="903"/>
      <c r="F55" s="156"/>
      <c r="G55" s="156"/>
      <c r="H55" s="157">
        <v>1716012</v>
      </c>
      <c r="I55" s="158">
        <v>686405</v>
      </c>
      <c r="J55" s="157"/>
      <c r="K55" s="159">
        <f t="shared" si="4"/>
        <v>2402417</v>
      </c>
    </row>
    <row r="56" spans="1:11" ht="18" customHeight="1">
      <c r="A56" s="151" t="s">
        <v>95</v>
      </c>
      <c r="B56" s="1092" t="s">
        <v>728</v>
      </c>
      <c r="C56" s="902"/>
      <c r="D56" s="903"/>
      <c r="F56" s="156"/>
      <c r="G56" s="156"/>
      <c r="H56" s="157">
        <v>1554529</v>
      </c>
      <c r="I56" s="158">
        <v>621812</v>
      </c>
      <c r="J56" s="157"/>
      <c r="K56" s="159">
        <f t="shared" si="4"/>
        <v>2176341</v>
      </c>
    </row>
    <row r="57" spans="1:11" ht="18" customHeight="1">
      <c r="A57" s="151" t="s">
        <v>96</v>
      </c>
      <c r="B57" s="1092" t="s">
        <v>729</v>
      </c>
      <c r="C57" s="902"/>
      <c r="D57" s="903"/>
      <c r="F57" s="156"/>
      <c r="G57" s="156"/>
      <c r="H57" s="157">
        <v>286501</v>
      </c>
      <c r="I57" s="158">
        <v>114600</v>
      </c>
      <c r="J57" s="157"/>
      <c r="K57" s="159">
        <f t="shared" si="4"/>
        <v>401101</v>
      </c>
    </row>
    <row r="58" spans="1:11" ht="18" customHeight="1">
      <c r="A58" s="151" t="s">
        <v>97</v>
      </c>
      <c r="B58" s="396"/>
      <c r="C58" s="397"/>
      <c r="D58" s="392"/>
      <c r="F58" s="156"/>
      <c r="G58" s="156"/>
      <c r="H58" s="157"/>
      <c r="I58" s="158"/>
      <c r="J58" s="157"/>
      <c r="K58" s="159">
        <f t="shared" si="4"/>
        <v>0</v>
      </c>
    </row>
    <row r="59" spans="1:11" ht="18" customHeight="1">
      <c r="A59" s="151" t="s">
        <v>98</v>
      </c>
      <c r="B59" s="901"/>
      <c r="C59" s="902"/>
      <c r="D59" s="903"/>
      <c r="F59" s="156"/>
      <c r="G59" s="156"/>
      <c r="H59" s="157"/>
      <c r="I59" s="158"/>
      <c r="J59" s="157"/>
      <c r="K59" s="159">
        <f t="shared" si="4"/>
        <v>0</v>
      </c>
    </row>
    <row r="60" spans="1:11" ht="18" customHeight="1">
      <c r="A60" s="151" t="s">
        <v>99</v>
      </c>
      <c r="B60" s="396"/>
      <c r="C60" s="397"/>
      <c r="D60" s="392"/>
      <c r="F60" s="156"/>
      <c r="G60" s="156"/>
      <c r="H60" s="157"/>
      <c r="I60" s="158"/>
      <c r="J60" s="157"/>
      <c r="K60" s="159">
        <f t="shared" si="4"/>
        <v>0</v>
      </c>
    </row>
    <row r="61" spans="1:11" ht="18" customHeight="1">
      <c r="A61" s="151" t="s">
        <v>100</v>
      </c>
      <c r="B61" s="396"/>
      <c r="C61" s="397"/>
      <c r="D61" s="392"/>
      <c r="F61" s="156"/>
      <c r="G61" s="156"/>
      <c r="H61" s="157"/>
      <c r="I61" s="158"/>
      <c r="J61" s="157"/>
      <c r="K61" s="159">
        <f t="shared" si="4"/>
        <v>0</v>
      </c>
    </row>
    <row r="62" spans="1:11" ht="18" customHeight="1">
      <c r="A62" s="151" t="s">
        <v>101</v>
      </c>
      <c r="B62" s="901"/>
      <c r="C62" s="902"/>
      <c r="D62" s="903"/>
      <c r="F62" s="156"/>
      <c r="G62" s="156"/>
      <c r="H62" s="157"/>
      <c r="I62" s="158"/>
      <c r="J62" s="157"/>
      <c r="K62" s="159">
        <f t="shared" si="4"/>
        <v>0</v>
      </c>
    </row>
    <row r="63" spans="1:11" ht="18" customHeight="1">
      <c r="A63" s="151"/>
      <c r="I63" s="173"/>
    </row>
    <row r="64" spans="1:11" ht="18" customHeight="1">
      <c r="A64" s="151" t="s">
        <v>144</v>
      </c>
      <c r="B64" s="150" t="s">
        <v>145</v>
      </c>
      <c r="E64" s="150" t="s">
        <v>7</v>
      </c>
      <c r="F64" s="162">
        <f t="shared" ref="F64:K64" si="5">SUM(F53:F62)</f>
        <v>0</v>
      </c>
      <c r="G64" s="162">
        <f t="shared" si="5"/>
        <v>0</v>
      </c>
      <c r="H64" s="159">
        <f t="shared" si="5"/>
        <v>9564477</v>
      </c>
      <c r="I64" s="159">
        <f t="shared" si="5"/>
        <v>2983763</v>
      </c>
      <c r="J64" s="159">
        <f t="shared" si="5"/>
        <v>0</v>
      </c>
      <c r="K64" s="159">
        <f t="shared" si="5"/>
        <v>12548240</v>
      </c>
    </row>
    <row r="65" spans="1:11" ht="18" customHeight="1">
      <c r="F65" s="174"/>
      <c r="G65" s="174"/>
      <c r="H65" s="174"/>
      <c r="I65" s="174"/>
      <c r="J65" s="174"/>
      <c r="K65" s="174"/>
    </row>
    <row r="66" spans="1:11" ht="42.75" customHeight="1">
      <c r="F66" s="175" t="s">
        <v>9</v>
      </c>
      <c r="G66" s="175" t="s">
        <v>37</v>
      </c>
      <c r="H66" s="175" t="s">
        <v>29</v>
      </c>
      <c r="I66" s="175" t="s">
        <v>30</v>
      </c>
      <c r="J66" s="175" t="s">
        <v>33</v>
      </c>
      <c r="K66" s="175" t="s">
        <v>34</v>
      </c>
    </row>
    <row r="67" spans="1:11" ht="18" customHeight="1">
      <c r="A67" s="154" t="s">
        <v>102</v>
      </c>
      <c r="B67" s="150" t="s">
        <v>12</v>
      </c>
      <c r="F67" s="176"/>
      <c r="G67" s="176"/>
      <c r="H67" s="176"/>
      <c r="I67" s="177"/>
      <c r="J67" s="176"/>
      <c r="K67" s="178"/>
    </row>
    <row r="68" spans="1:11" ht="18" customHeight="1">
      <c r="A68" s="151" t="s">
        <v>103</v>
      </c>
      <c r="B68" s="147" t="s">
        <v>52</v>
      </c>
      <c r="F68" s="179">
        <v>8777</v>
      </c>
      <c r="G68" s="179">
        <v>1534</v>
      </c>
      <c r="H68" s="179">
        <v>414570</v>
      </c>
      <c r="I68" s="158">
        <v>165828</v>
      </c>
      <c r="J68" s="179"/>
      <c r="K68" s="159">
        <f>(H68+I68)-J68</f>
        <v>580398</v>
      </c>
    </row>
    <row r="69" spans="1:11" ht="18" customHeight="1">
      <c r="A69" s="151" t="s">
        <v>104</v>
      </c>
      <c r="B69" s="155" t="s">
        <v>53</v>
      </c>
      <c r="F69" s="179"/>
      <c r="G69" s="179"/>
      <c r="H69" s="179"/>
      <c r="I69" s="158">
        <v>0</v>
      </c>
      <c r="J69" s="179"/>
      <c r="K69" s="159">
        <f>(H69+I69)-J69</f>
        <v>0</v>
      </c>
    </row>
    <row r="70" spans="1:11" ht="18" customHeight="1">
      <c r="A70" s="151" t="s">
        <v>178</v>
      </c>
      <c r="B70" s="396"/>
      <c r="C70" s="397"/>
      <c r="D70" s="392"/>
      <c r="E70" s="150"/>
      <c r="F70" s="180"/>
      <c r="G70" s="180"/>
      <c r="H70" s="181"/>
      <c r="I70" s="158">
        <v>0</v>
      </c>
      <c r="J70" s="181"/>
      <c r="K70" s="159">
        <f>(H70+I70)-J70</f>
        <v>0</v>
      </c>
    </row>
    <row r="71" spans="1:11" ht="18" customHeight="1">
      <c r="A71" s="151" t="s">
        <v>179</v>
      </c>
      <c r="B71" s="396"/>
      <c r="C71" s="397"/>
      <c r="D71" s="392"/>
      <c r="E71" s="150"/>
      <c r="F71" s="180"/>
      <c r="G71" s="180"/>
      <c r="H71" s="181"/>
      <c r="I71" s="158">
        <v>0</v>
      </c>
      <c r="J71" s="181"/>
      <c r="K71" s="159">
        <f>(H71+I71)-J71</f>
        <v>0</v>
      </c>
    </row>
    <row r="72" spans="1:11" ht="18" customHeight="1">
      <c r="A72" s="151" t="s">
        <v>180</v>
      </c>
      <c r="B72" s="390"/>
      <c r="C72" s="391"/>
      <c r="D72" s="182"/>
      <c r="E72" s="150"/>
      <c r="F72" s="156"/>
      <c r="G72" s="156"/>
      <c r="H72" s="157"/>
      <c r="I72" s="158">
        <v>0</v>
      </c>
      <c r="J72" s="157"/>
      <c r="K72" s="159">
        <f>(H72+I72)-J72</f>
        <v>0</v>
      </c>
    </row>
    <row r="73" spans="1:11" ht="18" customHeight="1">
      <c r="A73" s="151"/>
      <c r="B73" s="155"/>
      <c r="E73" s="150"/>
      <c r="F73" s="183"/>
      <c r="G73" s="183"/>
      <c r="H73" s="184"/>
      <c r="I73" s="177"/>
      <c r="J73" s="184"/>
      <c r="K73" s="178"/>
    </row>
    <row r="74" spans="1:11" ht="18" customHeight="1">
      <c r="A74" s="154" t="s">
        <v>146</v>
      </c>
      <c r="B74" s="150" t="s">
        <v>147</v>
      </c>
      <c r="E74" s="150" t="s">
        <v>7</v>
      </c>
      <c r="F74" s="185">
        <f t="shared" ref="F74:K74" si="6">SUM(F68:F72)</f>
        <v>8777</v>
      </c>
      <c r="G74" s="185">
        <f t="shared" si="6"/>
        <v>1534</v>
      </c>
      <c r="H74" s="185">
        <f t="shared" si="6"/>
        <v>414570</v>
      </c>
      <c r="I74" s="186">
        <f t="shared" si="6"/>
        <v>165828</v>
      </c>
      <c r="J74" s="185">
        <f t="shared" si="6"/>
        <v>0</v>
      </c>
      <c r="K74" s="187">
        <f t="shared" si="6"/>
        <v>580398</v>
      </c>
    </row>
    <row r="75" spans="1:11" ht="42.75" customHeight="1">
      <c r="F75" s="153" t="s">
        <v>9</v>
      </c>
      <c r="G75" s="153" t="s">
        <v>37</v>
      </c>
      <c r="H75" s="153" t="s">
        <v>29</v>
      </c>
      <c r="I75" s="153" t="s">
        <v>30</v>
      </c>
      <c r="J75" s="153" t="s">
        <v>33</v>
      </c>
      <c r="K75" s="153" t="s">
        <v>34</v>
      </c>
    </row>
    <row r="76" spans="1:11" ht="18" customHeight="1">
      <c r="A76" s="154" t="s">
        <v>105</v>
      </c>
      <c r="B76" s="150" t="s">
        <v>106</v>
      </c>
    </row>
    <row r="77" spans="1:11" ht="18" customHeight="1">
      <c r="A77" s="151" t="s">
        <v>107</v>
      </c>
      <c r="B77" s="155" t="s">
        <v>54</v>
      </c>
      <c r="F77" s="156"/>
      <c r="G77" s="156">
        <v>32</v>
      </c>
      <c r="H77" s="157">
        <v>52923</v>
      </c>
      <c r="I77" s="158">
        <v>0</v>
      </c>
      <c r="J77" s="157"/>
      <c r="K77" s="159">
        <f>(H77+I77)-J77</f>
        <v>52923</v>
      </c>
    </row>
    <row r="78" spans="1:11" ht="18" customHeight="1">
      <c r="A78" s="151" t="s">
        <v>108</v>
      </c>
      <c r="B78" s="155" t="s">
        <v>55</v>
      </c>
      <c r="F78" s="156"/>
      <c r="G78" s="156"/>
      <c r="H78" s="157"/>
      <c r="I78" s="158"/>
      <c r="J78" s="157"/>
      <c r="K78" s="159">
        <f>(H78+I78)-J78</f>
        <v>0</v>
      </c>
    </row>
    <row r="79" spans="1:11" ht="18" customHeight="1">
      <c r="A79" s="151" t="s">
        <v>109</v>
      </c>
      <c r="B79" s="155" t="s">
        <v>13</v>
      </c>
      <c r="F79" s="156">
        <v>131.5</v>
      </c>
      <c r="G79" s="156">
        <v>518</v>
      </c>
      <c r="H79" s="157">
        <v>34460</v>
      </c>
      <c r="I79" s="158">
        <v>9359</v>
      </c>
      <c r="J79" s="157"/>
      <c r="K79" s="159">
        <f>(H79+I79)-J79</f>
        <v>43819</v>
      </c>
    </row>
    <row r="80" spans="1:11" ht="18" customHeight="1">
      <c r="A80" s="151" t="s">
        <v>110</v>
      </c>
      <c r="B80" s="155" t="s">
        <v>56</v>
      </c>
      <c r="F80" s="156"/>
      <c r="G80" s="156"/>
      <c r="H80" s="157"/>
      <c r="I80" s="158"/>
      <c r="J80" s="157"/>
      <c r="K80" s="159">
        <f>(H80+I80)-J80</f>
        <v>0</v>
      </c>
    </row>
    <row r="81" spans="1:11" ht="18" customHeight="1">
      <c r="A81" s="151"/>
      <c r="K81" s="188"/>
    </row>
    <row r="82" spans="1:11" ht="18" customHeight="1">
      <c r="A82" s="151" t="s">
        <v>148</v>
      </c>
      <c r="B82" s="150" t="s">
        <v>149</v>
      </c>
      <c r="E82" s="150" t="s">
        <v>7</v>
      </c>
      <c r="F82" s="185">
        <f t="shared" ref="F82:K82" si="7">SUM(F77:F80)</f>
        <v>131.5</v>
      </c>
      <c r="G82" s="185">
        <f t="shared" si="7"/>
        <v>550</v>
      </c>
      <c r="H82" s="187">
        <f t="shared" si="7"/>
        <v>87383</v>
      </c>
      <c r="I82" s="187">
        <f t="shared" si="7"/>
        <v>9359</v>
      </c>
      <c r="J82" s="187">
        <f t="shared" si="7"/>
        <v>0</v>
      </c>
      <c r="K82" s="187">
        <f t="shared" si="7"/>
        <v>96742</v>
      </c>
    </row>
    <row r="83" spans="1:11" ht="18" customHeight="1" thickBot="1">
      <c r="A83" s="151"/>
      <c r="F83" s="172"/>
      <c r="G83" s="172"/>
      <c r="H83" s="172"/>
      <c r="I83" s="172"/>
      <c r="J83" s="172"/>
      <c r="K83" s="172"/>
    </row>
    <row r="84" spans="1:11" ht="42.75" customHeight="1">
      <c r="F84" s="153" t="s">
        <v>9</v>
      </c>
      <c r="G84" s="153" t="s">
        <v>37</v>
      </c>
      <c r="H84" s="153" t="s">
        <v>29</v>
      </c>
      <c r="I84" s="153" t="s">
        <v>30</v>
      </c>
      <c r="J84" s="153" t="s">
        <v>33</v>
      </c>
      <c r="K84" s="153" t="s">
        <v>34</v>
      </c>
    </row>
    <row r="85" spans="1:11" ht="18" customHeight="1">
      <c r="A85" s="154" t="s">
        <v>111</v>
      </c>
      <c r="B85" s="150" t="s">
        <v>57</v>
      </c>
    </row>
    <row r="86" spans="1:11" ht="18" customHeight="1">
      <c r="A86" s="151" t="s">
        <v>112</v>
      </c>
      <c r="B86" s="155" t="s">
        <v>113</v>
      </c>
      <c r="F86" s="156"/>
      <c r="G86" s="156"/>
      <c r="H86" s="157"/>
      <c r="I86" s="158">
        <f t="shared" ref="I86:I96" si="8">H86*F$114</f>
        <v>0</v>
      </c>
      <c r="J86" s="157"/>
      <c r="K86" s="159">
        <f t="shared" ref="K86:K96" si="9">(H86+I86)-J86</f>
        <v>0</v>
      </c>
    </row>
    <row r="87" spans="1:11" ht="18" customHeight="1">
      <c r="A87" s="151" t="s">
        <v>114</v>
      </c>
      <c r="B87" s="155" t="s">
        <v>14</v>
      </c>
      <c r="F87" s="156"/>
      <c r="G87" s="156"/>
      <c r="H87" s="157"/>
      <c r="I87" s="158">
        <f t="shared" si="8"/>
        <v>0</v>
      </c>
      <c r="J87" s="157"/>
      <c r="K87" s="159">
        <f t="shared" si="9"/>
        <v>0</v>
      </c>
    </row>
    <row r="88" spans="1:11" ht="18" customHeight="1">
      <c r="A88" s="151" t="s">
        <v>115</v>
      </c>
      <c r="B88" s="155" t="s">
        <v>116</v>
      </c>
      <c r="F88" s="156">
        <v>28</v>
      </c>
      <c r="G88" s="156">
        <v>250</v>
      </c>
      <c r="H88" s="157">
        <v>1449</v>
      </c>
      <c r="I88" s="158">
        <v>0</v>
      </c>
      <c r="J88" s="157"/>
      <c r="K88" s="159">
        <f t="shared" si="9"/>
        <v>1449</v>
      </c>
    </row>
    <row r="89" spans="1:11" ht="18" customHeight="1">
      <c r="A89" s="151" t="s">
        <v>117</v>
      </c>
      <c r="B89" s="155" t="s">
        <v>58</v>
      </c>
      <c r="F89" s="156"/>
      <c r="G89" s="156"/>
      <c r="H89" s="157"/>
      <c r="I89" s="158">
        <v>0</v>
      </c>
      <c r="J89" s="157"/>
      <c r="K89" s="159">
        <f t="shared" si="9"/>
        <v>0</v>
      </c>
    </row>
    <row r="90" spans="1:11" ht="18" customHeight="1">
      <c r="A90" s="151" t="s">
        <v>118</v>
      </c>
      <c r="B90" s="904" t="s">
        <v>59</v>
      </c>
      <c r="C90" s="907"/>
      <c r="F90" s="156"/>
      <c r="G90" s="156"/>
      <c r="H90" s="157"/>
      <c r="I90" s="158">
        <f t="shared" si="8"/>
        <v>0</v>
      </c>
      <c r="J90" s="157"/>
      <c r="K90" s="159">
        <f t="shared" si="9"/>
        <v>0</v>
      </c>
    </row>
    <row r="91" spans="1:11" ht="18" customHeight="1">
      <c r="A91" s="151" t="s">
        <v>119</v>
      </c>
      <c r="B91" s="155" t="s">
        <v>60</v>
      </c>
      <c r="F91" s="156">
        <v>62</v>
      </c>
      <c r="G91" s="156"/>
      <c r="H91" s="157">
        <v>2154</v>
      </c>
      <c r="I91" s="158">
        <v>0</v>
      </c>
      <c r="J91" s="157"/>
      <c r="K91" s="159">
        <f t="shared" si="9"/>
        <v>2154</v>
      </c>
    </row>
    <row r="92" spans="1:11" ht="18" customHeight="1">
      <c r="A92" s="151" t="s">
        <v>120</v>
      </c>
      <c r="B92" s="155" t="s">
        <v>121</v>
      </c>
      <c r="F92" s="189"/>
      <c r="G92" s="189"/>
      <c r="H92" s="190"/>
      <c r="I92" s="158">
        <v>0</v>
      </c>
      <c r="J92" s="190"/>
      <c r="K92" s="159">
        <f t="shared" si="9"/>
        <v>0</v>
      </c>
    </row>
    <row r="93" spans="1:11" ht="18" customHeight="1">
      <c r="A93" s="151" t="s">
        <v>122</v>
      </c>
      <c r="B93" s="155" t="s">
        <v>123</v>
      </c>
      <c r="F93" s="156">
        <v>10</v>
      </c>
      <c r="G93" s="156">
        <v>180</v>
      </c>
      <c r="H93" s="157">
        <v>425</v>
      </c>
      <c r="I93" s="158">
        <v>0</v>
      </c>
      <c r="J93" s="157"/>
      <c r="K93" s="159">
        <f t="shared" si="9"/>
        <v>425</v>
      </c>
    </row>
    <row r="94" spans="1:11" ht="18" customHeight="1">
      <c r="A94" s="151" t="s">
        <v>124</v>
      </c>
      <c r="B94" s="901"/>
      <c r="C94" s="902"/>
      <c r="D94" s="903"/>
      <c r="F94" s="156"/>
      <c r="G94" s="156"/>
      <c r="H94" s="157"/>
      <c r="I94" s="158">
        <f t="shared" si="8"/>
        <v>0</v>
      </c>
      <c r="J94" s="157"/>
      <c r="K94" s="159">
        <f t="shared" si="9"/>
        <v>0</v>
      </c>
    </row>
    <row r="95" spans="1:11" ht="18" customHeight="1">
      <c r="A95" s="151" t="s">
        <v>125</v>
      </c>
      <c r="B95" s="901"/>
      <c r="C95" s="902"/>
      <c r="D95" s="903"/>
      <c r="F95" s="156"/>
      <c r="G95" s="156"/>
      <c r="H95" s="157"/>
      <c r="I95" s="158">
        <f t="shared" si="8"/>
        <v>0</v>
      </c>
      <c r="J95" s="157"/>
      <c r="K95" s="159">
        <f t="shared" si="9"/>
        <v>0</v>
      </c>
    </row>
    <row r="96" spans="1:11" ht="18" customHeight="1">
      <c r="A96" s="151" t="s">
        <v>126</v>
      </c>
      <c r="B96" s="901"/>
      <c r="C96" s="902"/>
      <c r="D96" s="903"/>
      <c r="F96" s="156"/>
      <c r="G96" s="156"/>
      <c r="H96" s="157"/>
      <c r="I96" s="158">
        <f t="shared" si="8"/>
        <v>0</v>
      </c>
      <c r="J96" s="157"/>
      <c r="K96" s="159">
        <f t="shared" si="9"/>
        <v>0</v>
      </c>
    </row>
    <row r="97" spans="1:11" ht="18" customHeight="1">
      <c r="A97" s="151"/>
      <c r="B97" s="155"/>
    </row>
    <row r="98" spans="1:11" ht="18" customHeight="1">
      <c r="A98" s="154" t="s">
        <v>150</v>
      </c>
      <c r="B98" s="150" t="s">
        <v>151</v>
      </c>
      <c r="E98" s="150" t="s">
        <v>7</v>
      </c>
      <c r="F98" s="162">
        <f t="shared" ref="F98:K98" si="10">SUM(F86:F96)</f>
        <v>100</v>
      </c>
      <c r="G98" s="162">
        <f t="shared" si="10"/>
        <v>430</v>
      </c>
      <c r="H98" s="162">
        <f t="shared" si="10"/>
        <v>4028</v>
      </c>
      <c r="I98" s="162">
        <f t="shared" si="10"/>
        <v>0</v>
      </c>
      <c r="J98" s="162">
        <f t="shared" si="10"/>
        <v>0</v>
      </c>
      <c r="K98" s="162">
        <f t="shared" si="10"/>
        <v>4028</v>
      </c>
    </row>
    <row r="99" spans="1:11" ht="18" customHeight="1" thickBot="1">
      <c r="B99" s="150"/>
      <c r="F99" s="172"/>
      <c r="G99" s="172"/>
      <c r="H99" s="172"/>
      <c r="I99" s="172"/>
      <c r="J99" s="172"/>
      <c r="K99" s="172"/>
    </row>
    <row r="100" spans="1:11" ht="42.75" customHeight="1">
      <c r="F100" s="153" t="s">
        <v>9</v>
      </c>
      <c r="G100" s="153" t="s">
        <v>37</v>
      </c>
      <c r="H100" s="153" t="s">
        <v>29</v>
      </c>
      <c r="I100" s="153" t="s">
        <v>30</v>
      </c>
      <c r="J100" s="153" t="s">
        <v>33</v>
      </c>
      <c r="K100" s="153" t="s">
        <v>34</v>
      </c>
    </row>
    <row r="101" spans="1:11" ht="18" customHeight="1">
      <c r="A101" s="154" t="s">
        <v>130</v>
      </c>
      <c r="B101" s="150" t="s">
        <v>63</v>
      </c>
    </row>
    <row r="102" spans="1:11" ht="18" customHeight="1">
      <c r="A102" s="151" t="s">
        <v>131</v>
      </c>
      <c r="B102" s="155" t="s">
        <v>152</v>
      </c>
      <c r="F102" s="156">
        <v>2876</v>
      </c>
      <c r="G102" s="156"/>
      <c r="H102" s="157">
        <v>118455</v>
      </c>
      <c r="I102" s="158">
        <f>H102*F$114</f>
        <v>47382</v>
      </c>
      <c r="J102" s="157"/>
      <c r="K102" s="159">
        <f>(H102+I102)-J102</f>
        <v>165837</v>
      </c>
    </row>
    <row r="103" spans="1:11" ht="18" customHeight="1">
      <c r="A103" s="151" t="s">
        <v>132</v>
      </c>
      <c r="B103" s="904" t="s">
        <v>62</v>
      </c>
      <c r="C103" s="904"/>
      <c r="F103" s="156"/>
      <c r="G103" s="156"/>
      <c r="H103" s="157"/>
      <c r="I103" s="158">
        <f>H103*F$114</f>
        <v>0</v>
      </c>
      <c r="J103" s="157"/>
      <c r="K103" s="159">
        <f>(H103+I103)-J103</f>
        <v>0</v>
      </c>
    </row>
    <row r="104" spans="1:11" ht="18" customHeight="1">
      <c r="A104" s="151" t="s">
        <v>128</v>
      </c>
      <c r="B104" s="1092" t="s">
        <v>730</v>
      </c>
      <c r="C104" s="902"/>
      <c r="D104" s="903"/>
      <c r="F104" s="156"/>
      <c r="G104" s="156"/>
      <c r="H104" s="157">
        <v>1279</v>
      </c>
      <c r="I104" s="158">
        <v>0</v>
      </c>
      <c r="J104" s="157"/>
      <c r="K104" s="159">
        <f>(H104+I104)-J104</f>
        <v>1279</v>
      </c>
    </row>
    <row r="105" spans="1:11" ht="18" customHeight="1">
      <c r="A105" s="151" t="s">
        <v>127</v>
      </c>
      <c r="B105" s="901"/>
      <c r="C105" s="902"/>
      <c r="D105" s="903"/>
      <c r="F105" s="156"/>
      <c r="G105" s="156"/>
      <c r="H105" s="157"/>
      <c r="I105" s="158">
        <f>H105*F$114</f>
        <v>0</v>
      </c>
      <c r="J105" s="157"/>
      <c r="K105" s="159">
        <f>(H105+I105)-J105</f>
        <v>0</v>
      </c>
    </row>
    <row r="106" spans="1:11" ht="18" customHeight="1">
      <c r="A106" s="151" t="s">
        <v>129</v>
      </c>
      <c r="B106" s="901"/>
      <c r="C106" s="902"/>
      <c r="D106" s="903"/>
      <c r="F106" s="156"/>
      <c r="G106" s="156"/>
      <c r="H106" s="157"/>
      <c r="I106" s="158">
        <f>H106*F$114</f>
        <v>0</v>
      </c>
      <c r="J106" s="157"/>
      <c r="K106" s="159">
        <f>(H106+I106)-J106</f>
        <v>0</v>
      </c>
    </row>
    <row r="107" spans="1:11" ht="18" customHeight="1">
      <c r="B107" s="150"/>
    </row>
    <row r="108" spans="1:11" s="167" customFormat="1" ht="18" customHeight="1">
      <c r="A108" s="154" t="s">
        <v>153</v>
      </c>
      <c r="B108" s="191" t="s">
        <v>154</v>
      </c>
      <c r="C108" s="147"/>
      <c r="D108" s="147"/>
      <c r="E108" s="150" t="s">
        <v>7</v>
      </c>
      <c r="F108" s="162">
        <f t="shared" ref="F108:K108" si="11">SUM(F102:F106)</f>
        <v>2876</v>
      </c>
      <c r="G108" s="162">
        <f t="shared" si="11"/>
        <v>0</v>
      </c>
      <c r="H108" s="159">
        <f t="shared" si="11"/>
        <v>119734</v>
      </c>
      <c r="I108" s="159">
        <f t="shared" si="11"/>
        <v>47382</v>
      </c>
      <c r="J108" s="159">
        <f t="shared" si="11"/>
        <v>0</v>
      </c>
      <c r="K108" s="159">
        <f t="shared" si="11"/>
        <v>167116</v>
      </c>
    </row>
    <row r="109" spans="1:11" s="167" customFormat="1" ht="18" customHeight="1" thickBot="1">
      <c r="A109" s="192"/>
      <c r="B109" s="193"/>
      <c r="C109" s="194"/>
      <c r="D109" s="194"/>
      <c r="E109" s="194"/>
      <c r="F109" s="172"/>
      <c r="G109" s="172"/>
      <c r="H109" s="172"/>
      <c r="I109" s="172"/>
      <c r="J109" s="172"/>
      <c r="K109" s="172"/>
    </row>
    <row r="110" spans="1:11" s="167" customFormat="1" ht="18" customHeight="1">
      <c r="A110" s="154" t="s">
        <v>156</v>
      </c>
      <c r="B110" s="150" t="s">
        <v>39</v>
      </c>
      <c r="C110" s="147"/>
      <c r="D110" s="147"/>
      <c r="E110" s="147"/>
      <c r="F110" s="147"/>
      <c r="G110" s="147"/>
      <c r="H110" s="147"/>
      <c r="I110" s="147"/>
      <c r="J110" s="147"/>
      <c r="K110" s="147"/>
    </row>
    <row r="111" spans="1:11" ht="18" customHeight="1">
      <c r="A111" s="154" t="s">
        <v>155</v>
      </c>
      <c r="B111" s="150" t="s">
        <v>164</v>
      </c>
      <c r="E111" s="150" t="s">
        <v>7</v>
      </c>
      <c r="F111" s="157">
        <v>8041930</v>
      </c>
    </row>
    <row r="112" spans="1:11" ht="18" customHeight="1">
      <c r="B112" s="150"/>
      <c r="E112" s="150"/>
      <c r="F112" s="195"/>
    </row>
    <row r="113" spans="1:6" ht="18" customHeight="1">
      <c r="A113" s="154"/>
      <c r="B113" s="150" t="s">
        <v>15</v>
      </c>
    </row>
    <row r="114" spans="1:6" ht="18" customHeight="1">
      <c r="A114" s="151" t="s">
        <v>171</v>
      </c>
      <c r="B114" s="155" t="s">
        <v>35</v>
      </c>
      <c r="F114" s="196">
        <v>0.4</v>
      </c>
    </row>
    <row r="115" spans="1:6" ht="18" customHeight="1">
      <c r="A115" s="151"/>
      <c r="B115" s="150"/>
    </row>
    <row r="116" spans="1:6" ht="18" customHeight="1">
      <c r="A116" s="151" t="s">
        <v>170</v>
      </c>
      <c r="B116" s="150" t="s">
        <v>16</v>
      </c>
    </row>
    <row r="117" spans="1:6" ht="18" customHeight="1">
      <c r="A117" s="151" t="s">
        <v>172</v>
      </c>
      <c r="B117" s="155" t="s">
        <v>17</v>
      </c>
      <c r="F117" s="157">
        <v>355431436</v>
      </c>
    </row>
    <row r="118" spans="1:6" ht="18" customHeight="1">
      <c r="A118" s="151" t="s">
        <v>173</v>
      </c>
      <c r="B118" s="147" t="s">
        <v>18</v>
      </c>
      <c r="F118" s="157">
        <v>2949000</v>
      </c>
    </row>
    <row r="119" spans="1:6" ht="18" customHeight="1">
      <c r="A119" s="151" t="s">
        <v>174</v>
      </c>
      <c r="B119" s="150" t="s">
        <v>19</v>
      </c>
      <c r="F119" s="187">
        <f>SUM(F117:F118)</f>
        <v>358380436</v>
      </c>
    </row>
    <row r="120" spans="1:6" ht="18" customHeight="1">
      <c r="A120" s="151"/>
      <c r="B120" s="150"/>
    </row>
    <row r="121" spans="1:6" ht="18" customHeight="1">
      <c r="A121" s="151" t="s">
        <v>167</v>
      </c>
      <c r="B121" s="150" t="s">
        <v>36</v>
      </c>
      <c r="F121" s="157">
        <v>328186000</v>
      </c>
    </row>
    <row r="122" spans="1:6" ht="18" customHeight="1">
      <c r="A122" s="151"/>
    </row>
    <row r="123" spans="1:6" ht="18" customHeight="1">
      <c r="A123" s="151" t="s">
        <v>175</v>
      </c>
      <c r="B123" s="150" t="s">
        <v>20</v>
      </c>
      <c r="F123" s="157">
        <v>30194436</v>
      </c>
    </row>
    <row r="124" spans="1:6" ht="18" customHeight="1">
      <c r="A124" s="151"/>
    </row>
    <row r="125" spans="1:6" ht="18" customHeight="1">
      <c r="A125" s="151" t="s">
        <v>176</v>
      </c>
      <c r="B125" s="150" t="s">
        <v>21</v>
      </c>
      <c r="F125" s="157">
        <v>-3607000</v>
      </c>
    </row>
    <row r="126" spans="1:6" ht="18" customHeight="1">
      <c r="A126" s="151"/>
    </row>
    <row r="127" spans="1:6" ht="18" customHeight="1">
      <c r="A127" s="151" t="s">
        <v>177</v>
      </c>
      <c r="B127" s="150" t="s">
        <v>22</v>
      </c>
      <c r="F127" s="157">
        <v>26587436</v>
      </c>
    </row>
    <row r="128" spans="1:6" ht="18" customHeight="1">
      <c r="A128" s="151"/>
    </row>
    <row r="129" spans="1:11" ht="42.75" customHeight="1">
      <c r="F129" s="153" t="s">
        <v>9</v>
      </c>
      <c r="G129" s="153" t="s">
        <v>37</v>
      </c>
      <c r="H129" s="153" t="s">
        <v>29</v>
      </c>
      <c r="I129" s="153" t="s">
        <v>30</v>
      </c>
      <c r="J129" s="153" t="s">
        <v>33</v>
      </c>
      <c r="K129" s="153" t="s">
        <v>34</v>
      </c>
    </row>
    <row r="130" spans="1:11" ht="18" customHeight="1">
      <c r="A130" s="154" t="s">
        <v>157</v>
      </c>
      <c r="B130" s="150" t="s">
        <v>23</v>
      </c>
    </row>
    <row r="131" spans="1:11" ht="18" customHeight="1">
      <c r="A131" s="151" t="s">
        <v>158</v>
      </c>
      <c r="B131" s="147" t="s">
        <v>24</v>
      </c>
      <c r="F131" s="156"/>
      <c r="G131" s="156"/>
      <c r="H131" s="157"/>
      <c r="I131" s="158">
        <v>0</v>
      </c>
      <c r="J131" s="157"/>
      <c r="K131" s="159">
        <f>(H131+I131)-J131</f>
        <v>0</v>
      </c>
    </row>
    <row r="132" spans="1:11" ht="18" customHeight="1">
      <c r="A132" s="151" t="s">
        <v>159</v>
      </c>
      <c r="B132" s="147" t="s">
        <v>25</v>
      </c>
      <c r="F132" s="156"/>
      <c r="G132" s="156"/>
      <c r="H132" s="157">
        <v>4000</v>
      </c>
      <c r="I132" s="158">
        <v>0</v>
      </c>
      <c r="J132" s="157"/>
      <c r="K132" s="159">
        <f>(H132+I132)-J132</f>
        <v>4000</v>
      </c>
    </row>
    <row r="133" spans="1:11" ht="18" customHeight="1">
      <c r="A133" s="151" t="s">
        <v>160</v>
      </c>
      <c r="B133" s="898"/>
      <c r="C133" s="899"/>
      <c r="D133" s="900"/>
      <c r="F133" s="156"/>
      <c r="G133" s="156"/>
      <c r="H133" s="157"/>
      <c r="I133" s="158">
        <v>0</v>
      </c>
      <c r="J133" s="157"/>
      <c r="K133" s="159">
        <f>(H133+I133)-J133</f>
        <v>0</v>
      </c>
    </row>
    <row r="134" spans="1:11" ht="18" customHeight="1">
      <c r="A134" s="151" t="s">
        <v>161</v>
      </c>
      <c r="B134" s="898"/>
      <c r="C134" s="899"/>
      <c r="D134" s="900"/>
      <c r="F134" s="156"/>
      <c r="G134" s="156"/>
      <c r="H134" s="157"/>
      <c r="I134" s="158">
        <v>0</v>
      </c>
      <c r="J134" s="157"/>
      <c r="K134" s="159">
        <f>(H134+I134)-J134</f>
        <v>0</v>
      </c>
    </row>
    <row r="135" spans="1:11" ht="18" customHeight="1">
      <c r="A135" s="151" t="s">
        <v>162</v>
      </c>
      <c r="B135" s="898"/>
      <c r="C135" s="899"/>
      <c r="D135" s="900"/>
      <c r="F135" s="156"/>
      <c r="G135" s="156"/>
      <c r="H135" s="157"/>
      <c r="I135" s="158">
        <v>0</v>
      </c>
      <c r="J135" s="157"/>
      <c r="K135" s="159">
        <f>(H135+I135)-J135</f>
        <v>0</v>
      </c>
    </row>
    <row r="136" spans="1:11" ht="18" customHeight="1">
      <c r="A136" s="154"/>
    </row>
    <row r="137" spans="1:11" ht="18" customHeight="1">
      <c r="A137" s="154" t="s">
        <v>163</v>
      </c>
      <c r="B137" s="150" t="s">
        <v>27</v>
      </c>
      <c r="F137" s="162">
        <f t="shared" ref="F137:K137" si="12">SUM(F131:F135)</f>
        <v>0</v>
      </c>
      <c r="G137" s="162">
        <f t="shared" si="12"/>
        <v>0</v>
      </c>
      <c r="H137" s="159">
        <f t="shared" si="12"/>
        <v>4000</v>
      </c>
      <c r="I137" s="159">
        <f t="shared" si="12"/>
        <v>0</v>
      </c>
      <c r="J137" s="159">
        <f t="shared" si="12"/>
        <v>0</v>
      </c>
      <c r="K137" s="159">
        <f t="shared" si="12"/>
        <v>4000</v>
      </c>
    </row>
    <row r="138" spans="1:11" ht="18" customHeight="1">
      <c r="A138" s="147"/>
    </row>
    <row r="139" spans="1:11" ht="42.75" customHeight="1">
      <c r="F139" s="153" t="s">
        <v>9</v>
      </c>
      <c r="G139" s="153" t="s">
        <v>37</v>
      </c>
      <c r="H139" s="153" t="s">
        <v>29</v>
      </c>
      <c r="I139" s="153" t="s">
        <v>30</v>
      </c>
      <c r="J139" s="153" t="s">
        <v>33</v>
      </c>
      <c r="K139" s="153" t="s">
        <v>34</v>
      </c>
    </row>
    <row r="140" spans="1:11" ht="18" customHeight="1">
      <c r="A140" s="154" t="s">
        <v>166</v>
      </c>
      <c r="B140" s="150" t="s">
        <v>26</v>
      </c>
    </row>
    <row r="141" spans="1:11" ht="18" customHeight="1">
      <c r="A141" s="151" t="s">
        <v>137</v>
      </c>
      <c r="B141" s="150" t="s">
        <v>64</v>
      </c>
      <c r="F141" s="197">
        <f t="shared" ref="F141:K141" si="13">F36</f>
        <v>1410.1</v>
      </c>
      <c r="G141" s="197">
        <f t="shared" si="13"/>
        <v>9399</v>
      </c>
      <c r="H141" s="197">
        <f t="shared" si="13"/>
        <v>1054371</v>
      </c>
      <c r="I141" s="197">
        <f t="shared" si="13"/>
        <v>343349</v>
      </c>
      <c r="J141" s="197">
        <f t="shared" si="13"/>
        <v>23526</v>
      </c>
      <c r="K141" s="197">
        <f t="shared" si="13"/>
        <v>1374194</v>
      </c>
    </row>
    <row r="142" spans="1:11" ht="18" customHeight="1">
      <c r="A142" s="151" t="s">
        <v>142</v>
      </c>
      <c r="B142" s="150" t="s">
        <v>65</v>
      </c>
      <c r="F142" s="197">
        <f t="shared" ref="F142:K142" si="14">F49</f>
        <v>13355</v>
      </c>
      <c r="G142" s="197">
        <f t="shared" si="14"/>
        <v>126</v>
      </c>
      <c r="H142" s="197">
        <f t="shared" si="14"/>
        <v>1670387</v>
      </c>
      <c r="I142" s="197">
        <f t="shared" si="14"/>
        <v>668097</v>
      </c>
      <c r="J142" s="197">
        <f t="shared" si="14"/>
        <v>0</v>
      </c>
      <c r="K142" s="197">
        <f t="shared" si="14"/>
        <v>2338484</v>
      </c>
    </row>
    <row r="143" spans="1:11" ht="18" customHeight="1">
      <c r="A143" s="151" t="s">
        <v>144</v>
      </c>
      <c r="B143" s="150" t="s">
        <v>66</v>
      </c>
      <c r="F143" s="197">
        <f t="shared" ref="F143:K143" si="15">F64</f>
        <v>0</v>
      </c>
      <c r="G143" s="197">
        <f t="shared" si="15"/>
        <v>0</v>
      </c>
      <c r="H143" s="197">
        <f t="shared" si="15"/>
        <v>9564477</v>
      </c>
      <c r="I143" s="197">
        <f t="shared" si="15"/>
        <v>2983763</v>
      </c>
      <c r="J143" s="197">
        <f t="shared" si="15"/>
        <v>0</v>
      </c>
      <c r="K143" s="197">
        <f t="shared" si="15"/>
        <v>12548240</v>
      </c>
    </row>
    <row r="144" spans="1:11" ht="18" customHeight="1">
      <c r="A144" s="151" t="s">
        <v>146</v>
      </c>
      <c r="B144" s="150" t="s">
        <v>67</v>
      </c>
      <c r="F144" s="197">
        <f t="shared" ref="F144:K144" si="16">F74</f>
        <v>8777</v>
      </c>
      <c r="G144" s="197">
        <f t="shared" si="16"/>
        <v>1534</v>
      </c>
      <c r="H144" s="197">
        <f t="shared" si="16"/>
        <v>414570</v>
      </c>
      <c r="I144" s="197">
        <f t="shared" si="16"/>
        <v>165828</v>
      </c>
      <c r="J144" s="197">
        <f t="shared" si="16"/>
        <v>0</v>
      </c>
      <c r="K144" s="197">
        <f t="shared" si="16"/>
        <v>580398</v>
      </c>
    </row>
    <row r="145" spans="1:11" ht="18" customHeight="1">
      <c r="A145" s="151" t="s">
        <v>148</v>
      </c>
      <c r="B145" s="150" t="s">
        <v>68</v>
      </c>
      <c r="F145" s="197">
        <f t="shared" ref="F145:K145" si="17">F82</f>
        <v>131.5</v>
      </c>
      <c r="G145" s="197">
        <f t="shared" si="17"/>
        <v>550</v>
      </c>
      <c r="H145" s="197">
        <f t="shared" si="17"/>
        <v>87383</v>
      </c>
      <c r="I145" s="197">
        <f t="shared" si="17"/>
        <v>9359</v>
      </c>
      <c r="J145" s="197">
        <f t="shared" si="17"/>
        <v>0</v>
      </c>
      <c r="K145" s="197">
        <f t="shared" si="17"/>
        <v>96742</v>
      </c>
    </row>
    <row r="146" spans="1:11" ht="18" customHeight="1">
      <c r="A146" s="151" t="s">
        <v>150</v>
      </c>
      <c r="B146" s="150" t="s">
        <v>69</v>
      </c>
      <c r="F146" s="197">
        <f t="shared" ref="F146:K146" si="18">F98</f>
        <v>100</v>
      </c>
      <c r="G146" s="197">
        <f t="shared" si="18"/>
        <v>430</v>
      </c>
      <c r="H146" s="197">
        <f t="shared" si="18"/>
        <v>4028</v>
      </c>
      <c r="I146" s="197">
        <f t="shared" si="18"/>
        <v>0</v>
      </c>
      <c r="J146" s="197">
        <f t="shared" si="18"/>
        <v>0</v>
      </c>
      <c r="K146" s="197">
        <f t="shared" si="18"/>
        <v>4028</v>
      </c>
    </row>
    <row r="147" spans="1:11" ht="18" customHeight="1">
      <c r="A147" s="151" t="s">
        <v>153</v>
      </c>
      <c r="B147" s="150" t="s">
        <v>61</v>
      </c>
      <c r="F147" s="162">
        <f t="shared" ref="F147:K147" si="19">F108</f>
        <v>2876</v>
      </c>
      <c r="G147" s="162">
        <f t="shared" si="19"/>
        <v>0</v>
      </c>
      <c r="H147" s="162">
        <f t="shared" si="19"/>
        <v>119734</v>
      </c>
      <c r="I147" s="162">
        <f t="shared" si="19"/>
        <v>47382</v>
      </c>
      <c r="J147" s="162">
        <f t="shared" si="19"/>
        <v>0</v>
      </c>
      <c r="K147" s="162">
        <f t="shared" si="19"/>
        <v>167116</v>
      </c>
    </row>
    <row r="148" spans="1:11" ht="18" customHeight="1">
      <c r="A148" s="151" t="s">
        <v>155</v>
      </c>
      <c r="B148" s="150" t="s">
        <v>70</v>
      </c>
      <c r="F148" s="198" t="s">
        <v>73</v>
      </c>
      <c r="G148" s="198" t="s">
        <v>73</v>
      </c>
      <c r="H148" s="199" t="s">
        <v>73</v>
      </c>
      <c r="I148" s="199" t="s">
        <v>73</v>
      </c>
      <c r="J148" s="199" t="s">
        <v>73</v>
      </c>
      <c r="K148" s="200">
        <f>F111</f>
        <v>8041930</v>
      </c>
    </row>
    <row r="149" spans="1:11" ht="18" customHeight="1">
      <c r="A149" s="151" t="s">
        <v>163</v>
      </c>
      <c r="B149" s="150" t="s">
        <v>71</v>
      </c>
      <c r="F149" s="162">
        <f t="shared" ref="F149:K149" si="20">F137</f>
        <v>0</v>
      </c>
      <c r="G149" s="162">
        <f t="shared" si="20"/>
        <v>0</v>
      </c>
      <c r="H149" s="162">
        <f t="shared" si="20"/>
        <v>4000</v>
      </c>
      <c r="I149" s="162">
        <f t="shared" si="20"/>
        <v>0</v>
      </c>
      <c r="J149" s="162">
        <f t="shared" si="20"/>
        <v>0</v>
      </c>
      <c r="K149" s="162">
        <f t="shared" si="20"/>
        <v>4000</v>
      </c>
    </row>
    <row r="150" spans="1:11" ht="18" customHeight="1">
      <c r="A150" s="151" t="s">
        <v>185</v>
      </c>
      <c r="B150" s="150" t="s">
        <v>186</v>
      </c>
      <c r="F150" s="198" t="s">
        <v>73</v>
      </c>
      <c r="G150" s="198" t="s">
        <v>73</v>
      </c>
      <c r="H150" s="162">
        <f>H18</f>
        <v>9869004.6751208026</v>
      </c>
      <c r="I150" s="162">
        <f>I18</f>
        <v>0</v>
      </c>
      <c r="J150" s="162">
        <f>J18</f>
        <v>8439232.9487626161</v>
      </c>
      <c r="K150" s="162">
        <f>K18</f>
        <v>1429771.7263581865</v>
      </c>
    </row>
    <row r="151" spans="1:11" ht="18" customHeight="1">
      <c r="B151" s="150"/>
      <c r="F151" s="174"/>
      <c r="G151" s="174"/>
      <c r="H151" s="174"/>
      <c r="I151" s="174"/>
      <c r="J151" s="174"/>
      <c r="K151" s="174"/>
    </row>
    <row r="152" spans="1:11" ht="18" customHeight="1">
      <c r="A152" s="154" t="s">
        <v>165</v>
      </c>
      <c r="B152" s="150" t="s">
        <v>26</v>
      </c>
      <c r="F152" s="201">
        <f t="shared" ref="F152:K152" si="21">SUM(F141:F150)</f>
        <v>26649.599999999999</v>
      </c>
      <c r="G152" s="201">
        <f t="shared" si="21"/>
        <v>12039</v>
      </c>
      <c r="H152" s="201">
        <f t="shared" si="21"/>
        <v>22787954.675120801</v>
      </c>
      <c r="I152" s="201">
        <f t="shared" si="21"/>
        <v>4217778</v>
      </c>
      <c r="J152" s="201">
        <f t="shared" si="21"/>
        <v>8462758.9487626161</v>
      </c>
      <c r="K152" s="201">
        <f t="shared" si="21"/>
        <v>26584903.726358186</v>
      </c>
    </row>
    <row r="154" spans="1:11" ht="18" customHeight="1">
      <c r="A154" s="154" t="s">
        <v>168</v>
      </c>
      <c r="B154" s="150" t="s">
        <v>28</v>
      </c>
      <c r="F154" s="53">
        <f>K152/F121</f>
        <v>8.1005599648852136E-2</v>
      </c>
    </row>
    <row r="155" spans="1:11" ht="18" customHeight="1">
      <c r="A155" s="154" t="s">
        <v>169</v>
      </c>
      <c r="B155" s="150" t="s">
        <v>72</v>
      </c>
      <c r="F155" s="53">
        <f>K152/F127</f>
        <v>0.99990475675646895</v>
      </c>
      <c r="G155" s="150"/>
    </row>
    <row r="156" spans="1:11" ht="18" customHeight="1">
      <c r="G156" s="150"/>
    </row>
  </sheetData>
  <sheetProtection algorithmName="SHA-512" hashValue="iVvdvBFvLJrCQayOzWBOnlmmkvSOlg0vsuWfxw4ykvUWsRMIU69Eos4F9LU4n3blGdfrud4L5z60Zw6vfmvLvQ==" saltValue="dNfDTr1s26G+Dg2uXX89nw==" spinCount="100000" sheet="1" objects="1" scenarios="1"/>
  <mergeCells count="34">
    <mergeCell ref="B41:C41"/>
    <mergeCell ref="D2:H2"/>
    <mergeCell ref="C5:G5"/>
    <mergeCell ref="C6:G6"/>
    <mergeCell ref="C7:G7"/>
    <mergeCell ref="C9:G9"/>
    <mergeCell ref="C10:G10"/>
    <mergeCell ref="C11:G11"/>
    <mergeCell ref="B13:H13"/>
    <mergeCell ref="B30:D30"/>
    <mergeCell ref="B31:D31"/>
    <mergeCell ref="B34:D34"/>
    <mergeCell ref="B90:C90"/>
    <mergeCell ref="B44:D44"/>
    <mergeCell ref="B45:D45"/>
    <mergeCell ref="B46:D46"/>
    <mergeCell ref="B47:D47"/>
    <mergeCell ref="B52:C52"/>
    <mergeCell ref="B53:D53"/>
    <mergeCell ref="B55:D55"/>
    <mergeCell ref="B56:D56"/>
    <mergeCell ref="B57:D57"/>
    <mergeCell ref="B59:D59"/>
    <mergeCell ref="B62:D62"/>
    <mergeCell ref="B106:D106"/>
    <mergeCell ref="B133:D133"/>
    <mergeCell ref="B134:D134"/>
    <mergeCell ref="B135:D135"/>
    <mergeCell ref="B94:D94"/>
    <mergeCell ref="B95:D95"/>
    <mergeCell ref="B96:D96"/>
    <mergeCell ref="B103:C103"/>
    <mergeCell ref="B104:D104"/>
    <mergeCell ref="B105:D105"/>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K156"/>
  <sheetViews>
    <sheetView showGridLines="0" topLeftCell="A6" zoomScaleNormal="100" zoomScaleSheetLayoutView="70" workbookViewId="0">
      <selection activeCell="K18" sqref="K18"/>
    </sheetView>
  </sheetViews>
  <sheetFormatPr defaultRowHeight="18" customHeight="1"/>
  <cols>
    <col min="1" max="1" width="8.28515625" style="7" customWidth="1"/>
    <col min="2" max="2" width="55.42578125" bestFit="1" customWidth="1"/>
    <col min="3" max="3" width="9.5703125" customWidth="1"/>
    <col min="5" max="5" width="12.42578125" customWidth="1"/>
    <col min="6" max="6" width="18.5703125" customWidth="1"/>
    <col min="7" max="7" width="23.5703125" customWidth="1"/>
    <col min="8" max="8" width="17.140625" customWidth="1"/>
    <col min="9" max="9" width="21.140625" customWidth="1"/>
    <col min="10" max="10" width="19.85546875" customWidth="1"/>
    <col min="11" max="11" width="17.5703125" customWidth="1"/>
  </cols>
  <sheetData>
    <row r="1" spans="1:11" ht="18" customHeight="1">
      <c r="C1" s="3"/>
      <c r="D1" s="2"/>
      <c r="E1" s="3"/>
      <c r="F1" s="3"/>
      <c r="G1" s="3"/>
      <c r="H1" s="3"/>
      <c r="I1" s="3"/>
      <c r="J1" s="3"/>
      <c r="K1" s="3"/>
    </row>
    <row r="2" spans="1:11" ht="18" customHeight="1">
      <c r="D2" s="940" t="s">
        <v>713</v>
      </c>
      <c r="E2" s="941"/>
      <c r="F2" s="941"/>
      <c r="G2" s="941"/>
      <c r="H2" s="941"/>
    </row>
    <row r="3" spans="1:11" ht="18" customHeight="1">
      <c r="B3" s="1" t="s">
        <v>0</v>
      </c>
    </row>
    <row r="5" spans="1:11" ht="18" customHeight="1">
      <c r="B5" s="4" t="s">
        <v>40</v>
      </c>
      <c r="C5" s="975" t="s">
        <v>423</v>
      </c>
      <c r="D5" s="943"/>
      <c r="E5" s="943"/>
      <c r="F5" s="943"/>
      <c r="G5" s="944"/>
    </row>
    <row r="6" spans="1:11" ht="18" customHeight="1">
      <c r="B6" s="4" t="s">
        <v>3</v>
      </c>
      <c r="C6" s="976">
        <v>44</v>
      </c>
      <c r="D6" s="946"/>
      <c r="E6" s="946"/>
      <c r="F6" s="946"/>
      <c r="G6" s="947"/>
    </row>
    <row r="7" spans="1:11" ht="18" customHeight="1">
      <c r="B7" s="4" t="s">
        <v>4</v>
      </c>
      <c r="C7" s="948">
        <v>2498</v>
      </c>
      <c r="D7" s="949"/>
      <c r="E7" s="949"/>
      <c r="F7" s="949"/>
      <c r="G7" s="950"/>
    </row>
    <row r="9" spans="1:11" ht="18" customHeight="1">
      <c r="B9" s="4" t="s">
        <v>1</v>
      </c>
      <c r="C9" s="975" t="s">
        <v>424</v>
      </c>
      <c r="D9" s="943"/>
      <c r="E9" s="943"/>
      <c r="F9" s="943"/>
      <c r="G9" s="944"/>
    </row>
    <row r="10" spans="1:11" ht="18" customHeight="1">
      <c r="B10" s="4" t="s">
        <v>2</v>
      </c>
      <c r="C10" s="1120" t="s">
        <v>425</v>
      </c>
      <c r="D10" s="952"/>
      <c r="E10" s="952"/>
      <c r="F10" s="952"/>
      <c r="G10" s="953"/>
    </row>
    <row r="11" spans="1:11" ht="18" customHeight="1">
      <c r="B11" s="4" t="s">
        <v>32</v>
      </c>
      <c r="C11" s="975" t="s">
        <v>426</v>
      </c>
      <c r="D11" s="954"/>
      <c r="E11" s="954"/>
      <c r="F11" s="954"/>
      <c r="G11" s="954"/>
    </row>
    <row r="12" spans="1:11" ht="18" customHeight="1">
      <c r="B12" s="4"/>
      <c r="C12" s="4"/>
      <c r="D12" s="4"/>
      <c r="E12" s="4"/>
      <c r="F12" s="4"/>
      <c r="G12" s="4"/>
    </row>
    <row r="13" spans="1:11" ht="24.6" customHeight="1">
      <c r="B13" s="955"/>
      <c r="C13" s="956"/>
      <c r="D13" s="956"/>
      <c r="E13" s="956"/>
      <c r="F13" s="956"/>
      <c r="G13" s="956"/>
      <c r="H13" s="957"/>
      <c r="I13" s="3"/>
    </row>
    <row r="14" spans="1:11" ht="18" customHeight="1">
      <c r="B14" s="6"/>
    </row>
    <row r="15" spans="1:11" ht="18" customHeight="1">
      <c r="B15" s="6"/>
    </row>
    <row r="16" spans="1:11" ht="45" customHeight="1">
      <c r="A16" s="2" t="s">
        <v>181</v>
      </c>
      <c r="B16" s="3"/>
      <c r="C16" s="3"/>
      <c r="D16" s="3"/>
      <c r="E16" s="3"/>
      <c r="F16" s="8" t="s">
        <v>9</v>
      </c>
      <c r="G16" s="8" t="s">
        <v>37</v>
      </c>
      <c r="H16" s="8" t="s">
        <v>29</v>
      </c>
      <c r="I16" s="8" t="s">
        <v>30</v>
      </c>
      <c r="J16" s="8" t="s">
        <v>33</v>
      </c>
      <c r="K16" s="8" t="s">
        <v>34</v>
      </c>
    </row>
    <row r="17" spans="1:11" ht="18" customHeight="1">
      <c r="A17" s="5" t="s">
        <v>184</v>
      </c>
      <c r="B17" s="1" t="s">
        <v>182</v>
      </c>
    </row>
    <row r="18" spans="1:11" ht="18" customHeight="1">
      <c r="A18" s="4" t="s">
        <v>185</v>
      </c>
      <c r="B18" s="257" t="s">
        <v>183</v>
      </c>
      <c r="F18" s="13" t="s">
        <v>73</v>
      </c>
      <c r="G18" s="13" t="s">
        <v>73</v>
      </c>
      <c r="H18" s="14">
        <v>10854616</v>
      </c>
      <c r="I18" s="40">
        <v>0</v>
      </c>
      <c r="J18" s="14">
        <v>9282054</v>
      </c>
      <c r="K18" s="15">
        <f>(H18+I18)-J18</f>
        <v>1572562</v>
      </c>
    </row>
    <row r="19" spans="1:11" ht="45" customHeight="1">
      <c r="A19" s="2" t="s">
        <v>8</v>
      </c>
      <c r="B19" s="3"/>
      <c r="C19" s="3"/>
      <c r="D19" s="3"/>
      <c r="E19" s="3"/>
      <c r="F19" s="8" t="s">
        <v>9</v>
      </c>
      <c r="G19" s="8" t="s">
        <v>37</v>
      </c>
      <c r="H19" s="8" t="s">
        <v>29</v>
      </c>
      <c r="I19" s="8" t="s">
        <v>30</v>
      </c>
      <c r="J19" s="8" t="s">
        <v>33</v>
      </c>
      <c r="K19" s="8" t="s">
        <v>34</v>
      </c>
    </row>
    <row r="20" spans="1:11" ht="18" customHeight="1">
      <c r="A20" s="5" t="s">
        <v>74</v>
      </c>
      <c r="B20" s="1" t="s">
        <v>41</v>
      </c>
    </row>
    <row r="21" spans="1:11" ht="18" customHeight="1">
      <c r="A21" s="4" t="s">
        <v>75</v>
      </c>
      <c r="B21" s="257" t="s">
        <v>42</v>
      </c>
      <c r="F21" s="13">
        <v>205</v>
      </c>
      <c r="G21" s="13">
        <v>9680</v>
      </c>
      <c r="H21" s="14">
        <v>73662.27</v>
      </c>
      <c r="I21" s="40">
        <f t="shared" ref="I21:I34" si="0">H21*F$114</f>
        <v>42738.849054000006</v>
      </c>
      <c r="J21" s="14"/>
      <c r="K21" s="15">
        <f t="shared" ref="K21:K34" si="1">(H21+I21)-J21</f>
        <v>116401.11905400001</v>
      </c>
    </row>
    <row r="22" spans="1:11" ht="18" customHeight="1">
      <c r="A22" s="4" t="s">
        <v>76</v>
      </c>
      <c r="B22" t="s">
        <v>6</v>
      </c>
      <c r="F22" s="13">
        <v>45</v>
      </c>
      <c r="G22" s="13">
        <v>313</v>
      </c>
      <c r="H22" s="14">
        <v>2236.92</v>
      </c>
      <c r="I22" s="40">
        <f t="shared" si="0"/>
        <v>1297.8609840000001</v>
      </c>
      <c r="J22" s="14"/>
      <c r="K22" s="15">
        <f t="shared" si="1"/>
        <v>3534.780984</v>
      </c>
    </row>
    <row r="23" spans="1:11" ht="18" customHeight="1">
      <c r="A23" s="4" t="s">
        <v>77</v>
      </c>
      <c r="B23" t="s">
        <v>43</v>
      </c>
      <c r="F23" s="13">
        <v>100</v>
      </c>
      <c r="G23" s="13">
        <v>850</v>
      </c>
      <c r="H23" s="14">
        <v>93000</v>
      </c>
      <c r="I23" s="40">
        <f t="shared" si="0"/>
        <v>53958.600000000006</v>
      </c>
      <c r="J23" s="14"/>
      <c r="K23" s="15">
        <f t="shared" si="1"/>
        <v>146958.6</v>
      </c>
    </row>
    <row r="24" spans="1:11" ht="18" customHeight="1">
      <c r="A24" s="4" t="s">
        <v>78</v>
      </c>
      <c r="B24" t="s">
        <v>44</v>
      </c>
      <c r="F24" s="13"/>
      <c r="G24" s="13"/>
      <c r="H24" s="14"/>
      <c r="I24" s="40">
        <f t="shared" si="0"/>
        <v>0</v>
      </c>
      <c r="J24" s="14"/>
      <c r="K24" s="15">
        <f t="shared" si="1"/>
        <v>0</v>
      </c>
    </row>
    <row r="25" spans="1:11" ht="18" customHeight="1">
      <c r="A25" s="4" t="s">
        <v>79</v>
      </c>
      <c r="B25" t="s">
        <v>5</v>
      </c>
      <c r="F25" s="13">
        <v>121.75</v>
      </c>
      <c r="G25" s="13">
        <v>1319</v>
      </c>
      <c r="H25" s="14">
        <v>8677.0400000000009</v>
      </c>
      <c r="I25" s="40">
        <f t="shared" si="0"/>
        <v>5034.4186080000009</v>
      </c>
      <c r="J25" s="14">
        <v>1633</v>
      </c>
      <c r="K25" s="15">
        <f t="shared" si="1"/>
        <v>12078.458608000001</v>
      </c>
    </row>
    <row r="26" spans="1:11" ht="18" customHeight="1">
      <c r="A26" s="4" t="s">
        <v>80</v>
      </c>
      <c r="B26" t="s">
        <v>45</v>
      </c>
      <c r="F26" s="13"/>
      <c r="G26" s="13"/>
      <c r="H26" s="14"/>
      <c r="I26" s="40">
        <f t="shared" si="0"/>
        <v>0</v>
      </c>
      <c r="J26" s="14"/>
      <c r="K26" s="15">
        <f t="shared" si="1"/>
        <v>0</v>
      </c>
    </row>
    <row r="27" spans="1:11" ht="18" customHeight="1">
      <c r="A27" s="4" t="s">
        <v>81</v>
      </c>
      <c r="B27" t="s">
        <v>46</v>
      </c>
      <c r="F27" s="13"/>
      <c r="G27" s="13"/>
      <c r="H27" s="14"/>
      <c r="I27" s="40">
        <f t="shared" si="0"/>
        <v>0</v>
      </c>
      <c r="J27" s="14"/>
      <c r="K27" s="15">
        <f t="shared" si="1"/>
        <v>0</v>
      </c>
    </row>
    <row r="28" spans="1:11" ht="18" customHeight="1">
      <c r="A28" s="4" t="s">
        <v>82</v>
      </c>
      <c r="B28" t="s">
        <v>47</v>
      </c>
      <c r="F28" s="13"/>
      <c r="G28" s="13"/>
      <c r="H28" s="14"/>
      <c r="I28" s="40">
        <f t="shared" si="0"/>
        <v>0</v>
      </c>
      <c r="J28" s="14"/>
      <c r="K28" s="15">
        <f t="shared" si="1"/>
        <v>0</v>
      </c>
    </row>
    <row r="29" spans="1:11" ht="18" customHeight="1">
      <c r="A29" s="4" t="s">
        <v>83</v>
      </c>
      <c r="B29" t="s">
        <v>48</v>
      </c>
      <c r="F29" s="13">
        <v>2080</v>
      </c>
      <c r="G29" s="13">
        <v>449</v>
      </c>
      <c r="H29" s="14">
        <v>310791</v>
      </c>
      <c r="I29" s="40">
        <f t="shared" si="0"/>
        <v>180320.9382</v>
      </c>
      <c r="J29" s="14"/>
      <c r="K29" s="15">
        <f t="shared" si="1"/>
        <v>491111.93819999998</v>
      </c>
    </row>
    <row r="30" spans="1:11" ht="18" customHeight="1">
      <c r="A30" s="4" t="s">
        <v>84</v>
      </c>
      <c r="B30" s="893"/>
      <c r="C30" s="894"/>
      <c r="D30" s="895"/>
      <c r="F30" s="13"/>
      <c r="G30" s="13"/>
      <c r="H30" s="14"/>
      <c r="I30" s="40">
        <f t="shared" si="0"/>
        <v>0</v>
      </c>
      <c r="J30" s="14"/>
      <c r="K30" s="15">
        <f t="shared" si="1"/>
        <v>0</v>
      </c>
    </row>
    <row r="31" spans="1:11" ht="18" customHeight="1">
      <c r="A31" s="4" t="s">
        <v>133</v>
      </c>
      <c r="B31" s="893"/>
      <c r="C31" s="894"/>
      <c r="D31" s="895"/>
      <c r="F31" s="13"/>
      <c r="G31" s="13"/>
      <c r="H31" s="14"/>
      <c r="I31" s="40">
        <f t="shared" si="0"/>
        <v>0</v>
      </c>
      <c r="J31" s="14"/>
      <c r="K31" s="15">
        <f t="shared" si="1"/>
        <v>0</v>
      </c>
    </row>
    <row r="32" spans="1:11" ht="18" customHeight="1">
      <c r="A32" s="4" t="s">
        <v>134</v>
      </c>
      <c r="B32" s="644"/>
      <c r="C32" s="645"/>
      <c r="D32" s="646"/>
      <c r="F32" s="13"/>
      <c r="G32" s="258" t="s">
        <v>85</v>
      </c>
      <c r="H32" s="14"/>
      <c r="I32" s="40">
        <f t="shared" si="0"/>
        <v>0</v>
      </c>
      <c r="J32" s="14"/>
      <c r="K32" s="15">
        <f t="shared" si="1"/>
        <v>0</v>
      </c>
    </row>
    <row r="33" spans="1:11" ht="18" customHeight="1">
      <c r="A33" s="4" t="s">
        <v>135</v>
      </c>
      <c r="B33" s="644"/>
      <c r="C33" s="645"/>
      <c r="D33" s="646"/>
      <c r="F33" s="13"/>
      <c r="G33" s="258" t="s">
        <v>85</v>
      </c>
      <c r="H33" s="14"/>
      <c r="I33" s="40">
        <f t="shared" si="0"/>
        <v>0</v>
      </c>
      <c r="J33" s="14"/>
      <c r="K33" s="15">
        <f t="shared" si="1"/>
        <v>0</v>
      </c>
    </row>
    <row r="34" spans="1:11" ht="18" customHeight="1">
      <c r="A34" s="4" t="s">
        <v>136</v>
      </c>
      <c r="B34" s="893"/>
      <c r="C34" s="894"/>
      <c r="D34" s="895"/>
      <c r="F34" s="13"/>
      <c r="G34" s="258" t="s">
        <v>85</v>
      </c>
      <c r="H34" s="14"/>
      <c r="I34" s="40">
        <f t="shared" si="0"/>
        <v>0</v>
      </c>
      <c r="J34" s="14"/>
      <c r="K34" s="15">
        <f t="shared" si="1"/>
        <v>0</v>
      </c>
    </row>
    <row r="35" spans="1:11" ht="18" customHeight="1">
      <c r="K35" s="35"/>
    </row>
    <row r="36" spans="1:11" ht="18" customHeight="1">
      <c r="A36" s="5" t="s">
        <v>137</v>
      </c>
      <c r="B36" s="1" t="s">
        <v>138</v>
      </c>
      <c r="E36" s="1" t="s">
        <v>7</v>
      </c>
      <c r="F36" s="17">
        <f t="shared" ref="F36:K36" si="2">SUM(F21:F34)</f>
        <v>2551.75</v>
      </c>
      <c r="G36" s="17">
        <f t="shared" si="2"/>
        <v>12611</v>
      </c>
      <c r="H36" s="17">
        <f t="shared" si="2"/>
        <v>488367.23</v>
      </c>
      <c r="I36" s="15">
        <f t="shared" si="2"/>
        <v>283350.66684600001</v>
      </c>
      <c r="J36" s="15">
        <f t="shared" si="2"/>
        <v>1633</v>
      </c>
      <c r="K36" s="15">
        <f t="shared" si="2"/>
        <v>770084.89684599999</v>
      </c>
    </row>
    <row r="37" spans="1:11" ht="18" customHeight="1" thickBot="1">
      <c r="B37" s="1"/>
      <c r="F37" s="18"/>
      <c r="G37" s="18"/>
      <c r="H37" s="19"/>
      <c r="I37" s="19"/>
      <c r="J37" s="19"/>
      <c r="K37" s="36"/>
    </row>
    <row r="38" spans="1:11" ht="42.75" customHeight="1">
      <c r="F38" s="8" t="s">
        <v>9</v>
      </c>
      <c r="G38" s="8" t="s">
        <v>37</v>
      </c>
      <c r="H38" s="8" t="s">
        <v>29</v>
      </c>
      <c r="I38" s="8" t="s">
        <v>30</v>
      </c>
      <c r="J38" s="8" t="s">
        <v>33</v>
      </c>
      <c r="K38" s="8" t="s">
        <v>34</v>
      </c>
    </row>
    <row r="39" spans="1:11" ht="18.75" customHeight="1">
      <c r="A39" s="5" t="s">
        <v>86</v>
      </c>
      <c r="B39" s="1" t="s">
        <v>49</v>
      </c>
    </row>
    <row r="40" spans="1:11" ht="18" customHeight="1">
      <c r="A40" s="4" t="s">
        <v>87</v>
      </c>
      <c r="B40" t="s">
        <v>31</v>
      </c>
      <c r="F40" s="13">
        <v>131357</v>
      </c>
      <c r="G40" s="13"/>
      <c r="H40" s="14">
        <v>5737440</v>
      </c>
      <c r="I40" s="40">
        <f>H40*$F$114</f>
        <v>3328862.6880000001</v>
      </c>
      <c r="J40" s="14"/>
      <c r="K40" s="15">
        <f t="shared" ref="K40:K47" si="3">(H40+I40)-J40</f>
        <v>9066302.688000001</v>
      </c>
    </row>
    <row r="41" spans="1:11" ht="18" customHeight="1">
      <c r="A41" s="4" t="s">
        <v>88</v>
      </c>
      <c r="B41" s="931" t="s">
        <v>50</v>
      </c>
      <c r="C41" s="939"/>
      <c r="F41" s="13">
        <v>26156</v>
      </c>
      <c r="G41" s="13"/>
      <c r="H41" s="14">
        <v>402468</v>
      </c>
      <c r="I41" s="40">
        <f>H41*$F$114</f>
        <v>233511.93360000002</v>
      </c>
      <c r="J41" s="14"/>
      <c r="K41" s="15">
        <f t="shared" si="3"/>
        <v>635979.93359999999</v>
      </c>
    </row>
    <row r="42" spans="1:11" ht="18" customHeight="1">
      <c r="A42" s="4" t="s">
        <v>89</v>
      </c>
      <c r="B42" s="257" t="s">
        <v>11</v>
      </c>
      <c r="F42" s="13">
        <v>4160</v>
      </c>
      <c r="G42" s="13"/>
      <c r="H42" s="14">
        <v>165778</v>
      </c>
      <c r="I42" s="40">
        <f>H42*$F$114</f>
        <v>96184.395600000003</v>
      </c>
      <c r="J42" s="14">
        <v>84250</v>
      </c>
      <c r="K42" s="15">
        <f t="shared" si="3"/>
        <v>177712.39559999999</v>
      </c>
    </row>
    <row r="43" spans="1:11" ht="18" customHeight="1">
      <c r="A43" s="4" t="s">
        <v>90</v>
      </c>
      <c r="B43" s="259" t="s">
        <v>10</v>
      </c>
      <c r="C43" s="9"/>
      <c r="D43" s="9"/>
      <c r="F43" s="13"/>
      <c r="G43" s="13"/>
      <c r="H43" s="14"/>
      <c r="I43" s="40">
        <v>0</v>
      </c>
      <c r="J43" s="14"/>
      <c r="K43" s="15">
        <f t="shared" si="3"/>
        <v>0</v>
      </c>
    </row>
    <row r="44" spans="1:11" ht="18" customHeight="1">
      <c r="A44" s="4" t="s">
        <v>91</v>
      </c>
      <c r="B44" s="893"/>
      <c r="C44" s="894"/>
      <c r="D44" s="895"/>
      <c r="F44" s="43"/>
      <c r="G44" s="43"/>
      <c r="H44" s="43"/>
      <c r="I44" s="44">
        <v>0</v>
      </c>
      <c r="J44" s="43"/>
      <c r="K44" s="45">
        <f t="shared" si="3"/>
        <v>0</v>
      </c>
    </row>
    <row r="45" spans="1:11" ht="18" customHeight="1">
      <c r="A45" s="4" t="s">
        <v>139</v>
      </c>
      <c r="B45" s="893"/>
      <c r="C45" s="894"/>
      <c r="D45" s="895"/>
      <c r="F45" s="13"/>
      <c r="G45" s="13"/>
      <c r="H45" s="14"/>
      <c r="I45" s="40">
        <v>0</v>
      </c>
      <c r="J45" s="14"/>
      <c r="K45" s="15">
        <f t="shared" si="3"/>
        <v>0</v>
      </c>
    </row>
    <row r="46" spans="1:11" ht="18" customHeight="1">
      <c r="A46" s="4" t="s">
        <v>140</v>
      </c>
      <c r="B46" s="893"/>
      <c r="C46" s="894"/>
      <c r="D46" s="895"/>
      <c r="F46" s="13"/>
      <c r="G46" s="13"/>
      <c r="H46" s="14"/>
      <c r="I46" s="40">
        <v>0</v>
      </c>
      <c r="J46" s="14"/>
      <c r="K46" s="15">
        <f t="shared" si="3"/>
        <v>0</v>
      </c>
    </row>
    <row r="47" spans="1:11" ht="18" customHeight="1">
      <c r="A47" s="4" t="s">
        <v>141</v>
      </c>
      <c r="B47" s="893"/>
      <c r="C47" s="894"/>
      <c r="D47" s="895"/>
      <c r="F47" s="13"/>
      <c r="G47" s="13"/>
      <c r="H47" s="14"/>
      <c r="I47" s="40">
        <v>0</v>
      </c>
      <c r="J47" s="14"/>
      <c r="K47" s="15">
        <f t="shared" si="3"/>
        <v>0</v>
      </c>
    </row>
    <row r="49" spans="1:11" ht="18" customHeight="1">
      <c r="A49" s="5" t="s">
        <v>142</v>
      </c>
      <c r="B49" s="1" t="s">
        <v>143</v>
      </c>
      <c r="E49" s="1" t="s">
        <v>7</v>
      </c>
      <c r="F49" s="22">
        <f t="shared" ref="F49:K49" si="4">SUM(F40:F47)</f>
        <v>161673</v>
      </c>
      <c r="G49" s="22">
        <f t="shared" si="4"/>
        <v>0</v>
      </c>
      <c r="H49" s="15">
        <f t="shared" si="4"/>
        <v>6305686</v>
      </c>
      <c r="I49" s="15">
        <f t="shared" si="4"/>
        <v>3658559.0172000001</v>
      </c>
      <c r="J49" s="15">
        <f t="shared" si="4"/>
        <v>84250</v>
      </c>
      <c r="K49" s="15">
        <f t="shared" si="4"/>
        <v>9879995.0172000006</v>
      </c>
    </row>
    <row r="50" spans="1:11" ht="18" customHeight="1" thickBot="1">
      <c r="G50" s="23"/>
      <c r="H50" s="23"/>
      <c r="I50" s="23"/>
      <c r="J50" s="23"/>
      <c r="K50" s="23"/>
    </row>
    <row r="51" spans="1:11" ht="42.75" customHeight="1">
      <c r="F51" s="8" t="s">
        <v>9</v>
      </c>
      <c r="G51" s="8" t="s">
        <v>37</v>
      </c>
      <c r="H51" s="8" t="s">
        <v>29</v>
      </c>
      <c r="I51" s="8" t="s">
        <v>30</v>
      </c>
      <c r="J51" s="8" t="s">
        <v>33</v>
      </c>
      <c r="K51" s="8" t="s">
        <v>34</v>
      </c>
    </row>
    <row r="52" spans="1:11" ht="18" customHeight="1">
      <c r="A52" s="5" t="s">
        <v>92</v>
      </c>
      <c r="B52" s="935" t="s">
        <v>38</v>
      </c>
      <c r="C52" s="936"/>
    </row>
    <row r="53" spans="1:11" ht="18" customHeight="1">
      <c r="A53" s="4" t="s">
        <v>51</v>
      </c>
      <c r="B53" s="1119" t="s">
        <v>427</v>
      </c>
      <c r="C53" s="938"/>
      <c r="D53" s="934"/>
      <c r="F53" s="13">
        <v>1817</v>
      </c>
      <c r="G53" s="13">
        <v>1586</v>
      </c>
      <c r="H53" s="14">
        <v>182367</v>
      </c>
      <c r="I53" s="40">
        <f>H53*$F$114</f>
        <v>105809.3334</v>
      </c>
      <c r="J53" s="14">
        <v>10404</v>
      </c>
      <c r="K53" s="15">
        <f t="shared" ref="K53:K62" si="5">(H53+I53)-J53</f>
        <v>277772.3334</v>
      </c>
    </row>
    <row r="54" spans="1:11" ht="18" customHeight="1">
      <c r="A54" s="4" t="s">
        <v>93</v>
      </c>
      <c r="B54" s="651" t="s">
        <v>428</v>
      </c>
      <c r="C54" s="650"/>
      <c r="D54" s="648"/>
      <c r="F54" s="13">
        <v>4769.8999999999996</v>
      </c>
      <c r="G54" s="13"/>
      <c r="H54" s="14">
        <v>654404</v>
      </c>
      <c r="I54" s="40">
        <f>H54*$F$114</f>
        <v>379685.20080000005</v>
      </c>
      <c r="J54" s="14">
        <v>514479</v>
      </c>
      <c r="K54" s="15">
        <f t="shared" si="5"/>
        <v>519610.20079999999</v>
      </c>
    </row>
    <row r="55" spans="1:11" ht="18" customHeight="1">
      <c r="A55" s="4" t="s">
        <v>94</v>
      </c>
      <c r="B55" s="974" t="s">
        <v>906</v>
      </c>
      <c r="C55" s="933"/>
      <c r="D55" s="934"/>
      <c r="F55" s="13"/>
      <c r="G55" s="13"/>
      <c r="H55" s="14">
        <v>20643.7</v>
      </c>
      <c r="I55" s="40">
        <v>0</v>
      </c>
      <c r="J55" s="14"/>
      <c r="K55" s="15">
        <f t="shared" si="5"/>
        <v>20643.7</v>
      </c>
    </row>
    <row r="56" spans="1:11" ht="18" customHeight="1">
      <c r="A56" s="4" t="s">
        <v>95</v>
      </c>
      <c r="B56" s="974" t="s">
        <v>429</v>
      </c>
      <c r="C56" s="933"/>
      <c r="D56" s="934"/>
      <c r="F56" s="13">
        <v>1840</v>
      </c>
      <c r="G56" s="13">
        <v>1512</v>
      </c>
      <c r="H56" s="14">
        <v>58672</v>
      </c>
      <c r="I56" s="40">
        <f>H56*$F$114</f>
        <v>34041.494400000003</v>
      </c>
      <c r="J56" s="14"/>
      <c r="K56" s="15">
        <f t="shared" si="5"/>
        <v>92713.494399999996</v>
      </c>
    </row>
    <row r="57" spans="1:11" ht="18" customHeight="1">
      <c r="A57" s="4" t="s">
        <v>96</v>
      </c>
      <c r="B57" s="974" t="s">
        <v>905</v>
      </c>
      <c r="C57" s="933"/>
      <c r="D57" s="934"/>
      <c r="F57" s="13"/>
      <c r="G57" s="13"/>
      <c r="H57" s="14">
        <v>334210</v>
      </c>
      <c r="I57" s="40">
        <f>H57*$F$114</f>
        <v>193908.64200000002</v>
      </c>
      <c r="J57" s="14">
        <v>150606</v>
      </c>
      <c r="K57" s="15">
        <f t="shared" si="5"/>
        <v>377512.64199999999</v>
      </c>
    </row>
    <row r="58" spans="1:11" ht="18" customHeight="1">
      <c r="A58" s="4" t="s">
        <v>97</v>
      </c>
      <c r="B58" s="651" t="s">
        <v>904</v>
      </c>
      <c r="C58" s="650"/>
      <c r="D58" s="648"/>
      <c r="F58" s="13"/>
      <c r="G58" s="13"/>
      <c r="H58" s="14">
        <v>74056</v>
      </c>
      <c r="I58" s="40">
        <f>H58*F114</f>
        <v>42967.291200000007</v>
      </c>
      <c r="J58" s="14">
        <v>41945</v>
      </c>
      <c r="K58" s="15">
        <f t="shared" si="5"/>
        <v>75078.291200000007</v>
      </c>
    </row>
    <row r="59" spans="1:11" ht="18" customHeight="1">
      <c r="A59" s="4" t="s">
        <v>98</v>
      </c>
      <c r="B59" s="932"/>
      <c r="C59" s="933"/>
      <c r="D59" s="934"/>
      <c r="F59" s="13"/>
      <c r="G59" s="13"/>
      <c r="H59" s="14"/>
      <c r="I59" s="40">
        <v>0</v>
      </c>
      <c r="J59" s="14"/>
      <c r="K59" s="15">
        <f t="shared" si="5"/>
        <v>0</v>
      </c>
    </row>
    <row r="60" spans="1:11" ht="18" customHeight="1">
      <c r="A60" s="4" t="s">
        <v>99</v>
      </c>
      <c r="B60" s="649"/>
      <c r="C60" s="650"/>
      <c r="D60" s="648"/>
      <c r="F60" s="13"/>
      <c r="G60" s="13"/>
      <c r="H60" s="14"/>
      <c r="I60" s="40">
        <v>0</v>
      </c>
      <c r="J60" s="14"/>
      <c r="K60" s="15">
        <f t="shared" si="5"/>
        <v>0</v>
      </c>
    </row>
    <row r="61" spans="1:11" ht="18" customHeight="1">
      <c r="A61" s="4" t="s">
        <v>100</v>
      </c>
      <c r="B61" s="649"/>
      <c r="C61" s="650"/>
      <c r="D61" s="648"/>
      <c r="F61" s="13"/>
      <c r="G61" s="13"/>
      <c r="H61" s="14"/>
      <c r="I61" s="40">
        <v>0</v>
      </c>
      <c r="J61" s="14"/>
      <c r="K61" s="15">
        <f t="shared" si="5"/>
        <v>0</v>
      </c>
    </row>
    <row r="62" spans="1:11" ht="18" customHeight="1">
      <c r="A62" s="4" t="s">
        <v>101</v>
      </c>
      <c r="B62" s="932"/>
      <c r="C62" s="933"/>
      <c r="D62" s="934"/>
      <c r="F62" s="13"/>
      <c r="G62" s="13"/>
      <c r="H62" s="14"/>
      <c r="I62" s="40">
        <v>0</v>
      </c>
      <c r="J62" s="14"/>
      <c r="K62" s="15">
        <f t="shared" si="5"/>
        <v>0</v>
      </c>
    </row>
    <row r="63" spans="1:11" ht="18" customHeight="1">
      <c r="A63" s="4"/>
      <c r="I63" s="37"/>
    </row>
    <row r="64" spans="1:11" ht="18" customHeight="1">
      <c r="A64" s="4" t="s">
        <v>144</v>
      </c>
      <c r="B64" s="1" t="s">
        <v>145</v>
      </c>
      <c r="E64" s="1" t="s">
        <v>7</v>
      </c>
      <c r="F64" s="17">
        <f t="shared" ref="F64:K64" si="6">SUM(F53:F62)</f>
        <v>8426.9</v>
      </c>
      <c r="G64" s="17">
        <f t="shared" si="6"/>
        <v>3098</v>
      </c>
      <c r="H64" s="15">
        <f t="shared" si="6"/>
        <v>1324352.7</v>
      </c>
      <c r="I64" s="15">
        <f t="shared" si="6"/>
        <v>756411.96180000005</v>
      </c>
      <c r="J64" s="15">
        <f t="shared" si="6"/>
        <v>717434</v>
      </c>
      <c r="K64" s="15">
        <f t="shared" si="6"/>
        <v>1363330.6618000001</v>
      </c>
    </row>
    <row r="65" spans="1:11" ht="18" customHeight="1">
      <c r="F65" s="38"/>
      <c r="G65" s="38"/>
      <c r="H65" s="38"/>
      <c r="I65" s="38"/>
      <c r="J65" s="38"/>
      <c r="K65" s="38"/>
    </row>
    <row r="66" spans="1:11" ht="42.75" customHeight="1">
      <c r="F66" s="46" t="s">
        <v>9</v>
      </c>
      <c r="G66" s="46" t="s">
        <v>37</v>
      </c>
      <c r="H66" s="46" t="s">
        <v>29</v>
      </c>
      <c r="I66" s="46" t="s">
        <v>30</v>
      </c>
      <c r="J66" s="46" t="s">
        <v>33</v>
      </c>
      <c r="K66" s="46" t="s">
        <v>34</v>
      </c>
    </row>
    <row r="67" spans="1:11" ht="18" customHeight="1">
      <c r="A67" s="5" t="s">
        <v>102</v>
      </c>
      <c r="B67" s="1" t="s">
        <v>12</v>
      </c>
      <c r="F67" s="47"/>
      <c r="G67" s="47"/>
      <c r="H67" s="47"/>
      <c r="I67" s="48"/>
      <c r="J67" s="47"/>
      <c r="K67" s="49"/>
    </row>
    <row r="68" spans="1:11" ht="18" customHeight="1">
      <c r="A68" s="4" t="s">
        <v>103</v>
      </c>
      <c r="B68" t="s">
        <v>52</v>
      </c>
      <c r="F68" s="41"/>
      <c r="G68" s="41"/>
      <c r="H68" s="41"/>
      <c r="I68" s="40">
        <v>0</v>
      </c>
      <c r="J68" s="41"/>
      <c r="K68" s="15">
        <f>(H68+I68)-J68</f>
        <v>0</v>
      </c>
    </row>
    <row r="69" spans="1:11" ht="18" customHeight="1">
      <c r="A69" s="4" t="s">
        <v>104</v>
      </c>
      <c r="B69" s="257" t="s">
        <v>53</v>
      </c>
      <c r="F69" s="41"/>
      <c r="G69" s="41"/>
      <c r="H69" s="41">
        <v>330529</v>
      </c>
      <c r="I69" s="40">
        <f>H69*F114</f>
        <v>191772.92580000003</v>
      </c>
      <c r="J69" s="41"/>
      <c r="K69" s="15">
        <f>(H69+I69)-J69</f>
        <v>522301.92580000003</v>
      </c>
    </row>
    <row r="70" spans="1:11" ht="18" customHeight="1">
      <c r="A70" s="4" t="s">
        <v>178</v>
      </c>
      <c r="B70" s="649"/>
      <c r="C70" s="650"/>
      <c r="D70" s="648"/>
      <c r="E70" s="1"/>
      <c r="F70" s="26"/>
      <c r="G70" s="26"/>
      <c r="H70" s="27"/>
      <c r="I70" s="40">
        <v>0</v>
      </c>
      <c r="J70" s="27"/>
      <c r="K70" s="15">
        <f>(H70+I70)-J70</f>
        <v>0</v>
      </c>
    </row>
    <row r="71" spans="1:11" ht="18" customHeight="1">
      <c r="A71" s="4" t="s">
        <v>179</v>
      </c>
      <c r="B71" s="649"/>
      <c r="C71" s="650"/>
      <c r="D71" s="648"/>
      <c r="E71" s="1"/>
      <c r="F71" s="26"/>
      <c r="G71" s="26"/>
      <c r="H71" s="27"/>
      <c r="I71" s="40">
        <v>0</v>
      </c>
      <c r="J71" s="27"/>
      <c r="K71" s="15">
        <f>(H71+I71)-J71</f>
        <v>0</v>
      </c>
    </row>
    <row r="72" spans="1:11" ht="18" customHeight="1">
      <c r="A72" s="4" t="s">
        <v>180</v>
      </c>
      <c r="B72" s="652"/>
      <c r="C72" s="647"/>
      <c r="D72" s="25"/>
      <c r="E72" s="1"/>
      <c r="F72" s="13"/>
      <c r="G72" s="13"/>
      <c r="H72" s="14"/>
      <c r="I72" s="40">
        <v>0</v>
      </c>
      <c r="J72" s="14"/>
      <c r="K72" s="15">
        <f>(H72+I72)-J72</f>
        <v>0</v>
      </c>
    </row>
    <row r="73" spans="1:11" ht="18" customHeight="1">
      <c r="A73" s="4"/>
      <c r="B73" s="257"/>
      <c r="E73" s="1"/>
      <c r="F73" s="50"/>
      <c r="G73" s="50"/>
      <c r="H73" s="51"/>
      <c r="I73" s="48"/>
      <c r="J73" s="51"/>
      <c r="K73" s="49"/>
    </row>
    <row r="74" spans="1:11" ht="18" customHeight="1">
      <c r="A74" s="5" t="s">
        <v>146</v>
      </c>
      <c r="B74" s="1" t="s">
        <v>147</v>
      </c>
      <c r="E74" s="1" t="s">
        <v>7</v>
      </c>
      <c r="F74" s="20">
        <f t="shared" ref="F74:K74" si="7">SUM(F68:F72)</f>
        <v>0</v>
      </c>
      <c r="G74" s="20">
        <f t="shared" si="7"/>
        <v>0</v>
      </c>
      <c r="H74" s="20">
        <f t="shared" si="7"/>
        <v>330529</v>
      </c>
      <c r="I74" s="42">
        <f t="shared" si="7"/>
        <v>191772.92580000003</v>
      </c>
      <c r="J74" s="20">
        <f t="shared" si="7"/>
        <v>0</v>
      </c>
      <c r="K74" s="16">
        <f t="shared" si="7"/>
        <v>522301.92580000003</v>
      </c>
    </row>
    <row r="75" spans="1:11" ht="42.75" customHeight="1">
      <c r="F75" s="8" t="s">
        <v>9</v>
      </c>
      <c r="G75" s="8" t="s">
        <v>37</v>
      </c>
      <c r="H75" s="8" t="s">
        <v>29</v>
      </c>
      <c r="I75" s="8" t="s">
        <v>30</v>
      </c>
      <c r="J75" s="8" t="s">
        <v>33</v>
      </c>
      <c r="K75" s="8" t="s">
        <v>34</v>
      </c>
    </row>
    <row r="76" spans="1:11" ht="18" customHeight="1">
      <c r="A76" s="5" t="s">
        <v>105</v>
      </c>
      <c r="B76" s="1" t="s">
        <v>106</v>
      </c>
    </row>
    <row r="77" spans="1:11" ht="18" customHeight="1">
      <c r="A77" s="4" t="s">
        <v>107</v>
      </c>
      <c r="B77" s="257" t="s">
        <v>54</v>
      </c>
      <c r="F77" s="13"/>
      <c r="G77" s="13"/>
      <c r="H77" s="14">
        <v>32000</v>
      </c>
      <c r="I77" s="40">
        <v>0</v>
      </c>
      <c r="J77" s="14"/>
      <c r="K77" s="15">
        <f>(H77+I77)-J77</f>
        <v>32000</v>
      </c>
    </row>
    <row r="78" spans="1:11" ht="18" customHeight="1">
      <c r="A78" s="4" t="s">
        <v>108</v>
      </c>
      <c r="B78" s="257" t="s">
        <v>55</v>
      </c>
      <c r="F78" s="13"/>
      <c r="G78" s="13"/>
      <c r="H78" s="14"/>
      <c r="I78" s="40">
        <v>0</v>
      </c>
      <c r="J78" s="14"/>
      <c r="K78" s="15">
        <f>(H78+I78)-J78</f>
        <v>0</v>
      </c>
    </row>
    <row r="79" spans="1:11" ht="18" customHeight="1">
      <c r="A79" s="4" t="s">
        <v>109</v>
      </c>
      <c r="B79" s="257" t="s">
        <v>13</v>
      </c>
      <c r="F79" s="13">
        <v>120</v>
      </c>
      <c r="G79" s="13">
        <v>600</v>
      </c>
      <c r="H79" s="14">
        <v>10660.8</v>
      </c>
      <c r="I79" s="40">
        <v>0</v>
      </c>
      <c r="J79" s="14"/>
      <c r="K79" s="15">
        <f>(H79+I79)-J79</f>
        <v>10660.8</v>
      </c>
    </row>
    <row r="80" spans="1:11" ht="18" customHeight="1">
      <c r="A80" s="4" t="s">
        <v>110</v>
      </c>
      <c r="B80" s="257" t="s">
        <v>56</v>
      </c>
      <c r="F80" s="13"/>
      <c r="G80" s="13"/>
      <c r="H80" s="14"/>
      <c r="I80" s="40">
        <v>0</v>
      </c>
      <c r="J80" s="14"/>
      <c r="K80" s="15">
        <f>(H80+I80)-J80</f>
        <v>0</v>
      </c>
    </row>
    <row r="81" spans="1:11" ht="18" customHeight="1">
      <c r="A81" s="4"/>
      <c r="K81" s="31"/>
    </row>
    <row r="82" spans="1:11" ht="18" customHeight="1">
      <c r="A82" s="4" t="s">
        <v>148</v>
      </c>
      <c r="B82" s="1" t="s">
        <v>149</v>
      </c>
      <c r="E82" s="1" t="s">
        <v>7</v>
      </c>
      <c r="F82" s="20">
        <f t="shared" ref="F82:K82" si="8">SUM(F77:F80)</f>
        <v>120</v>
      </c>
      <c r="G82" s="20">
        <f t="shared" si="8"/>
        <v>600</v>
      </c>
      <c r="H82" s="16">
        <f t="shared" si="8"/>
        <v>42660.800000000003</v>
      </c>
      <c r="I82" s="16">
        <f t="shared" si="8"/>
        <v>0</v>
      </c>
      <c r="J82" s="16">
        <f t="shared" si="8"/>
        <v>0</v>
      </c>
      <c r="K82" s="16">
        <f t="shared" si="8"/>
        <v>42660.800000000003</v>
      </c>
    </row>
    <row r="83" spans="1:11" ht="18" customHeight="1" thickBot="1">
      <c r="A83" s="4"/>
      <c r="F83" s="23"/>
      <c r="G83" s="23"/>
      <c r="H83" s="23"/>
      <c r="I83" s="23"/>
      <c r="J83" s="23"/>
      <c r="K83" s="23"/>
    </row>
    <row r="84" spans="1:11" ht="42.75" customHeight="1">
      <c r="F84" s="8" t="s">
        <v>9</v>
      </c>
      <c r="G84" s="8" t="s">
        <v>37</v>
      </c>
      <c r="H84" s="8" t="s">
        <v>29</v>
      </c>
      <c r="I84" s="8" t="s">
        <v>30</v>
      </c>
      <c r="J84" s="8" t="s">
        <v>33</v>
      </c>
      <c r="K84" s="8" t="s">
        <v>34</v>
      </c>
    </row>
    <row r="85" spans="1:11" ht="18" customHeight="1">
      <c r="A85" s="5" t="s">
        <v>111</v>
      </c>
      <c r="B85" s="1" t="s">
        <v>57</v>
      </c>
    </row>
    <row r="86" spans="1:11" ht="18" customHeight="1">
      <c r="A86" s="4" t="s">
        <v>112</v>
      </c>
      <c r="B86" s="257" t="s">
        <v>113</v>
      </c>
      <c r="F86" s="13"/>
      <c r="G86" s="13"/>
      <c r="H86" s="14"/>
      <c r="I86" s="40">
        <f t="shared" ref="I86:I96" si="9">H86*F$114</f>
        <v>0</v>
      </c>
      <c r="J86" s="14"/>
      <c r="K86" s="15">
        <f t="shared" ref="K86:K96" si="10">(H86+I86)-J86</f>
        <v>0</v>
      </c>
    </row>
    <row r="87" spans="1:11" ht="18" customHeight="1">
      <c r="A87" s="4" t="s">
        <v>114</v>
      </c>
      <c r="B87" s="257" t="s">
        <v>14</v>
      </c>
      <c r="F87" s="13"/>
      <c r="G87" s="13"/>
      <c r="H87" s="14"/>
      <c r="I87" s="40">
        <f t="shared" si="9"/>
        <v>0</v>
      </c>
      <c r="J87" s="14"/>
      <c r="K87" s="15">
        <f t="shared" si="10"/>
        <v>0</v>
      </c>
    </row>
    <row r="88" spans="1:11" ht="18" customHeight="1">
      <c r="A88" s="4" t="s">
        <v>115</v>
      </c>
      <c r="B88" s="257" t="s">
        <v>116</v>
      </c>
      <c r="F88" s="13"/>
      <c r="G88" s="13"/>
      <c r="H88" s="14">
        <v>25500</v>
      </c>
      <c r="I88" s="40">
        <f t="shared" si="9"/>
        <v>14795.1</v>
      </c>
      <c r="J88" s="14"/>
      <c r="K88" s="15">
        <f t="shared" si="10"/>
        <v>40295.1</v>
      </c>
    </row>
    <row r="89" spans="1:11" ht="18" customHeight="1">
      <c r="A89" s="4" t="s">
        <v>117</v>
      </c>
      <c r="B89" s="257" t="s">
        <v>58</v>
      </c>
      <c r="F89" s="13"/>
      <c r="G89" s="13"/>
      <c r="H89" s="14"/>
      <c r="I89" s="40">
        <f t="shared" si="9"/>
        <v>0</v>
      </c>
      <c r="J89" s="14"/>
      <c r="K89" s="15">
        <f t="shared" si="10"/>
        <v>0</v>
      </c>
    </row>
    <row r="90" spans="1:11" ht="18" customHeight="1">
      <c r="A90" s="4" t="s">
        <v>118</v>
      </c>
      <c r="B90" s="931" t="s">
        <v>59</v>
      </c>
      <c r="C90" s="939"/>
      <c r="F90" s="13"/>
      <c r="G90" s="13"/>
      <c r="H90" s="14"/>
      <c r="I90" s="40">
        <f t="shared" si="9"/>
        <v>0</v>
      </c>
      <c r="J90" s="14"/>
      <c r="K90" s="15">
        <f t="shared" si="10"/>
        <v>0</v>
      </c>
    </row>
    <row r="91" spans="1:11" ht="18" customHeight="1">
      <c r="A91" s="4" t="s">
        <v>119</v>
      </c>
      <c r="B91" s="257" t="s">
        <v>60</v>
      </c>
      <c r="F91" s="13"/>
      <c r="G91" s="13"/>
      <c r="H91" s="14"/>
      <c r="I91" s="40">
        <f t="shared" si="9"/>
        <v>0</v>
      </c>
      <c r="J91" s="14"/>
      <c r="K91" s="15">
        <f t="shared" si="10"/>
        <v>0</v>
      </c>
    </row>
    <row r="92" spans="1:11" ht="18" customHeight="1">
      <c r="A92" s="4" t="s">
        <v>120</v>
      </c>
      <c r="B92" s="257" t="s">
        <v>121</v>
      </c>
      <c r="F92" s="29"/>
      <c r="G92" s="29"/>
      <c r="H92" s="30"/>
      <c r="I92" s="40">
        <f t="shared" si="9"/>
        <v>0</v>
      </c>
      <c r="J92" s="30"/>
      <c r="K92" s="15">
        <f t="shared" si="10"/>
        <v>0</v>
      </c>
    </row>
    <row r="93" spans="1:11" ht="18" customHeight="1">
      <c r="A93" s="4" t="s">
        <v>122</v>
      </c>
      <c r="B93" s="257" t="s">
        <v>123</v>
      </c>
      <c r="F93" s="13"/>
      <c r="G93" s="13"/>
      <c r="H93" s="14"/>
      <c r="I93" s="40">
        <f t="shared" si="9"/>
        <v>0</v>
      </c>
      <c r="J93" s="14"/>
      <c r="K93" s="15">
        <f t="shared" si="10"/>
        <v>0</v>
      </c>
    </row>
    <row r="94" spans="1:11" ht="18" customHeight="1">
      <c r="A94" s="4" t="s">
        <v>124</v>
      </c>
      <c r="B94" s="932"/>
      <c r="C94" s="933"/>
      <c r="D94" s="934"/>
      <c r="F94" s="13"/>
      <c r="G94" s="13"/>
      <c r="H94" s="14"/>
      <c r="I94" s="40">
        <f t="shared" si="9"/>
        <v>0</v>
      </c>
      <c r="J94" s="14"/>
      <c r="K94" s="15">
        <f t="shared" si="10"/>
        <v>0</v>
      </c>
    </row>
    <row r="95" spans="1:11" ht="18" customHeight="1">
      <c r="A95" s="4" t="s">
        <v>125</v>
      </c>
      <c r="B95" s="932"/>
      <c r="C95" s="933"/>
      <c r="D95" s="934"/>
      <c r="F95" s="13"/>
      <c r="G95" s="13"/>
      <c r="H95" s="14"/>
      <c r="I95" s="40">
        <f t="shared" si="9"/>
        <v>0</v>
      </c>
      <c r="J95" s="14"/>
      <c r="K95" s="15">
        <f t="shared" si="10"/>
        <v>0</v>
      </c>
    </row>
    <row r="96" spans="1:11" ht="18" customHeight="1">
      <c r="A96" s="4" t="s">
        <v>126</v>
      </c>
      <c r="B96" s="932"/>
      <c r="C96" s="933"/>
      <c r="D96" s="934"/>
      <c r="F96" s="13"/>
      <c r="G96" s="13"/>
      <c r="H96" s="14"/>
      <c r="I96" s="40">
        <f t="shared" si="9"/>
        <v>0</v>
      </c>
      <c r="J96" s="14"/>
      <c r="K96" s="15">
        <f t="shared" si="10"/>
        <v>0</v>
      </c>
    </row>
    <row r="97" spans="1:11" ht="18" customHeight="1">
      <c r="A97" s="4"/>
      <c r="B97" s="257"/>
    </row>
    <row r="98" spans="1:11" ht="18" customHeight="1">
      <c r="A98" s="5" t="s">
        <v>150</v>
      </c>
      <c r="B98" s="1" t="s">
        <v>151</v>
      </c>
      <c r="E98" s="1" t="s">
        <v>7</v>
      </c>
      <c r="F98" s="17">
        <f t="shared" ref="F98:K98" si="11">SUM(F86:F96)</f>
        <v>0</v>
      </c>
      <c r="G98" s="17">
        <f t="shared" si="11"/>
        <v>0</v>
      </c>
      <c r="H98" s="17">
        <f t="shared" si="11"/>
        <v>25500</v>
      </c>
      <c r="I98" s="17">
        <f t="shared" si="11"/>
        <v>14795.1</v>
      </c>
      <c r="J98" s="17">
        <f t="shared" si="11"/>
        <v>0</v>
      </c>
      <c r="K98" s="17">
        <f t="shared" si="11"/>
        <v>40295.1</v>
      </c>
    </row>
    <row r="99" spans="1:11" ht="18" customHeight="1" thickBot="1">
      <c r="B99" s="1"/>
      <c r="F99" s="23"/>
      <c r="G99" s="23"/>
      <c r="H99" s="23"/>
      <c r="I99" s="23"/>
      <c r="J99" s="23"/>
      <c r="K99" s="23"/>
    </row>
    <row r="100" spans="1:11" ht="42.75" customHeight="1">
      <c r="F100" s="8" t="s">
        <v>9</v>
      </c>
      <c r="G100" s="8" t="s">
        <v>37</v>
      </c>
      <c r="H100" s="8" t="s">
        <v>29</v>
      </c>
      <c r="I100" s="8" t="s">
        <v>30</v>
      </c>
      <c r="J100" s="8" t="s">
        <v>33</v>
      </c>
      <c r="K100" s="8" t="s">
        <v>34</v>
      </c>
    </row>
    <row r="101" spans="1:11" ht="18" customHeight="1">
      <c r="A101" s="5" t="s">
        <v>130</v>
      </c>
      <c r="B101" s="1" t="s">
        <v>63</v>
      </c>
    </row>
    <row r="102" spans="1:11" ht="18" customHeight="1">
      <c r="A102" s="4" t="s">
        <v>131</v>
      </c>
      <c r="B102" s="257" t="s">
        <v>152</v>
      </c>
      <c r="F102" s="13">
        <v>6450</v>
      </c>
      <c r="G102" s="13"/>
      <c r="H102" s="14">
        <v>190552</v>
      </c>
      <c r="I102" s="40">
        <f>H102*F$114</f>
        <v>110558.27040000001</v>
      </c>
      <c r="J102" s="14"/>
      <c r="K102" s="15">
        <f>(H102+I102)-J102</f>
        <v>301110.27040000004</v>
      </c>
    </row>
    <row r="103" spans="1:11" ht="18" customHeight="1">
      <c r="A103" s="4" t="s">
        <v>132</v>
      </c>
      <c r="B103" s="931" t="s">
        <v>62</v>
      </c>
      <c r="C103" s="931"/>
      <c r="F103" s="13"/>
      <c r="G103" s="13"/>
      <c r="H103" s="14"/>
      <c r="I103" s="40">
        <f>H103*F$114</f>
        <v>0</v>
      </c>
      <c r="J103" s="14"/>
      <c r="K103" s="15">
        <f>(H103+I103)-J103</f>
        <v>0</v>
      </c>
    </row>
    <row r="104" spans="1:11" ht="18" customHeight="1">
      <c r="A104" s="4" t="s">
        <v>128</v>
      </c>
      <c r="B104" s="932"/>
      <c r="C104" s="933"/>
      <c r="D104" s="934"/>
      <c r="F104" s="13"/>
      <c r="G104" s="13"/>
      <c r="H104" s="14"/>
      <c r="I104" s="40">
        <f>H104*F$114</f>
        <v>0</v>
      </c>
      <c r="J104" s="14"/>
      <c r="K104" s="15">
        <f>(H104+I104)-J104</f>
        <v>0</v>
      </c>
    </row>
    <row r="105" spans="1:11" ht="18" customHeight="1">
      <c r="A105" s="4" t="s">
        <v>127</v>
      </c>
      <c r="B105" s="932"/>
      <c r="C105" s="933"/>
      <c r="D105" s="934"/>
      <c r="F105" s="13"/>
      <c r="G105" s="13"/>
      <c r="H105" s="14"/>
      <c r="I105" s="40">
        <f>H105*F$114</f>
        <v>0</v>
      </c>
      <c r="J105" s="14"/>
      <c r="K105" s="15">
        <f>(H105+I105)-J105</f>
        <v>0</v>
      </c>
    </row>
    <row r="106" spans="1:11" ht="18" customHeight="1">
      <c r="A106" s="4" t="s">
        <v>129</v>
      </c>
      <c r="B106" s="932"/>
      <c r="C106" s="933"/>
      <c r="D106" s="934"/>
      <c r="F106" s="13"/>
      <c r="G106" s="13"/>
      <c r="H106" s="14"/>
      <c r="I106" s="40">
        <f>H106*F$114</f>
        <v>0</v>
      </c>
      <c r="J106" s="14"/>
      <c r="K106" s="15">
        <f>(H106+I106)-J106</f>
        <v>0</v>
      </c>
    </row>
    <row r="107" spans="1:11" ht="18" customHeight="1">
      <c r="B107" s="1"/>
    </row>
    <row r="108" spans="1:11" s="9" customFormat="1" ht="18" customHeight="1">
      <c r="A108" s="5" t="s">
        <v>153</v>
      </c>
      <c r="B108" s="52" t="s">
        <v>154</v>
      </c>
      <c r="C108"/>
      <c r="D108"/>
      <c r="E108" s="1" t="s">
        <v>7</v>
      </c>
      <c r="F108" s="17">
        <f t="shared" ref="F108:K108" si="12">SUM(F102:F106)</f>
        <v>6450</v>
      </c>
      <c r="G108" s="17">
        <f t="shared" si="12"/>
        <v>0</v>
      </c>
      <c r="H108" s="15">
        <f t="shared" si="12"/>
        <v>190552</v>
      </c>
      <c r="I108" s="15">
        <f t="shared" si="12"/>
        <v>110558.27040000001</v>
      </c>
      <c r="J108" s="15">
        <f t="shared" si="12"/>
        <v>0</v>
      </c>
      <c r="K108" s="15">
        <f t="shared" si="12"/>
        <v>301110.27040000004</v>
      </c>
    </row>
    <row r="109" spans="1:11" s="9" customFormat="1" ht="18" customHeight="1" thickBot="1">
      <c r="A109" s="10"/>
      <c r="B109" s="11"/>
      <c r="C109" s="12"/>
      <c r="D109" s="12"/>
      <c r="E109" s="12"/>
      <c r="F109" s="23"/>
      <c r="G109" s="23"/>
      <c r="H109" s="23"/>
      <c r="I109" s="23"/>
      <c r="J109" s="23"/>
      <c r="K109" s="23"/>
    </row>
    <row r="110" spans="1:11" s="9" customFormat="1" ht="18" customHeight="1">
      <c r="A110" s="5" t="s">
        <v>156</v>
      </c>
      <c r="B110" s="1" t="s">
        <v>39</v>
      </c>
      <c r="C110"/>
      <c r="D110"/>
      <c r="E110"/>
      <c r="F110"/>
      <c r="G110"/>
      <c r="H110"/>
      <c r="I110"/>
      <c r="J110"/>
      <c r="K110"/>
    </row>
    <row r="111" spans="1:11" ht="18" customHeight="1">
      <c r="A111" s="5" t="s">
        <v>155</v>
      </c>
      <c r="B111" s="1" t="s">
        <v>164</v>
      </c>
      <c r="E111" s="1" t="s">
        <v>7</v>
      </c>
      <c r="F111" s="14">
        <f>1674433</f>
        <v>1674433</v>
      </c>
    </row>
    <row r="112" spans="1:11" ht="18" customHeight="1">
      <c r="B112" s="1"/>
      <c r="E112" s="1"/>
      <c r="F112" s="21"/>
    </row>
    <row r="113" spans="1:6" ht="18" customHeight="1">
      <c r="A113" s="5"/>
      <c r="B113" s="1" t="s">
        <v>15</v>
      </c>
    </row>
    <row r="114" spans="1:6" ht="18" customHeight="1">
      <c r="A114" s="4" t="s">
        <v>171</v>
      </c>
      <c r="B114" s="257" t="s">
        <v>35</v>
      </c>
      <c r="F114" s="24">
        <v>0.58020000000000005</v>
      </c>
    </row>
    <row r="115" spans="1:6" ht="18" customHeight="1">
      <c r="A115" s="4"/>
      <c r="B115" s="1"/>
    </row>
    <row r="116" spans="1:6" ht="18" customHeight="1">
      <c r="A116" s="4" t="s">
        <v>170</v>
      </c>
      <c r="B116" s="1" t="s">
        <v>16</v>
      </c>
    </row>
    <row r="117" spans="1:6" ht="18" customHeight="1">
      <c r="A117" s="4" t="s">
        <v>172</v>
      </c>
      <c r="B117" s="257" t="s">
        <v>17</v>
      </c>
      <c r="F117" s="14">
        <v>391704000</v>
      </c>
    </row>
    <row r="118" spans="1:6" ht="18" customHeight="1">
      <c r="A118" s="4" t="s">
        <v>173</v>
      </c>
      <c r="B118" t="s">
        <v>18</v>
      </c>
      <c r="F118" s="14">
        <v>20441000</v>
      </c>
    </row>
    <row r="119" spans="1:6" ht="18" customHeight="1">
      <c r="A119" s="4" t="s">
        <v>174</v>
      </c>
      <c r="B119" s="1" t="s">
        <v>19</v>
      </c>
      <c r="F119" s="16">
        <f>SUM(F117:F118)</f>
        <v>412145000</v>
      </c>
    </row>
    <row r="120" spans="1:6" ht="18" customHeight="1">
      <c r="A120" s="4"/>
      <c r="B120" s="1"/>
    </row>
    <row r="121" spans="1:6" ht="18" customHeight="1">
      <c r="A121" s="4" t="s">
        <v>167</v>
      </c>
      <c r="B121" s="1" t="s">
        <v>36</v>
      </c>
      <c r="F121" s="14">
        <v>392457000</v>
      </c>
    </row>
    <row r="122" spans="1:6" ht="18" customHeight="1">
      <c r="A122" s="4"/>
    </row>
    <row r="123" spans="1:6" ht="18" customHeight="1">
      <c r="A123" s="4" t="s">
        <v>175</v>
      </c>
      <c r="B123" s="1" t="s">
        <v>20</v>
      </c>
      <c r="F123" s="14">
        <v>19688000</v>
      </c>
    </row>
    <row r="124" spans="1:6" ht="18" customHeight="1">
      <c r="A124" s="4"/>
    </row>
    <row r="125" spans="1:6" ht="18" customHeight="1">
      <c r="A125" s="4" t="s">
        <v>176</v>
      </c>
      <c r="B125" s="1" t="s">
        <v>21</v>
      </c>
      <c r="F125" s="14">
        <f>540000+4560000-2477000</f>
        <v>2623000</v>
      </c>
    </row>
    <row r="126" spans="1:6" ht="18" customHeight="1">
      <c r="A126" s="4"/>
    </row>
    <row r="127" spans="1:6" ht="18" customHeight="1">
      <c r="A127" s="4" t="s">
        <v>177</v>
      </c>
      <c r="B127" s="1" t="s">
        <v>22</v>
      </c>
      <c r="F127" s="14">
        <f>F123+F125</f>
        <v>22311000</v>
      </c>
    </row>
    <row r="128" spans="1:6" ht="18" customHeight="1">
      <c r="A128" s="4"/>
    </row>
    <row r="129" spans="1:11" ht="42.75" customHeight="1">
      <c r="F129" s="8" t="s">
        <v>9</v>
      </c>
      <c r="G129" s="8" t="s">
        <v>37</v>
      </c>
      <c r="H129" s="8" t="s">
        <v>29</v>
      </c>
      <c r="I129" s="8" t="s">
        <v>30</v>
      </c>
      <c r="J129" s="8" t="s">
        <v>33</v>
      </c>
      <c r="K129" s="8" t="s">
        <v>34</v>
      </c>
    </row>
    <row r="130" spans="1:11" ht="18" customHeight="1">
      <c r="A130" s="5" t="s">
        <v>157</v>
      </c>
      <c r="B130" s="1" t="s">
        <v>23</v>
      </c>
    </row>
    <row r="131" spans="1:11" ht="18" customHeight="1">
      <c r="A131" s="4" t="s">
        <v>158</v>
      </c>
      <c r="B131" t="s">
        <v>24</v>
      </c>
      <c r="F131" s="13"/>
      <c r="G131" s="13"/>
      <c r="H131" s="14"/>
      <c r="I131" s="40">
        <v>0</v>
      </c>
      <c r="J131" s="14"/>
      <c r="K131" s="15">
        <f>(H131+I131)-J131</f>
        <v>0</v>
      </c>
    </row>
    <row r="132" spans="1:11" ht="18" customHeight="1">
      <c r="A132" s="4" t="s">
        <v>159</v>
      </c>
      <c r="B132" t="s">
        <v>25</v>
      </c>
      <c r="F132" s="13"/>
      <c r="G132" s="13"/>
      <c r="H132" s="14"/>
      <c r="I132" s="40">
        <v>0</v>
      </c>
      <c r="J132" s="14"/>
      <c r="K132" s="15">
        <f>(H132+I132)-J132</f>
        <v>0</v>
      </c>
    </row>
    <row r="133" spans="1:11" ht="18" customHeight="1">
      <c r="A133" s="4" t="s">
        <v>160</v>
      </c>
      <c r="B133" s="893"/>
      <c r="C133" s="894"/>
      <c r="D133" s="895"/>
      <c r="F133" s="13"/>
      <c r="G133" s="13"/>
      <c r="H133" s="14"/>
      <c r="I133" s="40">
        <v>0</v>
      </c>
      <c r="J133" s="14"/>
      <c r="K133" s="15">
        <f>(H133+I133)-J133</f>
        <v>0</v>
      </c>
    </row>
    <row r="134" spans="1:11" ht="18" customHeight="1">
      <c r="A134" s="4" t="s">
        <v>161</v>
      </c>
      <c r="B134" s="893"/>
      <c r="C134" s="894"/>
      <c r="D134" s="895"/>
      <c r="F134" s="13"/>
      <c r="G134" s="13"/>
      <c r="H134" s="14"/>
      <c r="I134" s="40">
        <v>0</v>
      </c>
      <c r="J134" s="14"/>
      <c r="K134" s="15">
        <f>(H134+I134)-J134</f>
        <v>0</v>
      </c>
    </row>
    <row r="135" spans="1:11" ht="18" customHeight="1">
      <c r="A135" s="4" t="s">
        <v>162</v>
      </c>
      <c r="B135" s="893"/>
      <c r="C135" s="894"/>
      <c r="D135" s="895"/>
      <c r="F135" s="13"/>
      <c r="G135" s="13"/>
      <c r="H135" s="14"/>
      <c r="I135" s="40">
        <v>0</v>
      </c>
      <c r="J135" s="14"/>
      <c r="K135" s="15">
        <f>(H135+I135)-J135</f>
        <v>0</v>
      </c>
    </row>
    <row r="136" spans="1:11" ht="18" customHeight="1">
      <c r="A136" s="5"/>
    </row>
    <row r="137" spans="1:11" ht="18" customHeight="1">
      <c r="A137" s="5" t="s">
        <v>163</v>
      </c>
      <c r="B137" s="1" t="s">
        <v>27</v>
      </c>
      <c r="F137" s="17">
        <f t="shared" ref="F137:K137" si="13">SUM(F131:F135)</f>
        <v>0</v>
      </c>
      <c r="G137" s="17">
        <f t="shared" si="13"/>
        <v>0</v>
      </c>
      <c r="H137" s="15">
        <f t="shared" si="13"/>
        <v>0</v>
      </c>
      <c r="I137" s="15">
        <f t="shared" si="13"/>
        <v>0</v>
      </c>
      <c r="J137" s="15">
        <f t="shared" si="13"/>
        <v>0</v>
      </c>
      <c r="K137" s="15">
        <f t="shared" si="13"/>
        <v>0</v>
      </c>
    </row>
    <row r="138" spans="1:11" ht="18" customHeight="1">
      <c r="A138"/>
    </row>
    <row r="139" spans="1:11" ht="42.75" customHeight="1">
      <c r="F139" s="8" t="s">
        <v>9</v>
      </c>
      <c r="G139" s="8" t="s">
        <v>37</v>
      </c>
      <c r="H139" s="8" t="s">
        <v>29</v>
      </c>
      <c r="I139" s="8" t="s">
        <v>30</v>
      </c>
      <c r="J139" s="8" t="s">
        <v>33</v>
      </c>
      <c r="K139" s="8" t="s">
        <v>34</v>
      </c>
    </row>
    <row r="140" spans="1:11" ht="18" customHeight="1">
      <c r="A140" s="5" t="s">
        <v>166</v>
      </c>
      <c r="B140" s="1" t="s">
        <v>26</v>
      </c>
    </row>
    <row r="141" spans="1:11" ht="18" customHeight="1">
      <c r="A141" s="4" t="s">
        <v>137</v>
      </c>
      <c r="B141" s="1" t="s">
        <v>64</v>
      </c>
      <c r="F141" s="32">
        <f t="shared" ref="F141:K141" si="14">F36</f>
        <v>2551.75</v>
      </c>
      <c r="G141" s="32">
        <f t="shared" si="14"/>
        <v>12611</v>
      </c>
      <c r="H141" s="32">
        <f t="shared" si="14"/>
        <v>488367.23</v>
      </c>
      <c r="I141" s="32">
        <f t="shared" si="14"/>
        <v>283350.66684600001</v>
      </c>
      <c r="J141" s="32">
        <f t="shared" si="14"/>
        <v>1633</v>
      </c>
      <c r="K141" s="32">
        <f t="shared" si="14"/>
        <v>770084.89684599999</v>
      </c>
    </row>
    <row r="142" spans="1:11" ht="18" customHeight="1">
      <c r="A142" s="4" t="s">
        <v>142</v>
      </c>
      <c r="B142" s="1" t="s">
        <v>65</v>
      </c>
      <c r="F142" s="32">
        <f t="shared" ref="F142:K142" si="15">F49</f>
        <v>161673</v>
      </c>
      <c r="G142" s="32">
        <f t="shared" si="15"/>
        <v>0</v>
      </c>
      <c r="H142" s="32">
        <f t="shared" si="15"/>
        <v>6305686</v>
      </c>
      <c r="I142" s="32">
        <f t="shared" si="15"/>
        <v>3658559.0172000001</v>
      </c>
      <c r="J142" s="32">
        <f t="shared" si="15"/>
        <v>84250</v>
      </c>
      <c r="K142" s="32">
        <f t="shared" si="15"/>
        <v>9879995.0172000006</v>
      </c>
    </row>
    <row r="143" spans="1:11" ht="18" customHeight="1">
      <c r="A143" s="4" t="s">
        <v>144</v>
      </c>
      <c r="B143" s="1" t="s">
        <v>66</v>
      </c>
      <c r="F143" s="32">
        <f t="shared" ref="F143:K143" si="16">F64</f>
        <v>8426.9</v>
      </c>
      <c r="G143" s="32">
        <f t="shared" si="16"/>
        <v>3098</v>
      </c>
      <c r="H143" s="32">
        <f t="shared" si="16"/>
        <v>1324352.7</v>
      </c>
      <c r="I143" s="32">
        <f t="shared" si="16"/>
        <v>756411.96180000005</v>
      </c>
      <c r="J143" s="32">
        <f t="shared" si="16"/>
        <v>717434</v>
      </c>
      <c r="K143" s="32">
        <f t="shared" si="16"/>
        <v>1363330.6618000001</v>
      </c>
    </row>
    <row r="144" spans="1:11" ht="18" customHeight="1">
      <c r="A144" s="4" t="s">
        <v>146</v>
      </c>
      <c r="B144" s="1" t="s">
        <v>67</v>
      </c>
      <c r="F144" s="32">
        <f t="shared" ref="F144:K144" si="17">F74</f>
        <v>0</v>
      </c>
      <c r="G144" s="32">
        <f t="shared" si="17"/>
        <v>0</v>
      </c>
      <c r="H144" s="32">
        <f t="shared" si="17"/>
        <v>330529</v>
      </c>
      <c r="I144" s="32">
        <f t="shared" si="17"/>
        <v>191772.92580000003</v>
      </c>
      <c r="J144" s="32">
        <f t="shared" si="17"/>
        <v>0</v>
      </c>
      <c r="K144" s="32">
        <f t="shared" si="17"/>
        <v>522301.92580000003</v>
      </c>
    </row>
    <row r="145" spans="1:11" ht="18" customHeight="1">
      <c r="A145" s="4" t="s">
        <v>148</v>
      </c>
      <c r="B145" s="1" t="s">
        <v>68</v>
      </c>
      <c r="F145" s="32">
        <f t="shared" ref="F145:K145" si="18">F82</f>
        <v>120</v>
      </c>
      <c r="G145" s="32">
        <f t="shared" si="18"/>
        <v>600</v>
      </c>
      <c r="H145" s="32">
        <f t="shared" si="18"/>
        <v>42660.800000000003</v>
      </c>
      <c r="I145" s="32">
        <f t="shared" si="18"/>
        <v>0</v>
      </c>
      <c r="J145" s="32">
        <f t="shared" si="18"/>
        <v>0</v>
      </c>
      <c r="K145" s="32">
        <f t="shared" si="18"/>
        <v>42660.800000000003</v>
      </c>
    </row>
    <row r="146" spans="1:11" ht="18" customHeight="1">
      <c r="A146" s="4" t="s">
        <v>150</v>
      </c>
      <c r="B146" s="1" t="s">
        <v>69</v>
      </c>
      <c r="F146" s="32">
        <f t="shared" ref="F146:K146" si="19">F98</f>
        <v>0</v>
      </c>
      <c r="G146" s="32">
        <f t="shared" si="19"/>
        <v>0</v>
      </c>
      <c r="H146" s="32">
        <f t="shared" si="19"/>
        <v>25500</v>
      </c>
      <c r="I146" s="32">
        <f t="shared" si="19"/>
        <v>14795.1</v>
      </c>
      <c r="J146" s="32">
        <f t="shared" si="19"/>
        <v>0</v>
      </c>
      <c r="K146" s="32">
        <f t="shared" si="19"/>
        <v>40295.1</v>
      </c>
    </row>
    <row r="147" spans="1:11" ht="18" customHeight="1">
      <c r="A147" s="4" t="s">
        <v>153</v>
      </c>
      <c r="B147" s="1" t="s">
        <v>61</v>
      </c>
      <c r="F147" s="17">
        <f t="shared" ref="F147:K147" si="20">F108</f>
        <v>6450</v>
      </c>
      <c r="G147" s="17">
        <f t="shared" si="20"/>
        <v>0</v>
      </c>
      <c r="H147" s="17">
        <f t="shared" si="20"/>
        <v>190552</v>
      </c>
      <c r="I147" s="17">
        <f t="shared" si="20"/>
        <v>110558.27040000001</v>
      </c>
      <c r="J147" s="17">
        <f t="shared" si="20"/>
        <v>0</v>
      </c>
      <c r="K147" s="17">
        <f t="shared" si="20"/>
        <v>301110.27040000004</v>
      </c>
    </row>
    <row r="148" spans="1:11" ht="18" customHeight="1">
      <c r="A148" s="4" t="s">
        <v>155</v>
      </c>
      <c r="B148" s="1" t="s">
        <v>70</v>
      </c>
      <c r="F148" s="33" t="s">
        <v>73</v>
      </c>
      <c r="G148" s="33" t="s">
        <v>73</v>
      </c>
      <c r="H148" s="34" t="s">
        <v>73</v>
      </c>
      <c r="I148" s="34" t="s">
        <v>73</v>
      </c>
      <c r="J148" s="34" t="s">
        <v>73</v>
      </c>
      <c r="K148" s="28">
        <f>F111</f>
        <v>1674433</v>
      </c>
    </row>
    <row r="149" spans="1:11" ht="18" customHeight="1">
      <c r="A149" s="4" t="s">
        <v>163</v>
      </c>
      <c r="B149" s="1" t="s">
        <v>71</v>
      </c>
      <c r="F149" s="17">
        <f t="shared" ref="F149:K149" si="21">F137</f>
        <v>0</v>
      </c>
      <c r="G149" s="17">
        <f t="shared" si="21"/>
        <v>0</v>
      </c>
      <c r="H149" s="17">
        <f t="shared" si="21"/>
        <v>0</v>
      </c>
      <c r="I149" s="17">
        <f t="shared" si="21"/>
        <v>0</v>
      </c>
      <c r="J149" s="17">
        <f t="shared" si="21"/>
        <v>0</v>
      </c>
      <c r="K149" s="17">
        <f t="shared" si="21"/>
        <v>0</v>
      </c>
    </row>
    <row r="150" spans="1:11" ht="18" customHeight="1">
      <c r="A150" s="4" t="s">
        <v>185</v>
      </c>
      <c r="B150" s="1" t="s">
        <v>186</v>
      </c>
      <c r="F150" s="33" t="s">
        <v>73</v>
      </c>
      <c r="G150" s="33" t="s">
        <v>73</v>
      </c>
      <c r="H150" s="17">
        <f>H18</f>
        <v>10854616</v>
      </c>
      <c r="I150" s="17">
        <f>I18</f>
        <v>0</v>
      </c>
      <c r="J150" s="17">
        <f>J18</f>
        <v>9282054</v>
      </c>
      <c r="K150" s="17">
        <f>K18</f>
        <v>1572562</v>
      </c>
    </row>
    <row r="151" spans="1:11" ht="18" customHeight="1">
      <c r="B151" s="1"/>
      <c r="F151" s="38"/>
      <c r="G151" s="38"/>
      <c r="H151" s="38"/>
      <c r="I151" s="38"/>
      <c r="J151" s="38"/>
      <c r="K151" s="38"/>
    </row>
    <row r="152" spans="1:11" ht="18" customHeight="1">
      <c r="A152" s="5" t="s">
        <v>165</v>
      </c>
      <c r="B152" s="1" t="s">
        <v>26</v>
      </c>
      <c r="F152" s="39">
        <f t="shared" ref="F152:K152" si="22">SUM(F141:F150)</f>
        <v>179221.65</v>
      </c>
      <c r="G152" s="39">
        <f t="shared" si="22"/>
        <v>16309</v>
      </c>
      <c r="H152" s="39">
        <f t="shared" si="22"/>
        <v>19562263.73</v>
      </c>
      <c r="I152" s="39">
        <f t="shared" si="22"/>
        <v>5015447.9420459997</v>
      </c>
      <c r="J152" s="39">
        <f t="shared" si="22"/>
        <v>10085371</v>
      </c>
      <c r="K152" s="39">
        <f t="shared" si="22"/>
        <v>16166773.672046002</v>
      </c>
    </row>
    <row r="154" spans="1:11" ht="18" customHeight="1">
      <c r="A154" s="5" t="s">
        <v>168</v>
      </c>
      <c r="B154" s="1" t="s">
        <v>28</v>
      </c>
      <c r="F154" s="53">
        <f>K152/F121</f>
        <v>4.1193745230804907E-2</v>
      </c>
    </row>
    <row r="155" spans="1:11" ht="18" customHeight="1">
      <c r="A155" s="5" t="s">
        <v>169</v>
      </c>
      <c r="B155" s="1" t="s">
        <v>72</v>
      </c>
      <c r="F155" s="53">
        <f>K152/F127</f>
        <v>0.72460999829886608</v>
      </c>
      <c r="G155" s="1"/>
    </row>
    <row r="156" spans="1:11" ht="18" customHeight="1">
      <c r="G156" s="1"/>
    </row>
  </sheetData>
  <sheetProtection algorithmName="SHA-512" hashValue="iVvdvBFvLJrCQayOzWBOnlmmkvSOlg0vsuWfxw4ykvUWsRMIU69Eos4F9LU4n3blGdfrud4L5z60Zw6vfmvLvQ==" saltValue="dNfDTr1s26G+Dg2uXX89nw==" spinCount="100000" sheet="1" objects="1" scenarios="1"/>
  <mergeCells count="34">
    <mergeCell ref="D2:H2"/>
    <mergeCell ref="B45:D45"/>
    <mergeCell ref="B46:D46"/>
    <mergeCell ref="B47:D47"/>
    <mergeCell ref="B34:D34"/>
    <mergeCell ref="C11:G11"/>
    <mergeCell ref="B41:C41"/>
    <mergeCell ref="B44:D44"/>
    <mergeCell ref="B13:H13"/>
    <mergeCell ref="C5:G5"/>
    <mergeCell ref="C6:G6"/>
    <mergeCell ref="C7:G7"/>
    <mergeCell ref="C9:G9"/>
    <mergeCell ref="C10:G10"/>
    <mergeCell ref="B30:D30"/>
    <mergeCell ref="B62:D62"/>
    <mergeCell ref="B31:D31"/>
    <mergeCell ref="B103:C103"/>
    <mergeCell ref="B96:D96"/>
    <mergeCell ref="B95:D95"/>
    <mergeCell ref="B57:D57"/>
    <mergeCell ref="B94:D94"/>
    <mergeCell ref="B52:C52"/>
    <mergeCell ref="B90:C90"/>
    <mergeCell ref="B53:D53"/>
    <mergeCell ref="B55:D55"/>
    <mergeCell ref="B56:D56"/>
    <mergeCell ref="B59:D59"/>
    <mergeCell ref="B134:D134"/>
    <mergeCell ref="B135:D135"/>
    <mergeCell ref="B133:D133"/>
    <mergeCell ref="B104:D104"/>
    <mergeCell ref="B105:D105"/>
    <mergeCell ref="B106:D106"/>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K156"/>
  <sheetViews>
    <sheetView showGridLines="0" zoomScaleNormal="100" zoomScaleSheetLayoutView="80" workbookViewId="0">
      <selection activeCell="K18" sqref="K18"/>
    </sheetView>
  </sheetViews>
  <sheetFormatPr defaultRowHeight="18" customHeight="1"/>
  <cols>
    <col min="1" max="1" width="8.28515625" style="7" customWidth="1"/>
    <col min="2" max="2" width="55.42578125" bestFit="1" customWidth="1"/>
    <col min="3" max="3" width="9.5703125" customWidth="1"/>
    <col min="5" max="5" width="12.42578125" customWidth="1"/>
    <col min="6" max="6" width="18.5703125" customWidth="1"/>
    <col min="7" max="7" width="23.5703125" customWidth="1"/>
    <col min="8" max="8" width="17.140625" customWidth="1"/>
    <col min="9" max="9" width="21.140625" customWidth="1"/>
    <col min="10" max="10" width="19.85546875" customWidth="1"/>
    <col min="11" max="11" width="17.5703125" customWidth="1"/>
  </cols>
  <sheetData>
    <row r="1" spans="1:11" ht="18" customHeight="1">
      <c r="C1" s="3"/>
      <c r="D1" s="2"/>
      <c r="E1" s="3"/>
      <c r="F1" s="3"/>
      <c r="G1" s="3"/>
      <c r="H1" s="3"/>
      <c r="I1" s="3"/>
      <c r="J1" s="3"/>
      <c r="K1" s="3"/>
    </row>
    <row r="2" spans="1:11" ht="18" customHeight="1">
      <c r="D2" s="940" t="s">
        <v>713</v>
      </c>
      <c r="E2" s="941"/>
      <c r="F2" s="941"/>
      <c r="G2" s="941"/>
      <c r="H2" s="941"/>
    </row>
    <row r="3" spans="1:11" ht="18" customHeight="1">
      <c r="B3" s="1" t="s">
        <v>0</v>
      </c>
    </row>
    <row r="5" spans="1:11" ht="18" customHeight="1">
      <c r="B5" s="4" t="s">
        <v>40</v>
      </c>
      <c r="C5" s="942" t="s">
        <v>900</v>
      </c>
      <c r="D5" s="943"/>
      <c r="E5" s="943"/>
      <c r="F5" s="943"/>
      <c r="G5" s="944"/>
    </row>
    <row r="6" spans="1:11" ht="18" customHeight="1">
      <c r="B6" s="4" t="s">
        <v>3</v>
      </c>
      <c r="C6" s="976"/>
      <c r="D6" s="946"/>
      <c r="E6" s="946"/>
      <c r="F6" s="946"/>
      <c r="G6" s="947"/>
    </row>
    <row r="7" spans="1:11" ht="18" customHeight="1">
      <c r="B7" s="4" t="s">
        <v>4</v>
      </c>
      <c r="C7" s="948"/>
      <c r="D7" s="949"/>
      <c r="E7" s="949"/>
      <c r="F7" s="949"/>
      <c r="G7" s="950"/>
    </row>
    <row r="9" spans="1:11" ht="18" customHeight="1">
      <c r="B9" s="4" t="s">
        <v>1</v>
      </c>
      <c r="C9" s="942" t="s">
        <v>901</v>
      </c>
      <c r="D9" s="943"/>
      <c r="E9" s="943"/>
      <c r="F9" s="943"/>
      <c r="G9" s="944"/>
    </row>
    <row r="10" spans="1:11" ht="18" customHeight="1">
      <c r="B10" s="4" t="s">
        <v>2</v>
      </c>
      <c r="C10" s="951" t="s">
        <v>902</v>
      </c>
      <c r="D10" s="952"/>
      <c r="E10" s="952"/>
      <c r="F10" s="952"/>
      <c r="G10" s="953"/>
    </row>
    <row r="11" spans="1:11" ht="18" customHeight="1">
      <c r="B11" s="4" t="s">
        <v>32</v>
      </c>
      <c r="C11" s="942" t="s">
        <v>903</v>
      </c>
      <c r="D11" s="954"/>
      <c r="E11" s="954"/>
      <c r="F11" s="954"/>
      <c r="G11" s="954"/>
    </row>
    <row r="12" spans="1:11" ht="18" customHeight="1">
      <c r="B12" s="4"/>
      <c r="C12" s="4"/>
      <c r="D12" s="4"/>
      <c r="E12" s="4"/>
      <c r="F12" s="4"/>
      <c r="G12" s="4"/>
    </row>
    <row r="13" spans="1:11" ht="24.6" customHeight="1">
      <c r="B13" s="955"/>
      <c r="C13" s="956"/>
      <c r="D13" s="956"/>
      <c r="E13" s="956"/>
      <c r="F13" s="956"/>
      <c r="G13" s="956"/>
      <c r="H13" s="957"/>
      <c r="I13" s="3"/>
    </row>
    <row r="14" spans="1:11" ht="18" customHeight="1">
      <c r="B14" s="6"/>
    </row>
    <row r="15" spans="1:11" ht="18" customHeight="1">
      <c r="B15" s="6"/>
    </row>
    <row r="16" spans="1:11" ht="45" customHeight="1">
      <c r="A16" s="2" t="s">
        <v>181</v>
      </c>
      <c r="B16" s="3"/>
      <c r="C16" s="3"/>
      <c r="D16" s="3"/>
      <c r="E16" s="3"/>
      <c r="F16" s="8" t="s">
        <v>9</v>
      </c>
      <c r="G16" s="8" t="s">
        <v>37</v>
      </c>
      <c r="H16" s="8" t="s">
        <v>29</v>
      </c>
      <c r="I16" s="8" t="s">
        <v>30</v>
      </c>
      <c r="J16" s="8" t="s">
        <v>33</v>
      </c>
      <c r="K16" s="8" t="s">
        <v>34</v>
      </c>
    </row>
    <row r="17" spans="1:11" ht="18" customHeight="1">
      <c r="A17" s="5" t="s">
        <v>184</v>
      </c>
      <c r="B17" s="1" t="s">
        <v>182</v>
      </c>
    </row>
    <row r="18" spans="1:11" ht="18" customHeight="1">
      <c r="A18" s="4" t="s">
        <v>185</v>
      </c>
      <c r="B18" s="257" t="s">
        <v>183</v>
      </c>
      <c r="F18" s="13" t="s">
        <v>73</v>
      </c>
      <c r="G18" s="13" t="s">
        <v>73</v>
      </c>
      <c r="H18" s="14">
        <v>332066</v>
      </c>
      <c r="I18" s="40">
        <v>0</v>
      </c>
      <c r="J18" s="14">
        <v>283958</v>
      </c>
      <c r="K18" s="15">
        <f>(H18+I18)-J18</f>
        <v>48108</v>
      </c>
    </row>
    <row r="19" spans="1:11" ht="45" customHeight="1">
      <c r="A19" s="2" t="s">
        <v>8</v>
      </c>
      <c r="B19" s="3"/>
      <c r="C19" s="3"/>
      <c r="D19" s="3"/>
      <c r="E19" s="3"/>
      <c r="F19" s="8" t="s">
        <v>9</v>
      </c>
      <c r="G19" s="8" t="s">
        <v>37</v>
      </c>
      <c r="H19" s="8" t="s">
        <v>29</v>
      </c>
      <c r="I19" s="8" t="s">
        <v>30</v>
      </c>
      <c r="J19" s="8" t="s">
        <v>33</v>
      </c>
      <c r="K19" s="8" t="s">
        <v>34</v>
      </c>
    </row>
    <row r="20" spans="1:11" ht="18" customHeight="1">
      <c r="A20" s="5" t="s">
        <v>74</v>
      </c>
      <c r="B20" s="1" t="s">
        <v>41</v>
      </c>
    </row>
    <row r="21" spans="1:11" ht="18" customHeight="1">
      <c r="A21" s="4" t="s">
        <v>75</v>
      </c>
      <c r="B21" s="257" t="s">
        <v>42</v>
      </c>
      <c r="F21" s="13">
        <v>49</v>
      </c>
      <c r="G21" s="13">
        <v>484</v>
      </c>
      <c r="H21" s="14">
        <v>1442</v>
      </c>
      <c r="I21" s="40">
        <f t="shared" ref="I21:I34" si="0">H21*F$114</f>
        <v>1208.396</v>
      </c>
      <c r="J21" s="14"/>
      <c r="K21" s="15">
        <f t="shared" ref="K21:K34" si="1">(H21+I21)-J21</f>
        <v>2650.3959999999997</v>
      </c>
    </row>
    <row r="22" spans="1:11" ht="18" customHeight="1">
      <c r="A22" s="4" t="s">
        <v>76</v>
      </c>
      <c r="B22" t="s">
        <v>6</v>
      </c>
      <c r="F22" s="13"/>
      <c r="G22" s="13"/>
      <c r="H22" s="14"/>
      <c r="I22" s="40">
        <f t="shared" si="0"/>
        <v>0</v>
      </c>
      <c r="J22" s="14"/>
      <c r="K22" s="15">
        <f t="shared" si="1"/>
        <v>0</v>
      </c>
    </row>
    <row r="23" spans="1:11" ht="18" customHeight="1">
      <c r="A23" s="4" t="s">
        <v>77</v>
      </c>
      <c r="B23" t="s">
        <v>43</v>
      </c>
      <c r="F23" s="13"/>
      <c r="G23" s="13"/>
      <c r="H23" s="14"/>
      <c r="I23" s="40">
        <f t="shared" si="0"/>
        <v>0</v>
      </c>
      <c r="J23" s="14"/>
      <c r="K23" s="15">
        <f t="shared" si="1"/>
        <v>0</v>
      </c>
    </row>
    <row r="24" spans="1:11" ht="18" customHeight="1">
      <c r="A24" s="4" t="s">
        <v>78</v>
      </c>
      <c r="B24" t="s">
        <v>44</v>
      </c>
      <c r="F24" s="13"/>
      <c r="G24" s="13"/>
      <c r="H24" s="14"/>
      <c r="I24" s="40">
        <f t="shared" si="0"/>
        <v>0</v>
      </c>
      <c r="J24" s="14"/>
      <c r="K24" s="15">
        <f t="shared" si="1"/>
        <v>0</v>
      </c>
    </row>
    <row r="25" spans="1:11" ht="18" customHeight="1">
      <c r="A25" s="4" t="s">
        <v>79</v>
      </c>
      <c r="B25" t="s">
        <v>5</v>
      </c>
      <c r="F25" s="13">
        <v>192</v>
      </c>
      <c r="G25" s="13">
        <v>380</v>
      </c>
      <c r="H25" s="14">
        <v>5540</v>
      </c>
      <c r="I25" s="40">
        <f t="shared" si="0"/>
        <v>4642.5199999999995</v>
      </c>
      <c r="J25" s="14"/>
      <c r="K25" s="15">
        <f t="shared" si="1"/>
        <v>10182.52</v>
      </c>
    </row>
    <row r="26" spans="1:11" ht="18" customHeight="1">
      <c r="A26" s="4" t="s">
        <v>80</v>
      </c>
      <c r="B26" t="s">
        <v>45</v>
      </c>
      <c r="F26" s="13">
        <v>102</v>
      </c>
      <c r="G26" s="13">
        <v>440</v>
      </c>
      <c r="H26" s="14">
        <v>10536</v>
      </c>
      <c r="I26" s="40">
        <f t="shared" si="0"/>
        <v>8829.1679999999997</v>
      </c>
      <c r="J26" s="14"/>
      <c r="K26" s="15">
        <f t="shared" si="1"/>
        <v>19365.167999999998</v>
      </c>
    </row>
    <row r="27" spans="1:11" ht="18" customHeight="1">
      <c r="A27" s="4" t="s">
        <v>81</v>
      </c>
      <c r="B27" t="s">
        <v>46</v>
      </c>
      <c r="F27" s="13"/>
      <c r="G27" s="13"/>
      <c r="H27" s="14"/>
      <c r="I27" s="40">
        <f t="shared" si="0"/>
        <v>0</v>
      </c>
      <c r="J27" s="14"/>
      <c r="K27" s="15">
        <f t="shared" si="1"/>
        <v>0</v>
      </c>
    </row>
    <row r="28" spans="1:11" ht="18" customHeight="1">
      <c r="A28" s="4" t="s">
        <v>82</v>
      </c>
      <c r="B28" t="s">
        <v>47</v>
      </c>
      <c r="F28" s="13"/>
      <c r="G28" s="13"/>
      <c r="H28" s="14"/>
      <c r="I28" s="40">
        <f t="shared" si="0"/>
        <v>0</v>
      </c>
      <c r="J28" s="14"/>
      <c r="K28" s="15">
        <f t="shared" si="1"/>
        <v>0</v>
      </c>
    </row>
    <row r="29" spans="1:11" ht="18" customHeight="1">
      <c r="A29" s="4" t="s">
        <v>83</v>
      </c>
      <c r="B29" t="s">
        <v>48</v>
      </c>
      <c r="F29" s="13">
        <v>2456</v>
      </c>
      <c r="G29" s="13">
        <v>2071</v>
      </c>
      <c r="H29" s="14">
        <v>26757</v>
      </c>
      <c r="I29" s="40">
        <f t="shared" si="0"/>
        <v>22422.365999999998</v>
      </c>
      <c r="J29" s="14"/>
      <c r="K29" s="15">
        <f t="shared" si="1"/>
        <v>49179.365999999995</v>
      </c>
    </row>
    <row r="30" spans="1:11" ht="18" customHeight="1">
      <c r="A30" s="4" t="s">
        <v>84</v>
      </c>
      <c r="B30" s="893"/>
      <c r="C30" s="894"/>
      <c r="D30" s="895"/>
      <c r="F30" s="13"/>
      <c r="G30" s="13"/>
      <c r="H30" s="14"/>
      <c r="I30" s="40">
        <f t="shared" si="0"/>
        <v>0</v>
      </c>
      <c r="J30" s="14"/>
      <c r="K30" s="15">
        <f t="shared" si="1"/>
        <v>0</v>
      </c>
    </row>
    <row r="31" spans="1:11" ht="18" customHeight="1">
      <c r="A31" s="4" t="s">
        <v>133</v>
      </c>
      <c r="B31" s="893"/>
      <c r="C31" s="894"/>
      <c r="D31" s="895"/>
      <c r="F31" s="13"/>
      <c r="G31" s="13"/>
      <c r="H31" s="14"/>
      <c r="I31" s="40">
        <f t="shared" si="0"/>
        <v>0</v>
      </c>
      <c r="J31" s="14"/>
      <c r="K31" s="15">
        <f t="shared" si="1"/>
        <v>0</v>
      </c>
    </row>
    <row r="32" spans="1:11" ht="18" customHeight="1">
      <c r="A32" s="4" t="s">
        <v>134</v>
      </c>
      <c r="B32" s="644"/>
      <c r="C32" s="645"/>
      <c r="D32" s="646"/>
      <c r="F32" s="13"/>
      <c r="G32" s="258" t="s">
        <v>85</v>
      </c>
      <c r="H32" s="14"/>
      <c r="I32" s="40">
        <f t="shared" si="0"/>
        <v>0</v>
      </c>
      <c r="J32" s="14"/>
      <c r="K32" s="15">
        <f t="shared" si="1"/>
        <v>0</v>
      </c>
    </row>
    <row r="33" spans="1:11" ht="18" customHeight="1">
      <c r="A33" s="4" t="s">
        <v>135</v>
      </c>
      <c r="B33" s="644"/>
      <c r="C33" s="645"/>
      <c r="D33" s="646"/>
      <c r="F33" s="13"/>
      <c r="G33" s="258" t="s">
        <v>85</v>
      </c>
      <c r="H33" s="14"/>
      <c r="I33" s="40">
        <f t="shared" si="0"/>
        <v>0</v>
      </c>
      <c r="J33" s="14"/>
      <c r="K33" s="15">
        <f t="shared" si="1"/>
        <v>0</v>
      </c>
    </row>
    <row r="34" spans="1:11" ht="18" customHeight="1">
      <c r="A34" s="4" t="s">
        <v>136</v>
      </c>
      <c r="B34" s="893"/>
      <c r="C34" s="894"/>
      <c r="D34" s="895"/>
      <c r="F34" s="13"/>
      <c r="G34" s="258" t="s">
        <v>85</v>
      </c>
      <c r="H34" s="14"/>
      <c r="I34" s="40">
        <f t="shared" si="0"/>
        <v>0</v>
      </c>
      <c r="J34" s="14"/>
      <c r="K34" s="15">
        <f t="shared" si="1"/>
        <v>0</v>
      </c>
    </row>
    <row r="35" spans="1:11" ht="18" customHeight="1">
      <c r="K35" s="35"/>
    </row>
    <row r="36" spans="1:11" ht="18" customHeight="1">
      <c r="A36" s="5" t="s">
        <v>137</v>
      </c>
      <c r="B36" s="1" t="s">
        <v>138</v>
      </c>
      <c r="E36" s="1" t="s">
        <v>7</v>
      </c>
      <c r="F36" s="17">
        <f t="shared" ref="F36:K36" si="2">SUM(F21:F34)</f>
        <v>2799</v>
      </c>
      <c r="G36" s="17">
        <f t="shared" si="2"/>
        <v>3375</v>
      </c>
      <c r="H36" s="17">
        <f t="shared" si="2"/>
        <v>44275</v>
      </c>
      <c r="I36" s="15">
        <f t="shared" si="2"/>
        <v>37102.449999999997</v>
      </c>
      <c r="J36" s="15">
        <f t="shared" si="2"/>
        <v>0</v>
      </c>
      <c r="K36" s="15">
        <f t="shared" si="2"/>
        <v>81377.45</v>
      </c>
    </row>
    <row r="37" spans="1:11" ht="18" customHeight="1" thickBot="1">
      <c r="B37" s="1"/>
      <c r="F37" s="18"/>
      <c r="G37" s="18"/>
      <c r="H37" s="19"/>
      <c r="I37" s="19"/>
      <c r="J37" s="19"/>
      <c r="K37" s="36"/>
    </row>
    <row r="38" spans="1:11" ht="42.75" customHeight="1">
      <c r="F38" s="8" t="s">
        <v>9</v>
      </c>
      <c r="G38" s="8" t="s">
        <v>37</v>
      </c>
      <c r="H38" s="8" t="s">
        <v>29</v>
      </c>
      <c r="I38" s="8" t="s">
        <v>30</v>
      </c>
      <c r="J38" s="8" t="s">
        <v>33</v>
      </c>
      <c r="K38" s="8" t="s">
        <v>34</v>
      </c>
    </row>
    <row r="39" spans="1:11" ht="18.95" customHeight="1">
      <c r="A39" s="5" t="s">
        <v>86</v>
      </c>
      <c r="B39" s="1" t="s">
        <v>49</v>
      </c>
    </row>
    <row r="40" spans="1:11" ht="18" customHeight="1">
      <c r="A40" s="4" t="s">
        <v>87</v>
      </c>
      <c r="B40" t="s">
        <v>31</v>
      </c>
      <c r="F40" s="13">
        <v>39</v>
      </c>
      <c r="G40" s="13">
        <v>25</v>
      </c>
      <c r="H40" s="14">
        <v>13221</v>
      </c>
      <c r="I40" s="40">
        <v>0</v>
      </c>
      <c r="J40" s="14"/>
      <c r="K40" s="15">
        <f t="shared" ref="K40:K47" si="3">(H40+I40)-J40</f>
        <v>13221</v>
      </c>
    </row>
    <row r="41" spans="1:11" ht="18" customHeight="1">
      <c r="A41" s="4" t="s">
        <v>88</v>
      </c>
      <c r="B41" s="931" t="s">
        <v>50</v>
      </c>
      <c r="C41" s="939"/>
      <c r="F41" s="13">
        <v>14</v>
      </c>
      <c r="G41" s="13">
        <v>16</v>
      </c>
      <c r="H41" s="14">
        <v>3224</v>
      </c>
      <c r="I41" s="40">
        <v>0</v>
      </c>
      <c r="J41" s="14"/>
      <c r="K41" s="15">
        <f t="shared" si="3"/>
        <v>3224</v>
      </c>
    </row>
    <row r="42" spans="1:11" ht="18" customHeight="1">
      <c r="A42" s="4" t="s">
        <v>89</v>
      </c>
      <c r="B42" s="257" t="s">
        <v>11</v>
      </c>
      <c r="F42" s="13">
        <v>1281</v>
      </c>
      <c r="G42" s="13">
        <v>203</v>
      </c>
      <c r="H42" s="14">
        <v>44979</v>
      </c>
      <c r="I42" s="40">
        <v>0</v>
      </c>
      <c r="J42" s="14"/>
      <c r="K42" s="15">
        <f t="shared" si="3"/>
        <v>44979</v>
      </c>
    </row>
    <row r="43" spans="1:11" ht="18" customHeight="1">
      <c r="A43" s="4" t="s">
        <v>90</v>
      </c>
      <c r="B43" s="259" t="s">
        <v>10</v>
      </c>
      <c r="C43" s="9"/>
      <c r="D43" s="9"/>
      <c r="F43" s="13"/>
      <c r="G43" s="13">
        <v>1</v>
      </c>
      <c r="H43" s="14">
        <v>1000</v>
      </c>
      <c r="I43" s="40">
        <v>0</v>
      </c>
      <c r="J43" s="14"/>
      <c r="K43" s="15">
        <f t="shared" si="3"/>
        <v>1000</v>
      </c>
    </row>
    <row r="44" spans="1:11" ht="18" customHeight="1">
      <c r="A44" s="4" t="s">
        <v>91</v>
      </c>
      <c r="B44" s="893"/>
      <c r="C44" s="894"/>
      <c r="D44" s="895"/>
      <c r="F44" s="43"/>
      <c r="G44" s="43"/>
      <c r="H44" s="43"/>
      <c r="I44" s="44">
        <v>0</v>
      </c>
      <c r="J44" s="43"/>
      <c r="K44" s="45">
        <f t="shared" si="3"/>
        <v>0</v>
      </c>
    </row>
    <row r="45" spans="1:11" ht="18" customHeight="1">
      <c r="A45" s="4" t="s">
        <v>139</v>
      </c>
      <c r="B45" s="893"/>
      <c r="C45" s="894"/>
      <c r="D45" s="895"/>
      <c r="F45" s="13"/>
      <c r="G45" s="13"/>
      <c r="H45" s="14"/>
      <c r="I45" s="40">
        <v>0</v>
      </c>
      <c r="J45" s="14"/>
      <c r="K45" s="15">
        <f t="shared" si="3"/>
        <v>0</v>
      </c>
    </row>
    <row r="46" spans="1:11" ht="18" customHeight="1">
      <c r="A46" s="4" t="s">
        <v>140</v>
      </c>
      <c r="B46" s="893"/>
      <c r="C46" s="894"/>
      <c r="D46" s="895"/>
      <c r="F46" s="13"/>
      <c r="G46" s="13"/>
      <c r="H46" s="14"/>
      <c r="I46" s="40">
        <v>0</v>
      </c>
      <c r="J46" s="14"/>
      <c r="K46" s="15">
        <f t="shared" si="3"/>
        <v>0</v>
      </c>
    </row>
    <row r="47" spans="1:11" ht="18" customHeight="1">
      <c r="A47" s="4" t="s">
        <v>141</v>
      </c>
      <c r="B47" s="893"/>
      <c r="C47" s="894"/>
      <c r="D47" s="895"/>
      <c r="F47" s="13"/>
      <c r="G47" s="13"/>
      <c r="H47" s="14"/>
      <c r="I47" s="40">
        <v>0</v>
      </c>
      <c r="J47" s="14"/>
      <c r="K47" s="15">
        <f t="shared" si="3"/>
        <v>0</v>
      </c>
    </row>
    <row r="49" spans="1:11" ht="18" customHeight="1">
      <c r="A49" s="5" t="s">
        <v>142</v>
      </c>
      <c r="B49" s="1" t="s">
        <v>143</v>
      </c>
      <c r="E49" s="1" t="s">
        <v>7</v>
      </c>
      <c r="F49" s="22">
        <f t="shared" ref="F49:K49" si="4">SUM(F40:F47)</f>
        <v>1334</v>
      </c>
      <c r="G49" s="22">
        <f t="shared" si="4"/>
        <v>245</v>
      </c>
      <c r="H49" s="15">
        <f t="shared" si="4"/>
        <v>62424</v>
      </c>
      <c r="I49" s="15">
        <f t="shared" si="4"/>
        <v>0</v>
      </c>
      <c r="J49" s="15">
        <f t="shared" si="4"/>
        <v>0</v>
      </c>
      <c r="K49" s="15">
        <f t="shared" si="4"/>
        <v>62424</v>
      </c>
    </row>
    <row r="50" spans="1:11" ht="18" customHeight="1" thickBot="1">
      <c r="G50" s="23"/>
      <c r="H50" s="23"/>
      <c r="I50" s="23"/>
      <c r="J50" s="23"/>
      <c r="K50" s="23"/>
    </row>
    <row r="51" spans="1:11" ht="42.75" customHeight="1">
      <c r="F51" s="8" t="s">
        <v>9</v>
      </c>
      <c r="G51" s="8" t="s">
        <v>37</v>
      </c>
      <c r="H51" s="8" t="s">
        <v>29</v>
      </c>
      <c r="I51" s="8" t="s">
        <v>30</v>
      </c>
      <c r="J51" s="8" t="s">
        <v>33</v>
      </c>
      <c r="K51" s="8" t="s">
        <v>34</v>
      </c>
    </row>
    <row r="52" spans="1:11" ht="18" customHeight="1">
      <c r="A52" s="5" t="s">
        <v>92</v>
      </c>
      <c r="B52" s="935" t="s">
        <v>38</v>
      </c>
      <c r="C52" s="936"/>
    </row>
    <row r="53" spans="1:11" ht="18" customHeight="1">
      <c r="A53" s="4" t="s">
        <v>51</v>
      </c>
      <c r="B53" s="937"/>
      <c r="C53" s="938"/>
      <c r="D53" s="934"/>
      <c r="F53" s="13"/>
      <c r="G53" s="13"/>
      <c r="H53" s="14"/>
      <c r="I53" s="40">
        <v>0</v>
      </c>
      <c r="J53" s="14"/>
      <c r="K53" s="15">
        <f t="shared" ref="K53:K62" si="5">(H53+I53)-J53</f>
        <v>0</v>
      </c>
    </row>
    <row r="54" spans="1:11" ht="18" customHeight="1">
      <c r="A54" s="4" t="s">
        <v>93</v>
      </c>
      <c r="B54" s="649"/>
      <c r="C54" s="650"/>
      <c r="D54" s="648"/>
      <c r="F54" s="13"/>
      <c r="G54" s="13"/>
      <c r="H54" s="14"/>
      <c r="I54" s="40">
        <v>0</v>
      </c>
      <c r="J54" s="14"/>
      <c r="K54" s="15">
        <f t="shared" si="5"/>
        <v>0</v>
      </c>
    </row>
    <row r="55" spans="1:11" ht="18" customHeight="1">
      <c r="A55" s="4" t="s">
        <v>94</v>
      </c>
      <c r="B55" s="932"/>
      <c r="C55" s="933"/>
      <c r="D55" s="934"/>
      <c r="F55" s="13"/>
      <c r="G55" s="13"/>
      <c r="H55" s="14"/>
      <c r="I55" s="40">
        <v>0</v>
      </c>
      <c r="J55" s="14"/>
      <c r="K55" s="15">
        <f t="shared" si="5"/>
        <v>0</v>
      </c>
    </row>
    <row r="56" spans="1:11" ht="18" customHeight="1">
      <c r="A56" s="4" t="s">
        <v>95</v>
      </c>
      <c r="B56" s="932"/>
      <c r="C56" s="933"/>
      <c r="D56" s="934"/>
      <c r="F56" s="13"/>
      <c r="G56" s="13"/>
      <c r="H56" s="14"/>
      <c r="I56" s="40">
        <v>0</v>
      </c>
      <c r="J56" s="14"/>
      <c r="K56" s="15">
        <f t="shared" si="5"/>
        <v>0</v>
      </c>
    </row>
    <row r="57" spans="1:11" ht="18" customHeight="1">
      <c r="A57" s="4" t="s">
        <v>96</v>
      </c>
      <c r="B57" s="932"/>
      <c r="C57" s="933"/>
      <c r="D57" s="934"/>
      <c r="F57" s="13"/>
      <c r="G57" s="13"/>
      <c r="H57" s="14"/>
      <c r="I57" s="40">
        <v>0</v>
      </c>
      <c r="J57" s="14"/>
      <c r="K57" s="15">
        <f t="shared" si="5"/>
        <v>0</v>
      </c>
    </row>
    <row r="58" spans="1:11" ht="18" customHeight="1">
      <c r="A58" s="4" t="s">
        <v>97</v>
      </c>
      <c r="B58" s="649"/>
      <c r="C58" s="650"/>
      <c r="D58" s="648"/>
      <c r="F58" s="13"/>
      <c r="G58" s="13"/>
      <c r="H58" s="14"/>
      <c r="I58" s="40">
        <v>0</v>
      </c>
      <c r="J58" s="14"/>
      <c r="K58" s="15">
        <f t="shared" si="5"/>
        <v>0</v>
      </c>
    </row>
    <row r="59" spans="1:11" ht="18" customHeight="1">
      <c r="A59" s="4" t="s">
        <v>98</v>
      </c>
      <c r="B59" s="932"/>
      <c r="C59" s="933"/>
      <c r="D59" s="934"/>
      <c r="F59" s="13"/>
      <c r="G59" s="13"/>
      <c r="H59" s="14"/>
      <c r="I59" s="40">
        <v>0</v>
      </c>
      <c r="J59" s="14"/>
      <c r="K59" s="15">
        <f t="shared" si="5"/>
        <v>0</v>
      </c>
    </row>
    <row r="60" spans="1:11" ht="18" customHeight="1">
      <c r="A60" s="4" t="s">
        <v>99</v>
      </c>
      <c r="B60" s="649"/>
      <c r="C60" s="650"/>
      <c r="D60" s="648"/>
      <c r="F60" s="13"/>
      <c r="G60" s="13"/>
      <c r="H60" s="14"/>
      <c r="I60" s="40">
        <v>0</v>
      </c>
      <c r="J60" s="14"/>
      <c r="K60" s="15">
        <f t="shared" si="5"/>
        <v>0</v>
      </c>
    </row>
    <row r="61" spans="1:11" ht="18" customHeight="1">
      <c r="A61" s="4" t="s">
        <v>100</v>
      </c>
      <c r="B61" s="649"/>
      <c r="C61" s="650"/>
      <c r="D61" s="648"/>
      <c r="F61" s="13"/>
      <c r="G61" s="13"/>
      <c r="H61" s="14"/>
      <c r="I61" s="40">
        <v>0</v>
      </c>
      <c r="J61" s="14"/>
      <c r="K61" s="15">
        <f t="shared" si="5"/>
        <v>0</v>
      </c>
    </row>
    <row r="62" spans="1:11" ht="18" customHeight="1">
      <c r="A62" s="4" t="s">
        <v>101</v>
      </c>
      <c r="B62" s="932"/>
      <c r="C62" s="933"/>
      <c r="D62" s="934"/>
      <c r="F62" s="13"/>
      <c r="G62" s="13"/>
      <c r="H62" s="14"/>
      <c r="I62" s="40">
        <v>0</v>
      </c>
      <c r="J62" s="14"/>
      <c r="K62" s="15">
        <f t="shared" si="5"/>
        <v>0</v>
      </c>
    </row>
    <row r="63" spans="1:11" ht="18" customHeight="1">
      <c r="A63" s="4"/>
      <c r="I63" s="37"/>
    </row>
    <row r="64" spans="1:11" ht="18" customHeight="1">
      <c r="A64" s="4" t="s">
        <v>144</v>
      </c>
      <c r="B64" s="1" t="s">
        <v>145</v>
      </c>
      <c r="E64" s="1" t="s">
        <v>7</v>
      </c>
      <c r="F64" s="17">
        <f t="shared" ref="F64:K64" si="6">SUM(F53:F62)</f>
        <v>0</v>
      </c>
      <c r="G64" s="17">
        <f t="shared" si="6"/>
        <v>0</v>
      </c>
      <c r="H64" s="15">
        <f t="shared" si="6"/>
        <v>0</v>
      </c>
      <c r="I64" s="15">
        <f t="shared" si="6"/>
        <v>0</v>
      </c>
      <c r="J64" s="15">
        <f t="shared" si="6"/>
        <v>0</v>
      </c>
      <c r="K64" s="15">
        <f t="shared" si="6"/>
        <v>0</v>
      </c>
    </row>
    <row r="65" spans="1:11" ht="18" customHeight="1">
      <c r="F65" s="38"/>
      <c r="G65" s="38"/>
      <c r="H65" s="38"/>
      <c r="I65" s="38"/>
      <c r="J65" s="38"/>
      <c r="K65" s="38"/>
    </row>
    <row r="66" spans="1:11" ht="42.75" customHeight="1">
      <c r="F66" s="46" t="s">
        <v>9</v>
      </c>
      <c r="G66" s="46" t="s">
        <v>37</v>
      </c>
      <c r="H66" s="46" t="s">
        <v>29</v>
      </c>
      <c r="I66" s="46" t="s">
        <v>30</v>
      </c>
      <c r="J66" s="46" t="s">
        <v>33</v>
      </c>
      <c r="K66" s="46" t="s">
        <v>34</v>
      </c>
    </row>
    <row r="67" spans="1:11" ht="18" customHeight="1">
      <c r="A67" s="5" t="s">
        <v>102</v>
      </c>
      <c r="B67" s="1" t="s">
        <v>12</v>
      </c>
      <c r="F67" s="47"/>
      <c r="G67" s="47"/>
      <c r="H67" s="47"/>
      <c r="I67" s="48"/>
      <c r="J67" s="47"/>
      <c r="K67" s="49"/>
    </row>
    <row r="68" spans="1:11" ht="18" customHeight="1">
      <c r="A68" s="4" t="s">
        <v>103</v>
      </c>
      <c r="B68" t="s">
        <v>52</v>
      </c>
      <c r="F68" s="41"/>
      <c r="G68" s="41"/>
      <c r="H68" s="41"/>
      <c r="I68" s="40">
        <v>0</v>
      </c>
      <c r="J68" s="41"/>
      <c r="K68" s="15">
        <f>(H68+I68)-J68</f>
        <v>0</v>
      </c>
    </row>
    <row r="69" spans="1:11" ht="18" customHeight="1">
      <c r="A69" s="4" t="s">
        <v>104</v>
      </c>
      <c r="B69" s="257" t="s">
        <v>53</v>
      </c>
      <c r="F69" s="41"/>
      <c r="G69" s="41"/>
      <c r="H69" s="41"/>
      <c r="I69" s="40">
        <v>0</v>
      </c>
      <c r="J69" s="41"/>
      <c r="K69" s="15">
        <f>(H69+I69)-J69</f>
        <v>0</v>
      </c>
    </row>
    <row r="70" spans="1:11" ht="18" customHeight="1">
      <c r="A70" s="4" t="s">
        <v>178</v>
      </c>
      <c r="B70" s="649"/>
      <c r="C70" s="650"/>
      <c r="D70" s="648"/>
      <c r="E70" s="1"/>
      <c r="F70" s="26"/>
      <c r="G70" s="26"/>
      <c r="H70" s="27"/>
      <c r="I70" s="40">
        <v>0</v>
      </c>
      <c r="J70" s="27"/>
      <c r="K70" s="15">
        <f>(H70+I70)-J70</f>
        <v>0</v>
      </c>
    </row>
    <row r="71" spans="1:11" ht="18" customHeight="1">
      <c r="A71" s="4" t="s">
        <v>179</v>
      </c>
      <c r="B71" s="649"/>
      <c r="C71" s="650"/>
      <c r="D71" s="648"/>
      <c r="E71" s="1"/>
      <c r="F71" s="26"/>
      <c r="G71" s="26"/>
      <c r="H71" s="27"/>
      <c r="I71" s="40">
        <v>0</v>
      </c>
      <c r="J71" s="27"/>
      <c r="K71" s="15">
        <f>(H71+I71)-J71</f>
        <v>0</v>
      </c>
    </row>
    <row r="72" spans="1:11" ht="18" customHeight="1">
      <c r="A72" s="4" t="s">
        <v>180</v>
      </c>
      <c r="B72" s="652"/>
      <c r="C72" s="647"/>
      <c r="D72" s="25"/>
      <c r="E72" s="1"/>
      <c r="F72" s="13"/>
      <c r="G72" s="13"/>
      <c r="H72" s="14"/>
      <c r="I72" s="40">
        <v>0</v>
      </c>
      <c r="J72" s="14"/>
      <c r="K72" s="15">
        <f>(H72+I72)-J72</f>
        <v>0</v>
      </c>
    </row>
    <row r="73" spans="1:11" ht="18" customHeight="1">
      <c r="A73" s="4"/>
      <c r="B73" s="257"/>
      <c r="E73" s="1"/>
      <c r="F73" s="50"/>
      <c r="G73" s="50"/>
      <c r="H73" s="51"/>
      <c r="I73" s="48"/>
      <c r="J73" s="51"/>
      <c r="K73" s="49"/>
    </row>
    <row r="74" spans="1:11" ht="18" customHeight="1">
      <c r="A74" s="5" t="s">
        <v>146</v>
      </c>
      <c r="B74" s="1" t="s">
        <v>147</v>
      </c>
      <c r="E74" s="1" t="s">
        <v>7</v>
      </c>
      <c r="F74" s="20">
        <f t="shared" ref="F74:K74" si="7">SUM(F68:F72)</f>
        <v>0</v>
      </c>
      <c r="G74" s="20">
        <f t="shared" si="7"/>
        <v>0</v>
      </c>
      <c r="H74" s="20">
        <f t="shared" si="7"/>
        <v>0</v>
      </c>
      <c r="I74" s="42">
        <f t="shared" si="7"/>
        <v>0</v>
      </c>
      <c r="J74" s="20">
        <f t="shared" si="7"/>
        <v>0</v>
      </c>
      <c r="K74" s="16">
        <f t="shared" si="7"/>
        <v>0</v>
      </c>
    </row>
    <row r="75" spans="1:11" ht="42.75" customHeight="1">
      <c r="F75" s="8" t="s">
        <v>9</v>
      </c>
      <c r="G75" s="8" t="s">
        <v>37</v>
      </c>
      <c r="H75" s="8" t="s">
        <v>29</v>
      </c>
      <c r="I75" s="8" t="s">
        <v>30</v>
      </c>
      <c r="J75" s="8" t="s">
        <v>33</v>
      </c>
      <c r="K75" s="8" t="s">
        <v>34</v>
      </c>
    </row>
    <row r="76" spans="1:11" ht="18" customHeight="1">
      <c r="A76" s="5" t="s">
        <v>105</v>
      </c>
      <c r="B76" s="1" t="s">
        <v>106</v>
      </c>
    </row>
    <row r="77" spans="1:11" ht="18" customHeight="1">
      <c r="A77" s="4" t="s">
        <v>107</v>
      </c>
      <c r="B77" s="257" t="s">
        <v>54</v>
      </c>
      <c r="F77" s="13"/>
      <c r="G77" s="13">
        <v>5</v>
      </c>
      <c r="H77" s="14">
        <v>1655</v>
      </c>
      <c r="I77" s="40">
        <v>0</v>
      </c>
      <c r="J77" s="14"/>
      <c r="K77" s="15">
        <f>(H77+I77)-J77</f>
        <v>1655</v>
      </c>
    </row>
    <row r="78" spans="1:11" ht="18" customHeight="1">
      <c r="A78" s="4" t="s">
        <v>108</v>
      </c>
      <c r="B78" s="257" t="s">
        <v>55</v>
      </c>
      <c r="F78" s="13"/>
      <c r="G78" s="13"/>
      <c r="H78" s="14"/>
      <c r="I78" s="40">
        <v>0</v>
      </c>
      <c r="J78" s="14"/>
      <c r="K78" s="15">
        <f>(H78+I78)-J78</f>
        <v>0</v>
      </c>
    </row>
    <row r="79" spans="1:11" ht="18" customHeight="1">
      <c r="A79" s="4" t="s">
        <v>109</v>
      </c>
      <c r="B79" s="257" t="s">
        <v>13</v>
      </c>
      <c r="F79" s="13"/>
      <c r="G79" s="13"/>
      <c r="H79" s="14"/>
      <c r="I79" s="40">
        <v>0</v>
      </c>
      <c r="J79" s="14"/>
      <c r="K79" s="15">
        <f>(H79+I79)-J79</f>
        <v>0</v>
      </c>
    </row>
    <row r="80" spans="1:11" ht="18" customHeight="1">
      <c r="A80" s="4" t="s">
        <v>110</v>
      </c>
      <c r="B80" s="257" t="s">
        <v>56</v>
      </c>
      <c r="F80" s="13"/>
      <c r="G80" s="13"/>
      <c r="H80" s="14"/>
      <c r="I80" s="40">
        <v>0</v>
      </c>
      <c r="J80" s="14"/>
      <c r="K80" s="15">
        <f>(H80+I80)-J80</f>
        <v>0</v>
      </c>
    </row>
    <row r="81" spans="1:11" ht="18" customHeight="1">
      <c r="A81" s="4"/>
      <c r="K81" s="31"/>
    </row>
    <row r="82" spans="1:11" ht="18" customHeight="1">
      <c r="A82" s="4" t="s">
        <v>148</v>
      </c>
      <c r="B82" s="1" t="s">
        <v>149</v>
      </c>
      <c r="E82" s="1" t="s">
        <v>7</v>
      </c>
      <c r="F82" s="20">
        <f t="shared" ref="F82:K82" si="8">SUM(F77:F80)</f>
        <v>0</v>
      </c>
      <c r="G82" s="20">
        <f t="shared" si="8"/>
        <v>5</v>
      </c>
      <c r="H82" s="16">
        <f t="shared" si="8"/>
        <v>1655</v>
      </c>
      <c r="I82" s="16">
        <f t="shared" si="8"/>
        <v>0</v>
      </c>
      <c r="J82" s="16">
        <f t="shared" si="8"/>
        <v>0</v>
      </c>
      <c r="K82" s="16">
        <f t="shared" si="8"/>
        <v>1655</v>
      </c>
    </row>
    <row r="83" spans="1:11" ht="18" customHeight="1" thickBot="1">
      <c r="A83" s="4"/>
      <c r="F83" s="23"/>
      <c r="G83" s="23"/>
      <c r="H83" s="23"/>
      <c r="I83" s="23"/>
      <c r="J83" s="23"/>
      <c r="K83" s="23"/>
    </row>
    <row r="84" spans="1:11" ht="42.75" customHeight="1">
      <c r="F84" s="8" t="s">
        <v>9</v>
      </c>
      <c r="G84" s="8" t="s">
        <v>37</v>
      </c>
      <c r="H84" s="8" t="s">
        <v>29</v>
      </c>
      <c r="I84" s="8" t="s">
        <v>30</v>
      </c>
      <c r="J84" s="8" t="s">
        <v>33</v>
      </c>
      <c r="K84" s="8" t="s">
        <v>34</v>
      </c>
    </row>
    <row r="85" spans="1:11" ht="18" customHeight="1">
      <c r="A85" s="5" t="s">
        <v>111</v>
      </c>
      <c r="B85" s="1" t="s">
        <v>57</v>
      </c>
    </row>
    <row r="86" spans="1:11" ht="18" customHeight="1">
      <c r="A86" s="4" t="s">
        <v>112</v>
      </c>
      <c r="B86" s="257" t="s">
        <v>113</v>
      </c>
      <c r="F86" s="13"/>
      <c r="G86" s="13"/>
      <c r="H86" s="14"/>
      <c r="I86" s="40">
        <f t="shared" ref="I86:I96" si="9">H86*F$114</f>
        <v>0</v>
      </c>
      <c r="J86" s="14"/>
      <c r="K86" s="15">
        <f t="shared" ref="K86:K96" si="10">(H86+I86)-J86</f>
        <v>0</v>
      </c>
    </row>
    <row r="87" spans="1:11" ht="18" customHeight="1">
      <c r="A87" s="4" t="s">
        <v>114</v>
      </c>
      <c r="B87" s="257" t="s">
        <v>14</v>
      </c>
      <c r="F87" s="13"/>
      <c r="G87" s="13"/>
      <c r="H87" s="14"/>
      <c r="I87" s="40">
        <f t="shared" si="9"/>
        <v>0</v>
      </c>
      <c r="J87" s="14"/>
      <c r="K87" s="15">
        <f t="shared" si="10"/>
        <v>0</v>
      </c>
    </row>
    <row r="88" spans="1:11" ht="18" customHeight="1">
      <c r="A88" s="4" t="s">
        <v>115</v>
      </c>
      <c r="B88" s="257" t="s">
        <v>116</v>
      </c>
      <c r="F88" s="13">
        <v>50</v>
      </c>
      <c r="G88" s="13">
        <v>926</v>
      </c>
      <c r="H88" s="14">
        <v>10640</v>
      </c>
      <c r="I88" s="40">
        <f t="shared" si="9"/>
        <v>8916.32</v>
      </c>
      <c r="J88" s="14"/>
      <c r="K88" s="15">
        <f t="shared" si="10"/>
        <v>19556.32</v>
      </c>
    </row>
    <row r="89" spans="1:11" ht="18" customHeight="1">
      <c r="A89" s="4" t="s">
        <v>117</v>
      </c>
      <c r="B89" s="257" t="s">
        <v>58</v>
      </c>
      <c r="F89" s="13"/>
      <c r="G89" s="13"/>
      <c r="H89" s="14"/>
      <c r="I89" s="40">
        <f t="shared" si="9"/>
        <v>0</v>
      </c>
      <c r="J89" s="14"/>
      <c r="K89" s="15">
        <f t="shared" si="10"/>
        <v>0</v>
      </c>
    </row>
    <row r="90" spans="1:11" ht="18" customHeight="1">
      <c r="A90" s="4" t="s">
        <v>118</v>
      </c>
      <c r="B90" s="931" t="s">
        <v>59</v>
      </c>
      <c r="C90" s="939"/>
      <c r="F90" s="13"/>
      <c r="G90" s="13"/>
      <c r="H90" s="14"/>
      <c r="I90" s="40">
        <f t="shared" si="9"/>
        <v>0</v>
      </c>
      <c r="J90" s="14"/>
      <c r="K90" s="15">
        <f t="shared" si="10"/>
        <v>0</v>
      </c>
    </row>
    <row r="91" spans="1:11" ht="18" customHeight="1">
      <c r="A91" s="4" t="s">
        <v>119</v>
      </c>
      <c r="B91" s="257" t="s">
        <v>60</v>
      </c>
      <c r="F91" s="13">
        <v>39</v>
      </c>
      <c r="G91" s="13">
        <v>158</v>
      </c>
      <c r="H91" s="14">
        <v>1931</v>
      </c>
      <c r="I91" s="40">
        <f t="shared" si="9"/>
        <v>1618.1779999999999</v>
      </c>
      <c r="J91" s="14"/>
      <c r="K91" s="15">
        <f t="shared" si="10"/>
        <v>3549.1779999999999</v>
      </c>
    </row>
    <row r="92" spans="1:11" ht="18" customHeight="1">
      <c r="A92" s="4" t="s">
        <v>120</v>
      </c>
      <c r="B92" s="257" t="s">
        <v>121</v>
      </c>
      <c r="F92" s="29"/>
      <c r="G92" s="29"/>
      <c r="H92" s="30"/>
      <c r="I92" s="40">
        <f t="shared" si="9"/>
        <v>0</v>
      </c>
      <c r="J92" s="30"/>
      <c r="K92" s="15">
        <f t="shared" si="10"/>
        <v>0</v>
      </c>
    </row>
    <row r="93" spans="1:11" ht="18" customHeight="1">
      <c r="A93" s="4" t="s">
        <v>122</v>
      </c>
      <c r="B93" s="257" t="s">
        <v>123</v>
      </c>
      <c r="F93" s="13">
        <v>30</v>
      </c>
      <c r="G93" s="13">
        <v>30</v>
      </c>
      <c r="H93" s="14">
        <v>2730</v>
      </c>
      <c r="I93" s="40">
        <f t="shared" si="9"/>
        <v>2287.7399999999998</v>
      </c>
      <c r="J93" s="14"/>
      <c r="K93" s="15">
        <f t="shared" si="10"/>
        <v>5017.74</v>
      </c>
    </row>
    <row r="94" spans="1:11" ht="18" customHeight="1">
      <c r="A94" s="4" t="s">
        <v>124</v>
      </c>
      <c r="B94" s="932"/>
      <c r="C94" s="933"/>
      <c r="D94" s="934"/>
      <c r="F94" s="13"/>
      <c r="G94" s="13"/>
      <c r="H94" s="14"/>
      <c r="I94" s="40">
        <f t="shared" si="9"/>
        <v>0</v>
      </c>
      <c r="J94" s="14"/>
      <c r="K94" s="15">
        <f t="shared" si="10"/>
        <v>0</v>
      </c>
    </row>
    <row r="95" spans="1:11" ht="18" customHeight="1">
      <c r="A95" s="4" t="s">
        <v>125</v>
      </c>
      <c r="B95" s="932"/>
      <c r="C95" s="933"/>
      <c r="D95" s="934"/>
      <c r="F95" s="13"/>
      <c r="G95" s="13"/>
      <c r="H95" s="14"/>
      <c r="I95" s="40">
        <f t="shared" si="9"/>
        <v>0</v>
      </c>
      <c r="J95" s="14"/>
      <c r="K95" s="15">
        <f t="shared" si="10"/>
        <v>0</v>
      </c>
    </row>
    <row r="96" spans="1:11" ht="18" customHeight="1">
      <c r="A96" s="4" t="s">
        <v>126</v>
      </c>
      <c r="B96" s="932"/>
      <c r="C96" s="933"/>
      <c r="D96" s="934"/>
      <c r="F96" s="13"/>
      <c r="G96" s="13"/>
      <c r="H96" s="14"/>
      <c r="I96" s="40">
        <f t="shared" si="9"/>
        <v>0</v>
      </c>
      <c r="J96" s="14"/>
      <c r="K96" s="15">
        <f t="shared" si="10"/>
        <v>0</v>
      </c>
    </row>
    <row r="97" spans="1:11" ht="18" customHeight="1">
      <c r="A97" s="4"/>
      <c r="B97" s="257"/>
    </row>
    <row r="98" spans="1:11" ht="18" customHeight="1">
      <c r="A98" s="5" t="s">
        <v>150</v>
      </c>
      <c r="B98" s="1" t="s">
        <v>151</v>
      </c>
      <c r="E98" s="1" t="s">
        <v>7</v>
      </c>
      <c r="F98" s="17">
        <f t="shared" ref="F98:K98" si="11">SUM(F86:F96)</f>
        <v>119</v>
      </c>
      <c r="G98" s="17">
        <f t="shared" si="11"/>
        <v>1114</v>
      </c>
      <c r="H98" s="17">
        <f t="shared" si="11"/>
        <v>15301</v>
      </c>
      <c r="I98" s="17">
        <f t="shared" si="11"/>
        <v>12822.237999999999</v>
      </c>
      <c r="J98" s="17">
        <f t="shared" si="11"/>
        <v>0</v>
      </c>
      <c r="K98" s="17">
        <f t="shared" si="11"/>
        <v>28123.237999999998</v>
      </c>
    </row>
    <row r="99" spans="1:11" ht="18" customHeight="1" thickBot="1">
      <c r="B99" s="1"/>
      <c r="F99" s="23"/>
      <c r="G99" s="23"/>
      <c r="H99" s="23"/>
      <c r="I99" s="23"/>
      <c r="J99" s="23"/>
      <c r="K99" s="23"/>
    </row>
    <row r="100" spans="1:11" ht="42.75" customHeight="1">
      <c r="F100" s="8" t="s">
        <v>9</v>
      </c>
      <c r="G100" s="8" t="s">
        <v>37</v>
      </c>
      <c r="H100" s="8" t="s">
        <v>29</v>
      </c>
      <c r="I100" s="8" t="s">
        <v>30</v>
      </c>
      <c r="J100" s="8" t="s">
        <v>33</v>
      </c>
      <c r="K100" s="8" t="s">
        <v>34</v>
      </c>
    </row>
    <row r="101" spans="1:11" ht="18" customHeight="1">
      <c r="A101" s="5" t="s">
        <v>130</v>
      </c>
      <c r="B101" s="1" t="s">
        <v>63</v>
      </c>
    </row>
    <row r="102" spans="1:11" ht="18" customHeight="1">
      <c r="A102" s="4" t="s">
        <v>131</v>
      </c>
      <c r="B102" s="257" t="s">
        <v>152</v>
      </c>
      <c r="F102" s="13">
        <v>20</v>
      </c>
      <c r="G102" s="13">
        <v>10</v>
      </c>
      <c r="H102" s="14">
        <v>582</v>
      </c>
      <c r="I102" s="40">
        <f>H102*F$114</f>
        <v>487.71600000000001</v>
      </c>
      <c r="J102" s="14"/>
      <c r="K102" s="15">
        <f>(H102+I102)-J102</f>
        <v>1069.7159999999999</v>
      </c>
    </row>
    <row r="103" spans="1:11" ht="18" customHeight="1">
      <c r="A103" s="4" t="s">
        <v>132</v>
      </c>
      <c r="B103" s="931" t="s">
        <v>62</v>
      </c>
      <c r="C103" s="931"/>
      <c r="F103" s="13">
        <v>6</v>
      </c>
      <c r="G103" s="13">
        <v>8</v>
      </c>
      <c r="H103" s="14">
        <v>490</v>
      </c>
      <c r="I103" s="40">
        <f>H103*F$114</f>
        <v>410.62</v>
      </c>
      <c r="J103" s="14"/>
      <c r="K103" s="15">
        <f>(H103+I103)-J103</f>
        <v>900.62</v>
      </c>
    </row>
    <row r="104" spans="1:11" ht="18" customHeight="1">
      <c r="A104" s="4" t="s">
        <v>128</v>
      </c>
      <c r="B104" s="932"/>
      <c r="C104" s="933"/>
      <c r="D104" s="934"/>
      <c r="F104" s="13"/>
      <c r="G104" s="13"/>
      <c r="H104" s="14"/>
      <c r="I104" s="40">
        <f>H104*F$114</f>
        <v>0</v>
      </c>
      <c r="J104" s="14"/>
      <c r="K104" s="15">
        <f>(H104+I104)-J104</f>
        <v>0</v>
      </c>
    </row>
    <row r="105" spans="1:11" ht="18" customHeight="1">
      <c r="A105" s="4" t="s">
        <v>127</v>
      </c>
      <c r="B105" s="932"/>
      <c r="C105" s="933"/>
      <c r="D105" s="934"/>
      <c r="F105" s="13"/>
      <c r="G105" s="13"/>
      <c r="H105" s="14"/>
      <c r="I105" s="40">
        <f>H105*F$114</f>
        <v>0</v>
      </c>
      <c r="J105" s="14"/>
      <c r="K105" s="15">
        <f>(H105+I105)-J105</f>
        <v>0</v>
      </c>
    </row>
    <row r="106" spans="1:11" ht="18" customHeight="1">
      <c r="A106" s="4" t="s">
        <v>129</v>
      </c>
      <c r="B106" s="932"/>
      <c r="C106" s="933"/>
      <c r="D106" s="934"/>
      <c r="F106" s="13"/>
      <c r="G106" s="13"/>
      <c r="H106" s="14"/>
      <c r="I106" s="40">
        <f>H106*F$114</f>
        <v>0</v>
      </c>
      <c r="J106" s="14"/>
      <c r="K106" s="15">
        <f>(H106+I106)-J106</f>
        <v>0</v>
      </c>
    </row>
    <row r="107" spans="1:11" ht="18" customHeight="1">
      <c r="B107" s="1"/>
    </row>
    <row r="108" spans="1:11" s="9" customFormat="1" ht="18" customHeight="1">
      <c r="A108" s="5" t="s">
        <v>153</v>
      </c>
      <c r="B108" s="52" t="s">
        <v>154</v>
      </c>
      <c r="C108"/>
      <c r="D108"/>
      <c r="E108" s="1" t="s">
        <v>7</v>
      </c>
      <c r="F108" s="17">
        <f t="shared" ref="F108:K108" si="12">SUM(F102:F106)</f>
        <v>26</v>
      </c>
      <c r="G108" s="17">
        <f t="shared" si="12"/>
        <v>18</v>
      </c>
      <c r="H108" s="15">
        <f t="shared" si="12"/>
        <v>1072</v>
      </c>
      <c r="I108" s="15">
        <f t="shared" si="12"/>
        <v>898.33600000000001</v>
      </c>
      <c r="J108" s="15">
        <f t="shared" si="12"/>
        <v>0</v>
      </c>
      <c r="K108" s="15">
        <f t="shared" si="12"/>
        <v>1970.3359999999998</v>
      </c>
    </row>
    <row r="109" spans="1:11" s="9" customFormat="1" ht="18" customHeight="1" thickBot="1">
      <c r="A109" s="10"/>
      <c r="B109" s="11"/>
      <c r="C109" s="12"/>
      <c r="D109" s="12"/>
      <c r="E109" s="12"/>
      <c r="F109" s="23"/>
      <c r="G109" s="23"/>
      <c r="H109" s="23"/>
      <c r="I109" s="23"/>
      <c r="J109" s="23"/>
      <c r="K109" s="23"/>
    </row>
    <row r="110" spans="1:11" s="9" customFormat="1" ht="18" customHeight="1">
      <c r="A110" s="5" t="s">
        <v>156</v>
      </c>
      <c r="B110" s="1" t="s">
        <v>39</v>
      </c>
      <c r="C110"/>
      <c r="D110"/>
      <c r="E110"/>
      <c r="F110"/>
      <c r="G110"/>
      <c r="H110"/>
      <c r="I110"/>
      <c r="J110"/>
      <c r="K110"/>
    </row>
    <row r="111" spans="1:11" ht="18" customHeight="1">
      <c r="A111" s="5" t="s">
        <v>155</v>
      </c>
      <c r="B111" s="1" t="s">
        <v>164</v>
      </c>
      <c r="E111" s="1" t="s">
        <v>7</v>
      </c>
      <c r="F111" s="14">
        <v>278769</v>
      </c>
    </row>
    <row r="112" spans="1:11" ht="18" customHeight="1">
      <c r="B112" s="1"/>
      <c r="E112" s="1"/>
      <c r="F112" s="21"/>
    </row>
    <row r="113" spans="1:6" ht="18" customHeight="1">
      <c r="A113" s="5"/>
      <c r="B113" s="1" t="s">
        <v>15</v>
      </c>
    </row>
    <row r="114" spans="1:6" ht="18" customHeight="1">
      <c r="A114" s="4" t="s">
        <v>171</v>
      </c>
      <c r="B114" s="257" t="s">
        <v>35</v>
      </c>
      <c r="F114" s="24">
        <v>0.83799999999999997</v>
      </c>
    </row>
    <row r="115" spans="1:6" ht="18" customHeight="1">
      <c r="A115" s="4"/>
      <c r="B115" s="1"/>
    </row>
    <row r="116" spans="1:6" ht="18" customHeight="1">
      <c r="A116" s="4" t="s">
        <v>170</v>
      </c>
      <c r="B116" s="1" t="s">
        <v>16</v>
      </c>
    </row>
    <row r="117" spans="1:6" ht="18" customHeight="1">
      <c r="A117" s="4" t="s">
        <v>172</v>
      </c>
      <c r="B117" s="257" t="s">
        <v>17</v>
      </c>
      <c r="F117" s="14">
        <v>13573228</v>
      </c>
    </row>
    <row r="118" spans="1:6" ht="18" customHeight="1">
      <c r="A118" s="4" t="s">
        <v>173</v>
      </c>
      <c r="B118" t="s">
        <v>18</v>
      </c>
      <c r="F118" s="14">
        <v>23346</v>
      </c>
    </row>
    <row r="119" spans="1:6" ht="18" customHeight="1">
      <c r="A119" s="4" t="s">
        <v>174</v>
      </c>
      <c r="B119" s="1" t="s">
        <v>19</v>
      </c>
      <c r="F119" s="16">
        <f>SUM(F117:F118)</f>
        <v>13596574</v>
      </c>
    </row>
    <row r="120" spans="1:6" ht="18" customHeight="1">
      <c r="A120" s="4"/>
      <c r="B120" s="1"/>
    </row>
    <row r="121" spans="1:6" ht="18" customHeight="1">
      <c r="A121" s="4" t="s">
        <v>167</v>
      </c>
      <c r="B121" s="1" t="s">
        <v>36</v>
      </c>
      <c r="F121" s="14">
        <v>14814155</v>
      </c>
    </row>
    <row r="122" spans="1:6" ht="18" customHeight="1">
      <c r="A122" s="4"/>
    </row>
    <row r="123" spans="1:6" ht="18" customHeight="1">
      <c r="A123" s="4" t="s">
        <v>175</v>
      </c>
      <c r="B123" s="1" t="s">
        <v>20</v>
      </c>
      <c r="F123" s="14">
        <v>-1217581</v>
      </c>
    </row>
    <row r="124" spans="1:6" ht="18" customHeight="1">
      <c r="A124" s="4"/>
    </row>
    <row r="125" spans="1:6" ht="18" customHeight="1">
      <c r="A125" s="4" t="s">
        <v>176</v>
      </c>
      <c r="B125" s="1" t="s">
        <v>21</v>
      </c>
      <c r="F125" s="14">
        <v>670124</v>
      </c>
    </row>
    <row r="126" spans="1:6" ht="18" customHeight="1">
      <c r="A126" s="4"/>
    </row>
    <row r="127" spans="1:6" ht="18" customHeight="1">
      <c r="A127" s="4" t="s">
        <v>177</v>
      </c>
      <c r="B127" s="1" t="s">
        <v>22</v>
      </c>
      <c r="F127" s="14">
        <v>-547457</v>
      </c>
    </row>
    <row r="128" spans="1:6" ht="18" customHeight="1">
      <c r="A128" s="4"/>
    </row>
    <row r="129" spans="1:11" ht="42.75" customHeight="1">
      <c r="F129" s="8" t="s">
        <v>9</v>
      </c>
      <c r="G129" s="8" t="s">
        <v>37</v>
      </c>
      <c r="H129" s="8" t="s">
        <v>29</v>
      </c>
      <c r="I129" s="8" t="s">
        <v>30</v>
      </c>
      <c r="J129" s="8" t="s">
        <v>33</v>
      </c>
      <c r="K129" s="8" t="s">
        <v>34</v>
      </c>
    </row>
    <row r="130" spans="1:11" ht="18" customHeight="1">
      <c r="A130" s="5" t="s">
        <v>157</v>
      </c>
      <c r="B130" s="1" t="s">
        <v>23</v>
      </c>
    </row>
    <row r="131" spans="1:11" ht="18" customHeight="1">
      <c r="A131" s="4" t="s">
        <v>158</v>
      </c>
      <c r="B131" t="s">
        <v>24</v>
      </c>
      <c r="F131" s="13"/>
      <c r="G131" s="13"/>
      <c r="H131" s="14"/>
      <c r="I131" s="40">
        <v>0</v>
      </c>
      <c r="J131" s="14"/>
      <c r="K131" s="15">
        <f>(H131+I131)-J131</f>
        <v>0</v>
      </c>
    </row>
    <row r="132" spans="1:11" ht="18" customHeight="1">
      <c r="A132" s="4" t="s">
        <v>159</v>
      </c>
      <c r="B132" t="s">
        <v>25</v>
      </c>
      <c r="F132" s="13"/>
      <c r="G132" s="13"/>
      <c r="H132" s="14"/>
      <c r="I132" s="40">
        <v>0</v>
      </c>
      <c r="J132" s="14"/>
      <c r="K132" s="15">
        <f>(H132+I132)-J132</f>
        <v>0</v>
      </c>
    </row>
    <row r="133" spans="1:11" ht="18" customHeight="1">
      <c r="A133" s="4" t="s">
        <v>160</v>
      </c>
      <c r="B133" s="893"/>
      <c r="C133" s="894"/>
      <c r="D133" s="895"/>
      <c r="F133" s="13"/>
      <c r="G133" s="13"/>
      <c r="H133" s="14"/>
      <c r="I133" s="40">
        <v>0</v>
      </c>
      <c r="J133" s="14"/>
      <c r="K133" s="15">
        <f>(H133+I133)-J133</f>
        <v>0</v>
      </c>
    </row>
    <row r="134" spans="1:11" ht="18" customHeight="1">
      <c r="A134" s="4" t="s">
        <v>161</v>
      </c>
      <c r="B134" s="893"/>
      <c r="C134" s="894"/>
      <c r="D134" s="895"/>
      <c r="F134" s="13"/>
      <c r="G134" s="13"/>
      <c r="H134" s="14"/>
      <c r="I134" s="40">
        <v>0</v>
      </c>
      <c r="J134" s="14"/>
      <c r="K134" s="15">
        <f>(H134+I134)-J134</f>
        <v>0</v>
      </c>
    </row>
    <row r="135" spans="1:11" ht="18" customHeight="1">
      <c r="A135" s="4" t="s">
        <v>162</v>
      </c>
      <c r="B135" s="893"/>
      <c r="C135" s="894"/>
      <c r="D135" s="895"/>
      <c r="F135" s="13"/>
      <c r="G135" s="13"/>
      <c r="H135" s="14"/>
      <c r="I135" s="40">
        <v>0</v>
      </c>
      <c r="J135" s="14"/>
      <c r="K135" s="15">
        <f>(H135+I135)-J135</f>
        <v>0</v>
      </c>
    </row>
    <row r="136" spans="1:11" ht="18" customHeight="1">
      <c r="A136" s="5"/>
    </row>
    <row r="137" spans="1:11" ht="18" customHeight="1">
      <c r="A137" s="5" t="s">
        <v>163</v>
      </c>
      <c r="B137" s="1" t="s">
        <v>27</v>
      </c>
      <c r="F137" s="17">
        <f t="shared" ref="F137:K137" si="13">SUM(F131:F135)</f>
        <v>0</v>
      </c>
      <c r="G137" s="17">
        <f t="shared" si="13"/>
        <v>0</v>
      </c>
      <c r="H137" s="15">
        <f t="shared" si="13"/>
        <v>0</v>
      </c>
      <c r="I137" s="15">
        <f t="shared" si="13"/>
        <v>0</v>
      </c>
      <c r="J137" s="15">
        <f t="shared" si="13"/>
        <v>0</v>
      </c>
      <c r="K137" s="15">
        <f t="shared" si="13"/>
        <v>0</v>
      </c>
    </row>
    <row r="138" spans="1:11" ht="18" customHeight="1">
      <c r="A138"/>
    </row>
    <row r="139" spans="1:11" ht="42.75" customHeight="1">
      <c r="F139" s="8" t="s">
        <v>9</v>
      </c>
      <c r="G139" s="8" t="s">
        <v>37</v>
      </c>
      <c r="H139" s="8" t="s">
        <v>29</v>
      </c>
      <c r="I139" s="8" t="s">
        <v>30</v>
      </c>
      <c r="J139" s="8" t="s">
        <v>33</v>
      </c>
      <c r="K139" s="8" t="s">
        <v>34</v>
      </c>
    </row>
    <row r="140" spans="1:11" ht="18" customHeight="1">
      <c r="A140" s="5" t="s">
        <v>166</v>
      </c>
      <c r="B140" s="1" t="s">
        <v>26</v>
      </c>
    </row>
    <row r="141" spans="1:11" ht="18" customHeight="1">
      <c r="A141" s="4" t="s">
        <v>137</v>
      </c>
      <c r="B141" s="1" t="s">
        <v>64</v>
      </c>
      <c r="F141" s="32">
        <f t="shared" ref="F141:K141" si="14">F36</f>
        <v>2799</v>
      </c>
      <c r="G141" s="32">
        <f t="shared" si="14"/>
        <v>3375</v>
      </c>
      <c r="H141" s="32">
        <f t="shared" si="14"/>
        <v>44275</v>
      </c>
      <c r="I141" s="32">
        <f t="shared" si="14"/>
        <v>37102.449999999997</v>
      </c>
      <c r="J141" s="32">
        <f t="shared" si="14"/>
        <v>0</v>
      </c>
      <c r="K141" s="32">
        <f t="shared" si="14"/>
        <v>81377.45</v>
      </c>
    </row>
    <row r="142" spans="1:11" ht="18" customHeight="1">
      <c r="A142" s="4" t="s">
        <v>142</v>
      </c>
      <c r="B142" s="1" t="s">
        <v>65</v>
      </c>
      <c r="F142" s="32">
        <f t="shared" ref="F142:K142" si="15">F49</f>
        <v>1334</v>
      </c>
      <c r="G142" s="32">
        <f t="shared" si="15"/>
        <v>245</v>
      </c>
      <c r="H142" s="32">
        <f t="shared" si="15"/>
        <v>62424</v>
      </c>
      <c r="I142" s="32">
        <f t="shared" si="15"/>
        <v>0</v>
      </c>
      <c r="J142" s="32">
        <f t="shared" si="15"/>
        <v>0</v>
      </c>
      <c r="K142" s="32">
        <f t="shared" si="15"/>
        <v>62424</v>
      </c>
    </row>
    <row r="143" spans="1:11" ht="18" customHeight="1">
      <c r="A143" s="4" t="s">
        <v>144</v>
      </c>
      <c r="B143" s="1" t="s">
        <v>66</v>
      </c>
      <c r="F143" s="32">
        <f t="shared" ref="F143:K143" si="16">F64</f>
        <v>0</v>
      </c>
      <c r="G143" s="32">
        <f t="shared" si="16"/>
        <v>0</v>
      </c>
      <c r="H143" s="32">
        <f t="shared" si="16"/>
        <v>0</v>
      </c>
      <c r="I143" s="32">
        <f t="shared" si="16"/>
        <v>0</v>
      </c>
      <c r="J143" s="32">
        <f t="shared" si="16"/>
        <v>0</v>
      </c>
      <c r="K143" s="32">
        <f t="shared" si="16"/>
        <v>0</v>
      </c>
    </row>
    <row r="144" spans="1:11" ht="18" customHeight="1">
      <c r="A144" s="4" t="s">
        <v>146</v>
      </c>
      <c r="B144" s="1" t="s">
        <v>67</v>
      </c>
      <c r="F144" s="32">
        <f t="shared" ref="F144:K144" si="17">F74</f>
        <v>0</v>
      </c>
      <c r="G144" s="32">
        <f t="shared" si="17"/>
        <v>0</v>
      </c>
      <c r="H144" s="32">
        <f t="shared" si="17"/>
        <v>0</v>
      </c>
      <c r="I144" s="32">
        <f t="shared" si="17"/>
        <v>0</v>
      </c>
      <c r="J144" s="32">
        <f t="shared" si="17"/>
        <v>0</v>
      </c>
      <c r="K144" s="32">
        <f t="shared" si="17"/>
        <v>0</v>
      </c>
    </row>
    <row r="145" spans="1:11" ht="18" customHeight="1">
      <c r="A145" s="4" t="s">
        <v>148</v>
      </c>
      <c r="B145" s="1" t="s">
        <v>68</v>
      </c>
      <c r="F145" s="32">
        <f t="shared" ref="F145:K145" si="18">F82</f>
        <v>0</v>
      </c>
      <c r="G145" s="32">
        <f t="shared" si="18"/>
        <v>5</v>
      </c>
      <c r="H145" s="32">
        <f t="shared" si="18"/>
        <v>1655</v>
      </c>
      <c r="I145" s="32">
        <f t="shared" si="18"/>
        <v>0</v>
      </c>
      <c r="J145" s="32">
        <f t="shared" si="18"/>
        <v>0</v>
      </c>
      <c r="K145" s="32">
        <f t="shared" si="18"/>
        <v>1655</v>
      </c>
    </row>
    <row r="146" spans="1:11" ht="18" customHeight="1">
      <c r="A146" s="4" t="s">
        <v>150</v>
      </c>
      <c r="B146" s="1" t="s">
        <v>69</v>
      </c>
      <c r="F146" s="32">
        <f t="shared" ref="F146:K146" si="19">F98</f>
        <v>119</v>
      </c>
      <c r="G146" s="32">
        <f t="shared" si="19"/>
        <v>1114</v>
      </c>
      <c r="H146" s="32">
        <f t="shared" si="19"/>
        <v>15301</v>
      </c>
      <c r="I146" s="32">
        <f t="shared" si="19"/>
        <v>12822.237999999999</v>
      </c>
      <c r="J146" s="32">
        <f t="shared" si="19"/>
        <v>0</v>
      </c>
      <c r="K146" s="32">
        <f t="shared" si="19"/>
        <v>28123.237999999998</v>
      </c>
    </row>
    <row r="147" spans="1:11" ht="18" customHeight="1">
      <c r="A147" s="4" t="s">
        <v>153</v>
      </c>
      <c r="B147" s="1" t="s">
        <v>61</v>
      </c>
      <c r="F147" s="17">
        <f t="shared" ref="F147:K147" si="20">F108</f>
        <v>26</v>
      </c>
      <c r="G147" s="17">
        <f t="shared" si="20"/>
        <v>18</v>
      </c>
      <c r="H147" s="17">
        <f t="shared" si="20"/>
        <v>1072</v>
      </c>
      <c r="I147" s="17">
        <f t="shared" si="20"/>
        <v>898.33600000000001</v>
      </c>
      <c r="J147" s="17">
        <f t="shared" si="20"/>
        <v>0</v>
      </c>
      <c r="K147" s="17">
        <f t="shared" si="20"/>
        <v>1970.3359999999998</v>
      </c>
    </row>
    <row r="148" spans="1:11" ht="18" customHeight="1">
      <c r="A148" s="4" t="s">
        <v>155</v>
      </c>
      <c r="B148" s="1" t="s">
        <v>70</v>
      </c>
      <c r="F148" s="33" t="s">
        <v>73</v>
      </c>
      <c r="G148" s="33" t="s">
        <v>73</v>
      </c>
      <c r="H148" s="34" t="s">
        <v>73</v>
      </c>
      <c r="I148" s="34" t="s">
        <v>73</v>
      </c>
      <c r="J148" s="34" t="s">
        <v>73</v>
      </c>
      <c r="K148" s="28">
        <f>F111</f>
        <v>278769</v>
      </c>
    </row>
    <row r="149" spans="1:11" ht="18" customHeight="1">
      <c r="A149" s="4" t="s">
        <v>163</v>
      </c>
      <c r="B149" s="1" t="s">
        <v>71</v>
      </c>
      <c r="F149" s="17">
        <f t="shared" ref="F149:K149" si="21">F137</f>
        <v>0</v>
      </c>
      <c r="G149" s="17">
        <f t="shared" si="21"/>
        <v>0</v>
      </c>
      <c r="H149" s="17">
        <f t="shared" si="21"/>
        <v>0</v>
      </c>
      <c r="I149" s="17">
        <f t="shared" si="21"/>
        <v>0</v>
      </c>
      <c r="J149" s="17">
        <f t="shared" si="21"/>
        <v>0</v>
      </c>
      <c r="K149" s="17">
        <f t="shared" si="21"/>
        <v>0</v>
      </c>
    </row>
    <row r="150" spans="1:11" ht="18" customHeight="1">
      <c r="A150" s="4" t="s">
        <v>185</v>
      </c>
      <c r="B150" s="1" t="s">
        <v>186</v>
      </c>
      <c r="F150" s="33" t="s">
        <v>73</v>
      </c>
      <c r="G150" s="33" t="s">
        <v>73</v>
      </c>
      <c r="H150" s="17">
        <f>H18</f>
        <v>332066</v>
      </c>
      <c r="I150" s="17">
        <f>I18</f>
        <v>0</v>
      </c>
      <c r="J150" s="17">
        <f>J18</f>
        <v>283958</v>
      </c>
      <c r="K150" s="17">
        <f>K18</f>
        <v>48108</v>
      </c>
    </row>
    <row r="151" spans="1:11" ht="18" customHeight="1">
      <c r="B151" s="1"/>
      <c r="F151" s="38"/>
      <c r="G151" s="38"/>
      <c r="H151" s="38"/>
      <c r="I151" s="38"/>
      <c r="J151" s="38"/>
      <c r="K151" s="38"/>
    </row>
    <row r="152" spans="1:11" ht="18" customHeight="1">
      <c r="A152" s="5" t="s">
        <v>165</v>
      </c>
      <c r="B152" s="1" t="s">
        <v>26</v>
      </c>
      <c r="F152" s="39">
        <f t="shared" ref="F152:K152" si="22">SUM(F141:F150)</f>
        <v>4278</v>
      </c>
      <c r="G152" s="39">
        <f t="shared" si="22"/>
        <v>4757</v>
      </c>
      <c r="H152" s="39">
        <f t="shared" si="22"/>
        <v>456793</v>
      </c>
      <c r="I152" s="39">
        <f t="shared" si="22"/>
        <v>50823.023999999998</v>
      </c>
      <c r="J152" s="39">
        <f t="shared" si="22"/>
        <v>283958</v>
      </c>
      <c r="K152" s="39">
        <f t="shared" si="22"/>
        <v>502427.02400000003</v>
      </c>
    </row>
    <row r="154" spans="1:11" ht="18" customHeight="1">
      <c r="A154" s="5" t="s">
        <v>168</v>
      </c>
      <c r="B154" s="1" t="s">
        <v>28</v>
      </c>
      <c r="F154" s="676">
        <f>K152/F121</f>
        <v>3.391533462421583E-2</v>
      </c>
    </row>
    <row r="155" spans="1:11" ht="18" customHeight="1">
      <c r="A155" s="5" t="s">
        <v>169</v>
      </c>
      <c r="B155" s="1" t="s">
        <v>72</v>
      </c>
      <c r="F155" s="676">
        <f>K152/F127</f>
        <v>-0.91774700844084567</v>
      </c>
      <c r="G155" s="1"/>
    </row>
    <row r="156" spans="1:11" ht="18" customHeight="1">
      <c r="G156" s="1"/>
    </row>
  </sheetData>
  <sheetProtection algorithmName="SHA-512" hashValue="iVvdvBFvLJrCQayOzWBOnlmmkvSOlg0vsuWfxw4ykvUWsRMIU69Eos4F9LU4n3blGdfrud4L5z60Zw6vfmvLvQ==" saltValue="dNfDTr1s26G+Dg2uXX89nw==" spinCount="100000" sheet="1" objects="1" scenarios="1"/>
  <mergeCells count="34">
    <mergeCell ref="B106:D106"/>
    <mergeCell ref="B133:D133"/>
    <mergeCell ref="B134:D134"/>
    <mergeCell ref="B135:D135"/>
    <mergeCell ref="B94:D94"/>
    <mergeCell ref="B95:D95"/>
    <mergeCell ref="B96:D96"/>
    <mergeCell ref="B103:C103"/>
    <mergeCell ref="B104:D104"/>
    <mergeCell ref="B105:D105"/>
    <mergeCell ref="B90:C90"/>
    <mergeCell ref="B44:D44"/>
    <mergeCell ref="B45:D45"/>
    <mergeCell ref="B46:D46"/>
    <mergeCell ref="B47:D47"/>
    <mergeCell ref="B52:C52"/>
    <mergeCell ref="B53:D53"/>
    <mergeCell ref="B55:D55"/>
    <mergeCell ref="B56:D56"/>
    <mergeCell ref="B57:D57"/>
    <mergeCell ref="B59:D59"/>
    <mergeCell ref="B62:D62"/>
    <mergeCell ref="B41:C41"/>
    <mergeCell ref="D2:H2"/>
    <mergeCell ref="C5:G5"/>
    <mergeCell ref="C6:G6"/>
    <mergeCell ref="C7:G7"/>
    <mergeCell ref="C9:G9"/>
    <mergeCell ref="C10:G10"/>
    <mergeCell ref="C11:G11"/>
    <mergeCell ref="B13:H13"/>
    <mergeCell ref="B30:D30"/>
    <mergeCell ref="B31:D31"/>
    <mergeCell ref="B34:D34"/>
  </mergeCells>
  <printOptions headings="1" gridLines="1"/>
  <pageMargins left="0.17" right="0.16" top="0.35" bottom="0.32" header="0.17" footer="0.17"/>
  <pageSetup scale="59" fitToHeight="3" orientation="landscape"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K156"/>
  <sheetViews>
    <sheetView showGridLines="0" zoomScaleNormal="100" zoomScaleSheetLayoutView="80" workbookViewId="0">
      <selection activeCell="H18" sqref="H18"/>
    </sheetView>
  </sheetViews>
  <sheetFormatPr defaultRowHeight="18" customHeight="1"/>
  <cols>
    <col min="1" max="1" width="8.28515625" style="146" customWidth="1"/>
    <col min="2" max="2" width="55.42578125" style="147" bestFit="1" customWidth="1"/>
    <col min="3" max="3" width="9.5703125" style="147" customWidth="1"/>
    <col min="4" max="4" width="9.140625" style="147"/>
    <col min="5" max="5" width="12.42578125" style="147" customWidth="1"/>
    <col min="6" max="6" width="18.5703125" style="147" customWidth="1"/>
    <col min="7" max="7" width="23.5703125" style="147" customWidth="1"/>
    <col min="8" max="8" width="17.28515625" style="147" customWidth="1"/>
    <col min="9" max="9" width="21.28515625" style="147" customWidth="1"/>
    <col min="10" max="10" width="19.7109375" style="147" customWidth="1"/>
    <col min="11" max="11" width="17.5703125" style="147" customWidth="1"/>
    <col min="12" max="16384" width="9.140625" style="147"/>
  </cols>
  <sheetData>
    <row r="1" spans="1:11" ht="18" customHeight="1">
      <c r="C1" s="148"/>
      <c r="D1" s="149"/>
      <c r="E1" s="148"/>
      <c r="F1" s="148"/>
      <c r="G1" s="148"/>
      <c r="H1" s="148"/>
      <c r="I1" s="148"/>
      <c r="J1" s="148"/>
      <c r="K1" s="148"/>
    </row>
    <row r="2" spans="1:11" ht="18" customHeight="1">
      <c r="D2" s="910" t="s">
        <v>713</v>
      </c>
      <c r="E2" s="911"/>
      <c r="F2" s="911"/>
      <c r="G2" s="911"/>
      <c r="H2" s="911"/>
    </row>
    <row r="3" spans="1:11" ht="18" customHeight="1">
      <c r="B3" s="150" t="s">
        <v>0</v>
      </c>
    </row>
    <row r="5" spans="1:11" ht="18" customHeight="1">
      <c r="B5" s="151" t="s">
        <v>40</v>
      </c>
      <c r="C5" s="917" t="s">
        <v>440</v>
      </c>
      <c r="D5" s="918"/>
      <c r="E5" s="918"/>
      <c r="F5" s="918"/>
      <c r="G5" s="919"/>
    </row>
    <row r="6" spans="1:11" ht="18" customHeight="1">
      <c r="B6" s="151" t="s">
        <v>3</v>
      </c>
      <c r="C6" s="920" t="s">
        <v>441</v>
      </c>
      <c r="D6" s="921"/>
      <c r="E6" s="921"/>
      <c r="F6" s="921"/>
      <c r="G6" s="922"/>
    </row>
    <row r="7" spans="1:11" ht="18" customHeight="1">
      <c r="B7" s="151" t="s">
        <v>4</v>
      </c>
      <c r="C7" s="930">
        <v>1754</v>
      </c>
      <c r="D7" s="924"/>
      <c r="E7" s="924"/>
      <c r="F7" s="924"/>
      <c r="G7" s="925"/>
    </row>
    <row r="9" spans="1:11" ht="18" customHeight="1">
      <c r="B9" s="151" t="s">
        <v>1</v>
      </c>
      <c r="C9" s="917" t="s">
        <v>442</v>
      </c>
      <c r="D9" s="918"/>
      <c r="E9" s="918"/>
      <c r="F9" s="918"/>
      <c r="G9" s="919"/>
    </row>
    <row r="10" spans="1:11" ht="18" customHeight="1">
      <c r="B10" s="151" t="s">
        <v>2</v>
      </c>
      <c r="C10" s="980" t="s">
        <v>443</v>
      </c>
      <c r="D10" s="927"/>
      <c r="E10" s="927"/>
      <c r="F10" s="927"/>
      <c r="G10" s="928"/>
    </row>
    <row r="11" spans="1:11" ht="18" customHeight="1">
      <c r="B11" s="151" t="s">
        <v>32</v>
      </c>
      <c r="C11" s="917" t="s">
        <v>444</v>
      </c>
      <c r="D11" s="913"/>
      <c r="E11" s="913"/>
      <c r="F11" s="913"/>
      <c r="G11" s="913"/>
    </row>
    <row r="12" spans="1:11" ht="18" customHeight="1">
      <c r="B12" s="151"/>
      <c r="C12" s="151"/>
      <c r="D12" s="151"/>
      <c r="E12" s="151"/>
      <c r="F12" s="151"/>
      <c r="G12" s="151"/>
    </row>
    <row r="13" spans="1:11" ht="24.6" customHeight="1">
      <c r="B13" s="914"/>
      <c r="C13" s="915"/>
      <c r="D13" s="915"/>
      <c r="E13" s="915"/>
      <c r="F13" s="915"/>
      <c r="G13" s="915"/>
      <c r="H13" s="916"/>
      <c r="I13" s="148"/>
    </row>
    <row r="14" spans="1:11" ht="18" customHeight="1">
      <c r="B14" s="152"/>
    </row>
    <row r="15" spans="1:11" ht="18" customHeight="1">
      <c r="B15" s="152"/>
    </row>
    <row r="16" spans="1:11" ht="45" customHeight="1">
      <c r="A16" s="149" t="s">
        <v>181</v>
      </c>
      <c r="B16" s="148"/>
      <c r="C16" s="148"/>
      <c r="D16" s="148"/>
      <c r="E16" s="148"/>
      <c r="F16" s="153" t="s">
        <v>9</v>
      </c>
      <c r="G16" s="153" t="s">
        <v>37</v>
      </c>
      <c r="H16" s="153" t="s">
        <v>29</v>
      </c>
      <c r="I16" s="153" t="s">
        <v>30</v>
      </c>
      <c r="J16" s="153" t="s">
        <v>33</v>
      </c>
      <c r="K16" s="153" t="s">
        <v>34</v>
      </c>
    </row>
    <row r="17" spans="1:11" ht="18" customHeight="1">
      <c r="A17" s="154" t="s">
        <v>184</v>
      </c>
      <c r="B17" s="150" t="s">
        <v>182</v>
      </c>
    </row>
    <row r="18" spans="1:11" ht="18" customHeight="1">
      <c r="A18" s="151" t="s">
        <v>185</v>
      </c>
      <c r="B18" s="155" t="s">
        <v>183</v>
      </c>
      <c r="F18" s="156" t="s">
        <v>73</v>
      </c>
      <c r="G18" s="156" t="s">
        <v>73</v>
      </c>
      <c r="H18" s="157">
        <f>'[30](Tab 6) HSCRC_total By Category'!$E$7</f>
        <v>7185249</v>
      </c>
      <c r="I18" s="158">
        <f>'[30](Tab 6) HSCRC_total By Category'!$F$7</f>
        <v>0</v>
      </c>
      <c r="J18" s="157">
        <f>'[30](Tab 6) HSCRC_total By Category'!$H$7</f>
        <v>6144286</v>
      </c>
      <c r="K18" s="159">
        <f>(H18+I18)-J18</f>
        <v>1040963</v>
      </c>
    </row>
    <row r="19" spans="1:11" ht="45" customHeight="1">
      <c r="A19" s="149" t="s">
        <v>8</v>
      </c>
      <c r="B19" s="148"/>
      <c r="C19" s="148"/>
      <c r="D19" s="148"/>
      <c r="E19" s="148"/>
      <c r="F19" s="153" t="s">
        <v>9</v>
      </c>
      <c r="G19" s="153" t="s">
        <v>37</v>
      </c>
      <c r="H19" s="153" t="s">
        <v>29</v>
      </c>
      <c r="I19" s="153" t="s">
        <v>30</v>
      </c>
      <c r="J19" s="153" t="s">
        <v>33</v>
      </c>
      <c r="K19" s="153" t="s">
        <v>34</v>
      </c>
    </row>
    <row r="20" spans="1:11" ht="18" customHeight="1">
      <c r="A20" s="154" t="s">
        <v>74</v>
      </c>
      <c r="B20" s="150" t="s">
        <v>41</v>
      </c>
    </row>
    <row r="21" spans="1:11" ht="18" customHeight="1">
      <c r="A21" s="151" t="s">
        <v>75</v>
      </c>
      <c r="B21" s="155" t="s">
        <v>42</v>
      </c>
      <c r="F21" s="156">
        <f>'[30](Tab 6) HSCRC_total By Category'!$C11</f>
        <v>11273</v>
      </c>
      <c r="G21" s="156">
        <f>'[30](Tab 6) HSCRC_total By Category'!$D11</f>
        <v>998473</v>
      </c>
      <c r="H21" s="157">
        <f>'[30](Tab 6) HSCRC_total By Category'!$E11</f>
        <v>1174965.3744065783</v>
      </c>
      <c r="I21" s="158">
        <f>'[30](Tab 6) HSCRC_total By Category'!$F11</f>
        <v>803722.14114411396</v>
      </c>
      <c r="J21" s="157">
        <f>'[30](Tab 6) HSCRC_total By Category'!$H11</f>
        <v>346063</v>
      </c>
      <c r="K21" s="159">
        <f t="shared" ref="K21:K34" si="0">(H21+I21)-J21</f>
        <v>1632624.5155506921</v>
      </c>
    </row>
    <row r="22" spans="1:11" ht="18" customHeight="1">
      <c r="A22" s="151" t="s">
        <v>76</v>
      </c>
      <c r="B22" s="147" t="s">
        <v>6</v>
      </c>
      <c r="F22" s="156">
        <f>'[30](Tab 6) HSCRC_total By Category'!$C12</f>
        <v>364</v>
      </c>
      <c r="G22" s="156">
        <f>'[30](Tab 6) HSCRC_total By Category'!$D12</f>
        <v>1248</v>
      </c>
      <c r="H22" s="157">
        <f>'[30](Tab 6) HSCRC_total By Category'!$E12</f>
        <v>21294.912428990403</v>
      </c>
      <c r="I22" s="158">
        <f>'[30](Tab 6) HSCRC_total By Category'!$F12</f>
        <v>14566.550628395054</v>
      </c>
      <c r="J22" s="157">
        <f>'[30](Tab 6) HSCRC_total By Category'!$H12</f>
        <v>0</v>
      </c>
      <c r="K22" s="159">
        <f t="shared" si="0"/>
        <v>35861.463057385459</v>
      </c>
    </row>
    <row r="23" spans="1:11" ht="18" customHeight="1">
      <c r="A23" s="151" t="s">
        <v>77</v>
      </c>
      <c r="B23" s="147" t="s">
        <v>43</v>
      </c>
      <c r="F23" s="156">
        <f>'[30](Tab 6) HSCRC_total By Category'!$C13</f>
        <v>216</v>
      </c>
      <c r="G23" s="156">
        <f>'[30](Tab 6) HSCRC_total By Category'!$D13</f>
        <v>308</v>
      </c>
      <c r="H23" s="157">
        <f>'[30](Tab 6) HSCRC_total By Category'!$E13</f>
        <v>17263</v>
      </c>
      <c r="I23" s="158">
        <f>'[30](Tab 6) HSCRC_total By Category'!$F13</f>
        <v>11808.56527757535</v>
      </c>
      <c r="J23" s="157">
        <f>'[30](Tab 6) HSCRC_total By Category'!$H13</f>
        <v>8094</v>
      </c>
      <c r="K23" s="159">
        <f t="shared" si="0"/>
        <v>20977.565277575348</v>
      </c>
    </row>
    <row r="24" spans="1:11" ht="18" customHeight="1">
      <c r="A24" s="151" t="s">
        <v>78</v>
      </c>
      <c r="B24" s="147" t="s">
        <v>44</v>
      </c>
      <c r="F24" s="156">
        <f>'[30](Tab 6) HSCRC_total By Category'!$C14</f>
        <v>0</v>
      </c>
      <c r="G24" s="156">
        <f>'[30](Tab 6) HSCRC_total By Category'!$D14</f>
        <v>0</v>
      </c>
      <c r="H24" s="157">
        <f>'[30](Tab 6) HSCRC_total By Category'!$E14</f>
        <v>0</v>
      </c>
      <c r="I24" s="158">
        <f>'[30](Tab 6) HSCRC_total By Category'!$F14</f>
        <v>0</v>
      </c>
      <c r="J24" s="157">
        <f>'[30](Tab 6) HSCRC_total By Category'!$H14</f>
        <v>0</v>
      </c>
      <c r="K24" s="159">
        <f t="shared" si="0"/>
        <v>0</v>
      </c>
    </row>
    <row r="25" spans="1:11" ht="18" customHeight="1">
      <c r="A25" s="151" t="s">
        <v>79</v>
      </c>
      <c r="B25" s="147" t="s">
        <v>5</v>
      </c>
      <c r="F25" s="156">
        <f>'[30](Tab 6) HSCRC_total By Category'!$C15</f>
        <v>3851</v>
      </c>
      <c r="G25" s="156">
        <f>'[30](Tab 6) HSCRC_total By Category'!$D15</f>
        <v>5446</v>
      </c>
      <c r="H25" s="157">
        <f>'[30](Tab 6) HSCRC_total By Category'!$E15</f>
        <v>306282.61366664869</v>
      </c>
      <c r="I25" s="158">
        <f>'[30](Tab 6) HSCRC_total By Category'!$F15</f>
        <v>209509.25313497148</v>
      </c>
      <c r="J25" s="157">
        <f>'[30](Tab 6) HSCRC_total By Category'!$H15</f>
        <v>143114</v>
      </c>
      <c r="K25" s="159">
        <f t="shared" si="0"/>
        <v>372677.86680162017</v>
      </c>
    </row>
    <row r="26" spans="1:11" ht="18" customHeight="1">
      <c r="A26" s="151" t="s">
        <v>80</v>
      </c>
      <c r="B26" s="147" t="s">
        <v>45</v>
      </c>
      <c r="F26" s="156">
        <f>'[30](Tab 6) HSCRC_total By Category'!$C16</f>
        <v>0</v>
      </c>
      <c r="G26" s="156">
        <f>'[30](Tab 6) HSCRC_total By Category'!$D16</f>
        <v>0</v>
      </c>
      <c r="H26" s="157">
        <f>'[30](Tab 6) HSCRC_total By Category'!$E16</f>
        <v>0</v>
      </c>
      <c r="I26" s="158">
        <f>'[30](Tab 6) HSCRC_total By Category'!$F16</f>
        <v>0</v>
      </c>
      <c r="J26" s="157">
        <f>'[30](Tab 6) HSCRC_total By Category'!$H16</f>
        <v>0</v>
      </c>
      <c r="K26" s="159">
        <f t="shared" si="0"/>
        <v>0</v>
      </c>
    </row>
    <row r="27" spans="1:11" ht="18" customHeight="1">
      <c r="A27" s="151" t="s">
        <v>81</v>
      </c>
      <c r="B27" s="147" t="s">
        <v>46</v>
      </c>
      <c r="F27" s="156">
        <f>'[30](Tab 6) HSCRC_total By Category'!$C17</f>
        <v>0</v>
      </c>
      <c r="G27" s="156">
        <f>'[30](Tab 6) HSCRC_total By Category'!$D17</f>
        <v>0</v>
      </c>
      <c r="H27" s="157">
        <f>'[30](Tab 6) HSCRC_total By Category'!$E17</f>
        <v>0</v>
      </c>
      <c r="I27" s="158">
        <f>'[30](Tab 6) HSCRC_total By Category'!$F17</f>
        <v>0</v>
      </c>
      <c r="J27" s="157">
        <f>'[30](Tab 6) HSCRC_total By Category'!$H17</f>
        <v>0</v>
      </c>
      <c r="K27" s="159">
        <f t="shared" si="0"/>
        <v>0</v>
      </c>
    </row>
    <row r="28" spans="1:11" ht="18" customHeight="1">
      <c r="A28" s="151" t="s">
        <v>82</v>
      </c>
      <c r="B28" s="147" t="s">
        <v>47</v>
      </c>
      <c r="F28" s="156">
        <f>'[30](Tab 6) HSCRC_total By Category'!$C18</f>
        <v>0</v>
      </c>
      <c r="G28" s="156">
        <f>'[30](Tab 6) HSCRC_total By Category'!$D18</f>
        <v>0</v>
      </c>
      <c r="H28" s="157">
        <f>'[30](Tab 6) HSCRC_total By Category'!$E18</f>
        <v>0</v>
      </c>
      <c r="I28" s="158">
        <f>'[30](Tab 6) HSCRC_total By Category'!$F18</f>
        <v>0</v>
      </c>
      <c r="J28" s="157">
        <f>'[30](Tab 6) HSCRC_total By Category'!$H18</f>
        <v>0</v>
      </c>
      <c r="K28" s="159">
        <f t="shared" si="0"/>
        <v>0</v>
      </c>
    </row>
    <row r="29" spans="1:11" ht="18" customHeight="1">
      <c r="A29" s="151" t="s">
        <v>83</v>
      </c>
      <c r="B29" s="147" t="s">
        <v>48</v>
      </c>
      <c r="F29" s="156">
        <f>'[30](Tab 6) HSCRC_total By Category'!$C19</f>
        <v>0</v>
      </c>
      <c r="G29" s="156">
        <f>'[30](Tab 6) HSCRC_total By Category'!$D19</f>
        <v>0</v>
      </c>
      <c r="H29" s="157">
        <f>'[30](Tab 6) HSCRC_total By Category'!$E19</f>
        <v>431169</v>
      </c>
      <c r="I29" s="158">
        <f>'[30](Tab 6) HSCRC_total By Category'!$F19</f>
        <v>120971.61332178203</v>
      </c>
      <c r="J29" s="157">
        <f>'[30](Tab 6) HSCRC_total By Category'!$H19</f>
        <v>0</v>
      </c>
      <c r="K29" s="159">
        <f t="shared" si="0"/>
        <v>552140.61332178209</v>
      </c>
    </row>
    <row r="30" spans="1:11" ht="18" customHeight="1">
      <c r="A30" s="151" t="s">
        <v>84</v>
      </c>
      <c r="B30" s="898"/>
      <c r="C30" s="899"/>
      <c r="D30" s="900"/>
      <c r="F30" s="156"/>
      <c r="G30" s="156"/>
      <c r="H30" s="157"/>
      <c r="I30" s="158">
        <f>H30*F$114</f>
        <v>0</v>
      </c>
      <c r="J30" s="157"/>
      <c r="K30" s="159">
        <f t="shared" si="0"/>
        <v>0</v>
      </c>
    </row>
    <row r="31" spans="1:11" ht="18" customHeight="1">
      <c r="A31" s="151" t="s">
        <v>133</v>
      </c>
      <c r="B31" s="898"/>
      <c r="C31" s="899"/>
      <c r="D31" s="900"/>
      <c r="F31" s="156"/>
      <c r="G31" s="156"/>
      <c r="H31" s="157"/>
      <c r="I31" s="158">
        <f>H31*F$114</f>
        <v>0</v>
      </c>
      <c r="J31" s="157"/>
      <c r="K31" s="159">
        <f t="shared" si="0"/>
        <v>0</v>
      </c>
    </row>
    <row r="32" spans="1:11" ht="18" customHeight="1">
      <c r="A32" s="151" t="s">
        <v>134</v>
      </c>
      <c r="B32" s="393"/>
      <c r="C32" s="394"/>
      <c r="D32" s="395"/>
      <c r="F32" s="156"/>
      <c r="G32" s="160" t="s">
        <v>85</v>
      </c>
      <c r="H32" s="157"/>
      <c r="I32" s="158">
        <f>H32*F$114</f>
        <v>0</v>
      </c>
      <c r="J32" s="157"/>
      <c r="K32" s="159">
        <f t="shared" si="0"/>
        <v>0</v>
      </c>
    </row>
    <row r="33" spans="1:11" ht="18" customHeight="1">
      <c r="A33" s="151" t="s">
        <v>135</v>
      </c>
      <c r="B33" s="393"/>
      <c r="C33" s="394"/>
      <c r="D33" s="395"/>
      <c r="F33" s="156"/>
      <c r="G33" s="160" t="s">
        <v>85</v>
      </c>
      <c r="H33" s="157"/>
      <c r="I33" s="158">
        <f>H33*F$114</f>
        <v>0</v>
      </c>
      <c r="J33" s="157"/>
      <c r="K33" s="159">
        <f t="shared" si="0"/>
        <v>0</v>
      </c>
    </row>
    <row r="34" spans="1:11" ht="18" customHeight="1">
      <c r="A34" s="151" t="s">
        <v>136</v>
      </c>
      <c r="B34" s="898"/>
      <c r="C34" s="899"/>
      <c r="D34" s="900"/>
      <c r="F34" s="156"/>
      <c r="G34" s="160" t="s">
        <v>85</v>
      </c>
      <c r="H34" s="157"/>
      <c r="I34" s="158">
        <f>H34*F$114</f>
        <v>0</v>
      </c>
      <c r="J34" s="157"/>
      <c r="K34" s="159">
        <f t="shared" si="0"/>
        <v>0</v>
      </c>
    </row>
    <row r="35" spans="1:11" ht="18" customHeight="1">
      <c r="K35" s="161"/>
    </row>
    <row r="36" spans="1:11" ht="18" customHeight="1">
      <c r="A36" s="154" t="s">
        <v>137</v>
      </c>
      <c r="B36" s="150" t="s">
        <v>138</v>
      </c>
      <c r="E36" s="150" t="s">
        <v>7</v>
      </c>
      <c r="F36" s="162">
        <f t="shared" ref="F36:K36" si="1">SUM(F21:F34)</f>
        <v>15704</v>
      </c>
      <c r="G36" s="162">
        <f t="shared" si="1"/>
        <v>1005475</v>
      </c>
      <c r="H36" s="162">
        <f t="shared" si="1"/>
        <v>1950974.9005022175</v>
      </c>
      <c r="I36" s="159">
        <f t="shared" si="1"/>
        <v>1160578.123506838</v>
      </c>
      <c r="J36" s="159">
        <f t="shared" si="1"/>
        <v>497271</v>
      </c>
      <c r="K36" s="159">
        <f t="shared" si="1"/>
        <v>2614282.0240090555</v>
      </c>
    </row>
    <row r="37" spans="1:11" ht="18" customHeight="1" thickBot="1">
      <c r="B37" s="150"/>
      <c r="F37" s="163"/>
      <c r="G37" s="163"/>
      <c r="H37" s="164"/>
      <c r="I37" s="164"/>
      <c r="J37" s="164"/>
      <c r="K37" s="165"/>
    </row>
    <row r="38" spans="1:11" ht="42.75" customHeight="1">
      <c r="F38" s="153" t="s">
        <v>9</v>
      </c>
      <c r="G38" s="153" t="s">
        <v>37</v>
      </c>
      <c r="H38" s="153" t="s">
        <v>29</v>
      </c>
      <c r="I38" s="153" t="s">
        <v>30</v>
      </c>
      <c r="J38" s="153" t="s">
        <v>33</v>
      </c>
      <c r="K38" s="153" t="s">
        <v>34</v>
      </c>
    </row>
    <row r="39" spans="1:11" ht="18.75" customHeight="1">
      <c r="A39" s="154" t="s">
        <v>86</v>
      </c>
      <c r="B39" s="150" t="s">
        <v>49</v>
      </c>
    </row>
    <row r="40" spans="1:11" ht="18" customHeight="1">
      <c r="A40" s="151" t="s">
        <v>87</v>
      </c>
      <c r="B40" s="147" t="s">
        <v>31</v>
      </c>
      <c r="F40" s="156"/>
      <c r="G40" s="156"/>
      <c r="H40" s="157"/>
      <c r="I40" s="158">
        <v>0</v>
      </c>
      <c r="J40" s="157"/>
      <c r="K40" s="159">
        <f t="shared" ref="K40:K47" si="2">(H40+I40)-J40</f>
        <v>0</v>
      </c>
    </row>
    <row r="41" spans="1:11" ht="18" customHeight="1">
      <c r="A41" s="151" t="s">
        <v>88</v>
      </c>
      <c r="B41" s="904" t="s">
        <v>50</v>
      </c>
      <c r="C41" s="907"/>
      <c r="F41" s="156">
        <f>'[30](Tab 6) HSCRC_total By Category'!$C30</f>
        <v>1560</v>
      </c>
      <c r="G41" s="156">
        <f>'[30](Tab 6) HSCRC_total By Category'!$D30</f>
        <v>4</v>
      </c>
      <c r="H41" s="157">
        <f>'[30](Tab 6) HSCRC_total By Category'!$E30</f>
        <v>88833.864104939945</v>
      </c>
      <c r="I41" s="158">
        <f>'[30](Tab 6) HSCRC_total By Category'!$F30</f>
        <v>0</v>
      </c>
      <c r="J41" s="157"/>
      <c r="K41" s="159">
        <f t="shared" si="2"/>
        <v>88833.864104939945</v>
      </c>
    </row>
    <row r="42" spans="1:11" ht="18" customHeight="1">
      <c r="A42" s="151" t="s">
        <v>89</v>
      </c>
      <c r="B42" s="155" t="s">
        <v>11</v>
      </c>
      <c r="F42" s="156">
        <f>'[30](Tab 6) HSCRC_total By Category'!$C$31</f>
        <v>6260</v>
      </c>
      <c r="G42" s="156">
        <f>'[30](Tab 6) HSCRC_total By Category'!$D$31</f>
        <v>40</v>
      </c>
      <c r="H42" s="157">
        <f>'[30](Tab 6) HSCRC_total By Category'!$E31</f>
        <v>299389.5218156249</v>
      </c>
      <c r="I42" s="158">
        <v>0</v>
      </c>
      <c r="J42" s="157"/>
      <c r="K42" s="159">
        <f t="shared" si="2"/>
        <v>299389.5218156249</v>
      </c>
    </row>
    <row r="43" spans="1:11" ht="18" customHeight="1">
      <c r="A43" s="151" t="s">
        <v>90</v>
      </c>
      <c r="B43" s="166" t="s">
        <v>10</v>
      </c>
      <c r="C43" s="167"/>
      <c r="D43" s="167"/>
      <c r="F43" s="156">
        <f>'[30](Tab 6) HSCRC_total By Category'!$C$32</f>
        <v>104</v>
      </c>
      <c r="G43" s="156">
        <f>'[30](Tab 6) HSCRC_total By Category'!$D$32</f>
        <v>0</v>
      </c>
      <c r="H43" s="157">
        <f>'[30](Tab 6) HSCRC_total By Category'!$E32</f>
        <v>378815.92987009091</v>
      </c>
      <c r="I43" s="158">
        <v>0</v>
      </c>
      <c r="J43" s="157"/>
      <c r="K43" s="159">
        <f t="shared" si="2"/>
        <v>378815.92987009091</v>
      </c>
    </row>
    <row r="44" spans="1:11" ht="18" customHeight="1">
      <c r="A44" s="151" t="s">
        <v>91</v>
      </c>
      <c r="B44" s="898" t="s">
        <v>830</v>
      </c>
      <c r="C44" s="899"/>
      <c r="D44" s="900"/>
      <c r="F44" s="168">
        <f>'[30](Tab 6) HSCRC_total By Category'!$C$33</f>
        <v>2545</v>
      </c>
      <c r="G44" s="156">
        <f>'[30](Tab 6) HSCRC_total By Category'!$D$33</f>
        <v>15001</v>
      </c>
      <c r="H44" s="157">
        <f>'[30](Tab 6) HSCRC_total By Category'!$E33</f>
        <v>78803.316546136193</v>
      </c>
      <c r="I44" s="169">
        <v>0</v>
      </c>
      <c r="J44" s="168"/>
      <c r="K44" s="170">
        <f t="shared" si="2"/>
        <v>78803.316546136193</v>
      </c>
    </row>
    <row r="45" spans="1:11" ht="18" customHeight="1">
      <c r="A45" s="151" t="s">
        <v>139</v>
      </c>
      <c r="B45" s="898"/>
      <c r="C45" s="899"/>
      <c r="D45" s="900"/>
      <c r="F45" s="156"/>
      <c r="G45" s="156"/>
      <c r="H45" s="157"/>
      <c r="I45" s="158">
        <v>0</v>
      </c>
      <c r="J45" s="157"/>
      <c r="K45" s="159">
        <f t="shared" si="2"/>
        <v>0</v>
      </c>
    </row>
    <row r="46" spans="1:11" ht="18" customHeight="1">
      <c r="A46" s="151" t="s">
        <v>140</v>
      </c>
      <c r="B46" s="898"/>
      <c r="C46" s="899"/>
      <c r="D46" s="900"/>
      <c r="F46" s="156"/>
      <c r="G46" s="156"/>
      <c r="H46" s="157"/>
      <c r="I46" s="158">
        <v>0</v>
      </c>
      <c r="J46" s="157"/>
      <c r="K46" s="159">
        <f t="shared" si="2"/>
        <v>0</v>
      </c>
    </row>
    <row r="47" spans="1:11" ht="18" customHeight="1">
      <c r="A47" s="151" t="s">
        <v>141</v>
      </c>
      <c r="B47" s="898"/>
      <c r="C47" s="899"/>
      <c r="D47" s="900"/>
      <c r="F47" s="156"/>
      <c r="G47" s="156"/>
      <c r="H47" s="157"/>
      <c r="I47" s="158">
        <v>0</v>
      </c>
      <c r="J47" s="157"/>
      <c r="K47" s="159">
        <f t="shared" si="2"/>
        <v>0</v>
      </c>
    </row>
    <row r="49" spans="1:11" ht="18" customHeight="1">
      <c r="A49" s="154" t="s">
        <v>142</v>
      </c>
      <c r="B49" s="150" t="s">
        <v>143</v>
      </c>
      <c r="E49" s="150" t="s">
        <v>7</v>
      </c>
      <c r="F49" s="171">
        <f t="shared" ref="F49:K49" si="3">SUM(F40:F47)</f>
        <v>10469</v>
      </c>
      <c r="G49" s="171">
        <f t="shared" si="3"/>
        <v>15045</v>
      </c>
      <c r="H49" s="159">
        <f t="shared" si="3"/>
        <v>845842.63233679195</v>
      </c>
      <c r="I49" s="159">
        <f t="shared" si="3"/>
        <v>0</v>
      </c>
      <c r="J49" s="159">
        <f t="shared" si="3"/>
        <v>0</v>
      </c>
      <c r="K49" s="159">
        <f t="shared" si="3"/>
        <v>845842.63233679195</v>
      </c>
    </row>
    <row r="50" spans="1:11" ht="18" customHeight="1" thickBot="1">
      <c r="G50" s="172"/>
      <c r="H50" s="172"/>
      <c r="I50" s="172"/>
      <c r="J50" s="172"/>
      <c r="K50" s="172"/>
    </row>
    <row r="51" spans="1:11" ht="42.75" customHeight="1">
      <c r="F51" s="153" t="s">
        <v>9</v>
      </c>
      <c r="G51" s="153" t="s">
        <v>37</v>
      </c>
      <c r="H51" s="153" t="s">
        <v>29</v>
      </c>
      <c r="I51" s="153" t="s">
        <v>30</v>
      </c>
      <c r="J51" s="153" t="s">
        <v>33</v>
      </c>
      <c r="K51" s="153" t="s">
        <v>34</v>
      </c>
    </row>
    <row r="52" spans="1:11" ht="18" customHeight="1">
      <c r="A52" s="154" t="s">
        <v>92</v>
      </c>
      <c r="B52" s="905" t="s">
        <v>38</v>
      </c>
      <c r="C52" s="906"/>
    </row>
    <row r="53" spans="1:11" ht="18" customHeight="1">
      <c r="A53" s="151" t="s">
        <v>51</v>
      </c>
      <c r="B53" s="1092" t="s">
        <v>557</v>
      </c>
      <c r="C53" s="902"/>
      <c r="D53" s="903"/>
      <c r="F53" s="156"/>
      <c r="G53" s="156"/>
      <c r="H53" s="157">
        <f>'[30](Tab 6) HSCRC_total By Category'!$E$37+'[30](Tab 6) HSCRC_total By Category'!$E$38+'[30](Tab 6) HSCRC_total By Category'!$E$39+'[30](Tab 6) HSCRC_total By Category'!$E$40+'[30](Tab 6) HSCRC_total By Category'!$E$41+'[30](Tab 6) HSCRC_total By Category'!$E$42+'[30](Tab 6) HSCRC_total By Category'!$E$43+'[30](Tab 6) HSCRC_total By Category'!$E$44+'[30](Tab 6) HSCRC_total By Category'!$E$45+'[30](Tab 6) HSCRC_total By Category'!$E$46</f>
        <v>8926595</v>
      </c>
      <c r="I53" s="158">
        <v>0</v>
      </c>
      <c r="J53" s="157"/>
      <c r="K53" s="159">
        <f t="shared" ref="K53:K62" si="4">(H53+I53)-J53</f>
        <v>8926595</v>
      </c>
    </row>
    <row r="54" spans="1:11" ht="18" customHeight="1">
      <c r="A54" s="151" t="s">
        <v>93</v>
      </c>
      <c r="B54" s="398" t="s">
        <v>829</v>
      </c>
      <c r="C54" s="397"/>
      <c r="D54" s="392"/>
      <c r="F54" s="156">
        <f>'[30](Tab 6) HSCRC_total By Category'!$C$48</f>
        <v>0</v>
      </c>
      <c r="G54" s="156">
        <f>'[30](Tab 6) HSCRC_total By Category'!$D$48</f>
        <v>421</v>
      </c>
      <c r="H54" s="157">
        <f>'[30](Tab 6) HSCRC_total By Category'!$E$48</f>
        <v>27276</v>
      </c>
      <c r="I54" s="158">
        <v>0</v>
      </c>
      <c r="J54" s="157"/>
      <c r="K54" s="159">
        <f t="shared" si="4"/>
        <v>27276</v>
      </c>
    </row>
    <row r="55" spans="1:11" ht="18" customHeight="1">
      <c r="A55" s="151" t="s">
        <v>94</v>
      </c>
      <c r="B55" s="1092" t="s">
        <v>828</v>
      </c>
      <c r="C55" s="902"/>
      <c r="D55" s="903"/>
      <c r="F55" s="156">
        <f>'[30](Tab 6) HSCRC_total By Category'!$C$49</f>
        <v>1248</v>
      </c>
      <c r="G55" s="156">
        <f>'[30](Tab 6) HSCRC_total By Category'!$D$49</f>
        <v>2317</v>
      </c>
      <c r="H55" s="157">
        <f>'[30](Tab 6) HSCRC_total By Category'!$E$49</f>
        <v>319762</v>
      </c>
      <c r="I55" s="158">
        <v>0</v>
      </c>
      <c r="J55" s="157"/>
      <c r="K55" s="159">
        <f t="shared" si="4"/>
        <v>319762</v>
      </c>
    </row>
    <row r="56" spans="1:11" ht="18" customHeight="1">
      <c r="A56" s="151" t="s">
        <v>95</v>
      </c>
      <c r="B56" s="1092"/>
      <c r="C56" s="902"/>
      <c r="D56" s="903"/>
      <c r="F56" s="156"/>
      <c r="G56" s="156"/>
      <c r="H56" s="157"/>
      <c r="I56" s="158">
        <v>0</v>
      </c>
      <c r="J56" s="157"/>
      <c r="K56" s="159">
        <f t="shared" si="4"/>
        <v>0</v>
      </c>
    </row>
    <row r="57" spans="1:11" ht="18" customHeight="1">
      <c r="A57" s="151" t="s">
        <v>96</v>
      </c>
      <c r="B57" s="1092"/>
      <c r="C57" s="902"/>
      <c r="D57" s="903"/>
      <c r="F57" s="156"/>
      <c r="G57" s="156"/>
      <c r="H57" s="157"/>
      <c r="I57" s="158">
        <v>0</v>
      </c>
      <c r="J57" s="157"/>
      <c r="K57" s="159">
        <f t="shared" si="4"/>
        <v>0</v>
      </c>
    </row>
    <row r="58" spans="1:11" ht="18" customHeight="1">
      <c r="A58" s="151" t="s">
        <v>97</v>
      </c>
      <c r="B58" s="398"/>
      <c r="C58" s="397"/>
      <c r="D58" s="392"/>
      <c r="F58" s="156"/>
      <c r="G58" s="156"/>
      <c r="H58" s="157"/>
      <c r="I58" s="158">
        <v>0</v>
      </c>
      <c r="J58" s="157"/>
      <c r="K58" s="159">
        <f t="shared" si="4"/>
        <v>0</v>
      </c>
    </row>
    <row r="59" spans="1:11" ht="18" customHeight="1">
      <c r="A59" s="151" t="s">
        <v>98</v>
      </c>
      <c r="B59" s="1092"/>
      <c r="C59" s="902"/>
      <c r="D59" s="903"/>
      <c r="F59" s="156"/>
      <c r="G59" s="156"/>
      <c r="H59" s="157"/>
      <c r="I59" s="158">
        <v>0</v>
      </c>
      <c r="J59" s="157"/>
      <c r="K59" s="159">
        <f t="shared" si="4"/>
        <v>0</v>
      </c>
    </row>
    <row r="60" spans="1:11" ht="18" customHeight="1">
      <c r="A60" s="151" t="s">
        <v>99</v>
      </c>
      <c r="B60" s="398"/>
      <c r="C60" s="397"/>
      <c r="D60" s="392"/>
      <c r="F60" s="156"/>
      <c r="G60" s="156"/>
      <c r="H60" s="157"/>
      <c r="I60" s="158">
        <v>0</v>
      </c>
      <c r="J60" s="157"/>
      <c r="K60" s="159">
        <f t="shared" si="4"/>
        <v>0</v>
      </c>
    </row>
    <row r="61" spans="1:11" ht="18" customHeight="1">
      <c r="A61" s="151" t="s">
        <v>100</v>
      </c>
      <c r="B61" s="398"/>
      <c r="C61" s="397"/>
      <c r="D61" s="392"/>
      <c r="F61" s="156"/>
      <c r="G61" s="156"/>
      <c r="H61" s="157"/>
      <c r="I61" s="158">
        <v>0</v>
      </c>
      <c r="J61" s="157"/>
      <c r="K61" s="159">
        <f t="shared" si="4"/>
        <v>0</v>
      </c>
    </row>
    <row r="62" spans="1:11" ht="18" customHeight="1">
      <c r="A62" s="151" t="s">
        <v>101</v>
      </c>
      <c r="B62" s="1092"/>
      <c r="C62" s="902"/>
      <c r="D62" s="903"/>
      <c r="F62" s="156"/>
      <c r="G62" s="156"/>
      <c r="H62" s="157"/>
      <c r="I62" s="158">
        <v>0</v>
      </c>
      <c r="J62" s="157"/>
      <c r="K62" s="159">
        <f t="shared" si="4"/>
        <v>0</v>
      </c>
    </row>
    <row r="63" spans="1:11" ht="18" customHeight="1">
      <c r="A63" s="151"/>
      <c r="I63" s="173"/>
    </row>
    <row r="64" spans="1:11" ht="18" customHeight="1">
      <c r="A64" s="151" t="s">
        <v>144</v>
      </c>
      <c r="B64" s="150" t="s">
        <v>145</v>
      </c>
      <c r="E64" s="150" t="s">
        <v>7</v>
      </c>
      <c r="F64" s="162">
        <f t="shared" ref="F64:K64" si="5">SUM(F53:F62)</f>
        <v>1248</v>
      </c>
      <c r="G64" s="162">
        <f t="shared" si="5"/>
        <v>2738</v>
      </c>
      <c r="H64" s="159">
        <f t="shared" si="5"/>
        <v>9273633</v>
      </c>
      <c r="I64" s="159">
        <f t="shared" si="5"/>
        <v>0</v>
      </c>
      <c r="J64" s="159">
        <f t="shared" si="5"/>
        <v>0</v>
      </c>
      <c r="K64" s="159">
        <f t="shared" si="5"/>
        <v>9273633</v>
      </c>
    </row>
    <row r="65" spans="1:11" ht="18" customHeight="1">
      <c r="F65" s="174"/>
      <c r="G65" s="174"/>
      <c r="H65" s="174"/>
      <c r="I65" s="174"/>
      <c r="J65" s="174"/>
      <c r="K65" s="174"/>
    </row>
    <row r="66" spans="1:11" ht="42.75" customHeight="1">
      <c r="F66" s="175" t="s">
        <v>9</v>
      </c>
      <c r="G66" s="175" t="s">
        <v>37</v>
      </c>
      <c r="H66" s="175" t="s">
        <v>29</v>
      </c>
      <c r="I66" s="175" t="s">
        <v>30</v>
      </c>
      <c r="J66" s="175" t="s">
        <v>33</v>
      </c>
      <c r="K66" s="175" t="s">
        <v>34</v>
      </c>
    </row>
    <row r="67" spans="1:11" ht="18" customHeight="1">
      <c r="A67" s="154" t="s">
        <v>102</v>
      </c>
      <c r="B67" s="150" t="s">
        <v>12</v>
      </c>
      <c r="F67" s="176"/>
      <c r="G67" s="176"/>
      <c r="H67" s="176"/>
      <c r="I67" s="177"/>
      <c r="J67" s="176"/>
      <c r="K67" s="178"/>
    </row>
    <row r="68" spans="1:11" ht="18" customHeight="1">
      <c r="A68" s="151" t="s">
        <v>103</v>
      </c>
      <c r="B68" s="147" t="s">
        <v>52</v>
      </c>
      <c r="F68" s="179"/>
      <c r="G68" s="179"/>
      <c r="H68" s="600">
        <f>'[30](Tab 6) HSCRC_total By Category'!$E$53</f>
        <v>746890</v>
      </c>
      <c r="I68" s="158">
        <v>0</v>
      </c>
      <c r="J68" s="600">
        <f>'[30](Tab 6) HSCRC_total By Category'!$H$53</f>
        <v>558057</v>
      </c>
      <c r="K68" s="159">
        <f>(H68+I68)-J68</f>
        <v>188833</v>
      </c>
    </row>
    <row r="69" spans="1:11" ht="18" customHeight="1">
      <c r="A69" s="151" t="s">
        <v>104</v>
      </c>
      <c r="B69" s="155" t="s">
        <v>53</v>
      </c>
      <c r="F69" s="179"/>
      <c r="G69" s="179"/>
      <c r="H69" s="179"/>
      <c r="I69" s="158">
        <v>0</v>
      </c>
      <c r="J69" s="179"/>
      <c r="K69" s="159">
        <f>(H69+I69)-J69</f>
        <v>0</v>
      </c>
    </row>
    <row r="70" spans="1:11" ht="18" customHeight="1">
      <c r="A70" s="151" t="s">
        <v>178</v>
      </c>
      <c r="B70" s="398" t="s">
        <v>827</v>
      </c>
      <c r="C70" s="397"/>
      <c r="D70" s="392"/>
      <c r="E70" s="150"/>
      <c r="F70" s="180">
        <f>'[30](Tab 6) HSCRC_total By Category'!$C$55</f>
        <v>20.5</v>
      </c>
      <c r="G70" s="180">
        <f>'[30](Tab 6) HSCRC_total By Category'!$D$55</f>
        <v>38</v>
      </c>
      <c r="H70" s="181">
        <f>'[30](Tab 6) HSCRC_total By Category'!$E$55</f>
        <v>7860.5539893657706</v>
      </c>
      <c r="I70" s="158">
        <v>0</v>
      </c>
      <c r="J70" s="181"/>
      <c r="K70" s="159">
        <f>(H70+I70)-J70</f>
        <v>7860.5539893657706</v>
      </c>
    </row>
    <row r="71" spans="1:11" ht="18" customHeight="1">
      <c r="A71" s="151" t="s">
        <v>179</v>
      </c>
      <c r="B71" s="396"/>
      <c r="C71" s="397"/>
      <c r="D71" s="392"/>
      <c r="E71" s="150"/>
      <c r="F71" s="180"/>
      <c r="G71" s="180"/>
      <c r="H71" s="181"/>
      <c r="I71" s="158">
        <v>0</v>
      </c>
      <c r="J71" s="181"/>
      <c r="K71" s="159">
        <f>(H71+I71)-J71</f>
        <v>0</v>
      </c>
    </row>
    <row r="72" spans="1:11" ht="18" customHeight="1">
      <c r="A72" s="151" t="s">
        <v>180</v>
      </c>
      <c r="B72" s="390"/>
      <c r="C72" s="391"/>
      <c r="D72" s="182"/>
      <c r="E72" s="150"/>
      <c r="F72" s="156"/>
      <c r="G72" s="156"/>
      <c r="H72" s="157"/>
      <c r="I72" s="158">
        <v>0</v>
      </c>
      <c r="J72" s="157"/>
      <c r="K72" s="159">
        <f>(H72+I72)-J72</f>
        <v>0</v>
      </c>
    </row>
    <row r="73" spans="1:11" ht="18" customHeight="1">
      <c r="A73" s="151"/>
      <c r="B73" s="155"/>
      <c r="E73" s="150"/>
      <c r="F73" s="183"/>
      <c r="G73" s="183"/>
      <c r="H73" s="184"/>
      <c r="I73" s="177"/>
      <c r="J73" s="184"/>
      <c r="K73" s="178"/>
    </row>
    <row r="74" spans="1:11" ht="18" customHeight="1">
      <c r="A74" s="154" t="s">
        <v>146</v>
      </c>
      <c r="B74" s="150" t="s">
        <v>147</v>
      </c>
      <c r="E74" s="150" t="s">
        <v>7</v>
      </c>
      <c r="F74" s="185">
        <f t="shared" ref="F74:K74" si="6">SUM(F68:F72)</f>
        <v>20.5</v>
      </c>
      <c r="G74" s="185">
        <f t="shared" si="6"/>
        <v>38</v>
      </c>
      <c r="H74" s="185">
        <f t="shared" si="6"/>
        <v>754750.55398936581</v>
      </c>
      <c r="I74" s="186">
        <f t="shared" si="6"/>
        <v>0</v>
      </c>
      <c r="J74" s="185">
        <f t="shared" si="6"/>
        <v>558057</v>
      </c>
      <c r="K74" s="187">
        <f t="shared" si="6"/>
        <v>196693.55398936578</v>
      </c>
    </row>
    <row r="75" spans="1:11" ht="42.75" customHeight="1">
      <c r="F75" s="153" t="s">
        <v>9</v>
      </c>
      <c r="G75" s="153" t="s">
        <v>37</v>
      </c>
      <c r="H75" s="153" t="s">
        <v>29</v>
      </c>
      <c r="I75" s="153" t="s">
        <v>30</v>
      </c>
      <c r="J75" s="153" t="s">
        <v>33</v>
      </c>
      <c r="K75" s="153" t="s">
        <v>34</v>
      </c>
    </row>
    <row r="76" spans="1:11" ht="18" customHeight="1">
      <c r="A76" s="154" t="s">
        <v>105</v>
      </c>
      <c r="B76" s="150" t="s">
        <v>106</v>
      </c>
    </row>
    <row r="77" spans="1:11" ht="18" customHeight="1">
      <c r="A77" s="151" t="s">
        <v>107</v>
      </c>
      <c r="B77" s="155" t="s">
        <v>54</v>
      </c>
      <c r="F77" s="156">
        <f>'[30](Tab 6) HSCRC_total By Category'!$C$61</f>
        <v>100</v>
      </c>
      <c r="G77" s="156">
        <f>'[30](Tab 6) HSCRC_total By Category'!$D$61</f>
        <v>20442</v>
      </c>
      <c r="H77" s="157">
        <f>'[30](Tab 6) HSCRC_total By Category'!$E$61</f>
        <v>217925.51989631305</v>
      </c>
      <c r="I77" s="158">
        <f>'[30](Tab 6) HSCRC_total By Category'!$F$61</f>
        <v>0</v>
      </c>
      <c r="J77" s="157">
        <f>'[30](Tab 6) HSCRC_total By Category'!$H$61</f>
        <v>0</v>
      </c>
      <c r="K77" s="159">
        <f>(H77+I77)-J77</f>
        <v>217925.51989631305</v>
      </c>
    </row>
    <row r="78" spans="1:11" ht="18" customHeight="1">
      <c r="A78" s="151" t="s">
        <v>108</v>
      </c>
      <c r="B78" s="155" t="s">
        <v>55</v>
      </c>
      <c r="F78" s="156"/>
      <c r="G78" s="156"/>
      <c r="H78" s="157"/>
      <c r="I78" s="158">
        <v>0</v>
      </c>
      <c r="J78" s="157"/>
      <c r="K78" s="159">
        <f>(H78+I78)-J78</f>
        <v>0</v>
      </c>
    </row>
    <row r="79" spans="1:11" ht="18" customHeight="1">
      <c r="A79" s="151" t="s">
        <v>109</v>
      </c>
      <c r="B79" s="155" t="s">
        <v>13</v>
      </c>
      <c r="F79" s="156">
        <f>'[30](Tab 6) HSCRC_total By Category'!$C$63</f>
        <v>565</v>
      </c>
      <c r="G79" s="156">
        <f>'[30](Tab 6) HSCRC_total By Category'!$D$63</f>
        <v>8960</v>
      </c>
      <c r="H79" s="157">
        <f>'[30](Tab 6) HSCRC_total By Category'!$E$63</f>
        <v>243913.7764208169</v>
      </c>
      <c r="I79" s="158">
        <f>'[30](Tab 6) HSCRC_total By Category'!$F$63</f>
        <v>0</v>
      </c>
      <c r="J79" s="157">
        <f>'[30](Tab 6) HSCRC_total By Category'!$H$63</f>
        <v>0</v>
      </c>
      <c r="K79" s="159">
        <f>(H79+I79)-J79</f>
        <v>243913.7764208169</v>
      </c>
    </row>
    <row r="80" spans="1:11" ht="18" customHeight="1">
      <c r="A80" s="151" t="s">
        <v>110</v>
      </c>
      <c r="B80" s="155" t="s">
        <v>56</v>
      </c>
      <c r="F80" s="156">
        <f>'[30](Tab 6) HSCRC_total By Category'!$C$64</f>
        <v>0</v>
      </c>
      <c r="G80" s="156">
        <f>'[30](Tab 6) HSCRC_total By Category'!$D$64</f>
        <v>0</v>
      </c>
      <c r="H80" s="157">
        <f>'[30](Tab 6) HSCRC_total By Category'!$E$64</f>
        <v>250000</v>
      </c>
      <c r="I80" s="158">
        <f>'[30](Tab 6) HSCRC_total By Category'!$F$64</f>
        <v>47864.310485038011</v>
      </c>
      <c r="J80" s="157">
        <f>'[30](Tab 6) HSCRC_total By Category'!$H$64</f>
        <v>0</v>
      </c>
      <c r="K80" s="159">
        <f>(H80+I80)-J80</f>
        <v>297864.31048503803</v>
      </c>
    </row>
    <row r="81" spans="1:11" ht="18" customHeight="1">
      <c r="A81" s="151"/>
      <c r="K81" s="188"/>
    </row>
    <row r="82" spans="1:11" ht="18" customHeight="1">
      <c r="A82" s="151" t="s">
        <v>148</v>
      </c>
      <c r="B82" s="150" t="s">
        <v>149</v>
      </c>
      <c r="E82" s="150" t="s">
        <v>7</v>
      </c>
      <c r="F82" s="185">
        <f t="shared" ref="F82:K82" si="7">SUM(F77:F80)</f>
        <v>665</v>
      </c>
      <c r="G82" s="185">
        <f t="shared" si="7"/>
        <v>29402</v>
      </c>
      <c r="H82" s="187">
        <f t="shared" si="7"/>
        <v>711839.29631712998</v>
      </c>
      <c r="I82" s="187">
        <f t="shared" si="7"/>
        <v>47864.310485038011</v>
      </c>
      <c r="J82" s="187">
        <f t="shared" si="7"/>
        <v>0</v>
      </c>
      <c r="K82" s="187">
        <f t="shared" si="7"/>
        <v>759703.60680216807</v>
      </c>
    </row>
    <row r="83" spans="1:11" ht="18" customHeight="1" thickBot="1">
      <c r="A83" s="151"/>
      <c r="F83" s="172"/>
      <c r="G83" s="172"/>
      <c r="H83" s="172"/>
      <c r="I83" s="172"/>
      <c r="J83" s="172"/>
      <c r="K83" s="172"/>
    </row>
    <row r="84" spans="1:11" ht="42.75" customHeight="1">
      <c r="F84" s="153" t="s">
        <v>9</v>
      </c>
      <c r="G84" s="153" t="s">
        <v>37</v>
      </c>
      <c r="H84" s="153" t="s">
        <v>29</v>
      </c>
      <c r="I84" s="153" t="s">
        <v>30</v>
      </c>
      <c r="J84" s="153" t="s">
        <v>33</v>
      </c>
      <c r="K84" s="153" t="s">
        <v>34</v>
      </c>
    </row>
    <row r="85" spans="1:11" ht="18" customHeight="1">
      <c r="A85" s="154" t="s">
        <v>111</v>
      </c>
      <c r="B85" s="150" t="s">
        <v>57</v>
      </c>
    </row>
    <row r="86" spans="1:11" ht="18" customHeight="1">
      <c r="A86" s="151" t="s">
        <v>112</v>
      </c>
      <c r="B86" s="155" t="s">
        <v>113</v>
      </c>
      <c r="F86" s="156">
        <f>'[30](Tab 6) HSCRC_total By Category'!$C$68</f>
        <v>5</v>
      </c>
      <c r="G86" s="156">
        <f>'[30](Tab 6) HSCRC_total By Category'!$D$68</f>
        <v>300000</v>
      </c>
      <c r="H86" s="157">
        <f>'[30](Tab 6) HSCRC_total By Category'!$E$68</f>
        <v>248.44148015844507</v>
      </c>
      <c r="I86" s="158">
        <f>'[30](Tab 6) HSCRC_total By Category'!$F$68</f>
        <v>169.94366194221396</v>
      </c>
      <c r="J86" s="157">
        <f>'[30](Tab 6) HSCRC_total By Category'!$H$68</f>
        <v>0</v>
      </c>
      <c r="K86" s="159">
        <f t="shared" ref="K86:K96" si="8">(H86+I86)-J86</f>
        <v>418.38514210065904</v>
      </c>
    </row>
    <row r="87" spans="1:11" ht="18" customHeight="1">
      <c r="A87" s="151" t="s">
        <v>114</v>
      </c>
      <c r="B87" s="155" t="s">
        <v>14</v>
      </c>
      <c r="F87" s="156"/>
      <c r="G87" s="156"/>
      <c r="H87" s="157"/>
      <c r="I87" s="158">
        <f>H87*F$114</f>
        <v>0</v>
      </c>
      <c r="J87" s="157"/>
      <c r="K87" s="159">
        <f t="shared" si="8"/>
        <v>0</v>
      </c>
    </row>
    <row r="88" spans="1:11" ht="18" customHeight="1">
      <c r="A88" s="151" t="s">
        <v>115</v>
      </c>
      <c r="B88" s="155" t="s">
        <v>116</v>
      </c>
      <c r="F88" s="156">
        <f>'[30](Tab 6) HSCRC_total By Category'!$C$70</f>
        <v>1059</v>
      </c>
      <c r="G88" s="156">
        <f>'[30](Tab 6) HSCRC_total By Category'!$D$70</f>
        <v>85</v>
      </c>
      <c r="H88" s="157">
        <f>'[30](Tab 6) HSCRC_total By Category'!$E$70</f>
        <v>217381.17004406892</v>
      </c>
      <c r="I88" s="158">
        <f>'[30](Tab 6) HSCRC_total By Category'!$F$70</f>
        <v>148697.19843486618</v>
      </c>
      <c r="J88" s="157">
        <f>'[30](Tab 6) HSCRC_total By Category'!$H$70</f>
        <v>709</v>
      </c>
      <c r="K88" s="159">
        <f t="shared" si="8"/>
        <v>365369.3684789351</v>
      </c>
    </row>
    <row r="89" spans="1:11" ht="18" customHeight="1">
      <c r="A89" s="151" t="s">
        <v>117</v>
      </c>
      <c r="B89" s="155" t="s">
        <v>58</v>
      </c>
      <c r="F89" s="156"/>
      <c r="G89" s="156"/>
      <c r="H89" s="157"/>
      <c r="I89" s="158">
        <f t="shared" ref="I89:I96" si="9">H89*F$114</f>
        <v>0</v>
      </c>
      <c r="J89" s="157"/>
      <c r="K89" s="159">
        <f t="shared" si="8"/>
        <v>0</v>
      </c>
    </row>
    <row r="90" spans="1:11" ht="18" customHeight="1">
      <c r="A90" s="151" t="s">
        <v>118</v>
      </c>
      <c r="B90" s="904" t="s">
        <v>59</v>
      </c>
      <c r="C90" s="907"/>
      <c r="F90" s="156"/>
      <c r="G90" s="156"/>
      <c r="H90" s="157"/>
      <c r="I90" s="158">
        <f t="shared" si="9"/>
        <v>0</v>
      </c>
      <c r="J90" s="157"/>
      <c r="K90" s="159">
        <f t="shared" si="8"/>
        <v>0</v>
      </c>
    </row>
    <row r="91" spans="1:11" ht="18" customHeight="1">
      <c r="A91" s="151" t="s">
        <v>119</v>
      </c>
      <c r="B91" s="155" t="s">
        <v>60</v>
      </c>
      <c r="F91" s="156"/>
      <c r="G91" s="156"/>
      <c r="H91" s="157"/>
      <c r="I91" s="158">
        <f t="shared" si="9"/>
        <v>0</v>
      </c>
      <c r="J91" s="157"/>
      <c r="K91" s="159">
        <f t="shared" si="8"/>
        <v>0</v>
      </c>
    </row>
    <row r="92" spans="1:11" ht="18" customHeight="1">
      <c r="A92" s="151" t="s">
        <v>120</v>
      </c>
      <c r="B92" s="155" t="s">
        <v>121</v>
      </c>
      <c r="F92" s="189"/>
      <c r="G92" s="189"/>
      <c r="H92" s="190"/>
      <c r="I92" s="158">
        <f t="shared" si="9"/>
        <v>0</v>
      </c>
      <c r="J92" s="190"/>
      <c r="K92" s="159">
        <f t="shared" si="8"/>
        <v>0</v>
      </c>
    </row>
    <row r="93" spans="1:11" ht="18" customHeight="1">
      <c r="A93" s="151" t="s">
        <v>122</v>
      </c>
      <c r="B93" s="155" t="s">
        <v>123</v>
      </c>
      <c r="F93" s="156"/>
      <c r="G93" s="156"/>
      <c r="H93" s="157"/>
      <c r="I93" s="158">
        <f t="shared" si="9"/>
        <v>0</v>
      </c>
      <c r="J93" s="157"/>
      <c r="K93" s="159">
        <f t="shared" si="8"/>
        <v>0</v>
      </c>
    </row>
    <row r="94" spans="1:11" ht="18" customHeight="1">
      <c r="A94" s="151" t="s">
        <v>124</v>
      </c>
      <c r="B94" s="901"/>
      <c r="C94" s="902"/>
      <c r="D94" s="903"/>
      <c r="F94" s="156"/>
      <c r="G94" s="156"/>
      <c r="H94" s="157"/>
      <c r="I94" s="158">
        <f t="shared" si="9"/>
        <v>0</v>
      </c>
      <c r="J94" s="157"/>
      <c r="K94" s="159">
        <f t="shared" si="8"/>
        <v>0</v>
      </c>
    </row>
    <row r="95" spans="1:11" ht="18" customHeight="1">
      <c r="A95" s="151" t="s">
        <v>125</v>
      </c>
      <c r="B95" s="901"/>
      <c r="C95" s="902"/>
      <c r="D95" s="903"/>
      <c r="F95" s="156"/>
      <c r="G95" s="156"/>
      <c r="H95" s="157"/>
      <c r="I95" s="158">
        <f t="shared" si="9"/>
        <v>0</v>
      </c>
      <c r="J95" s="157"/>
      <c r="K95" s="159">
        <f t="shared" si="8"/>
        <v>0</v>
      </c>
    </row>
    <row r="96" spans="1:11" ht="18" customHeight="1">
      <c r="A96" s="151" t="s">
        <v>126</v>
      </c>
      <c r="B96" s="901"/>
      <c r="C96" s="902"/>
      <c r="D96" s="903"/>
      <c r="F96" s="156"/>
      <c r="G96" s="156"/>
      <c r="H96" s="157"/>
      <c r="I96" s="158">
        <f t="shared" si="9"/>
        <v>0</v>
      </c>
      <c r="J96" s="157"/>
      <c r="K96" s="159">
        <f t="shared" si="8"/>
        <v>0</v>
      </c>
    </row>
    <row r="97" spans="1:11" ht="18" customHeight="1">
      <c r="A97" s="151"/>
      <c r="B97" s="155"/>
    </row>
    <row r="98" spans="1:11" ht="18" customHeight="1">
      <c r="A98" s="154" t="s">
        <v>150</v>
      </c>
      <c r="B98" s="150" t="s">
        <v>151</v>
      </c>
      <c r="E98" s="150" t="s">
        <v>7</v>
      </c>
      <c r="F98" s="162">
        <f t="shared" ref="F98:K98" si="10">SUM(F86:F96)</f>
        <v>1064</v>
      </c>
      <c r="G98" s="162">
        <f t="shared" si="10"/>
        <v>300085</v>
      </c>
      <c r="H98" s="162">
        <f t="shared" si="10"/>
        <v>217629.61152422737</v>
      </c>
      <c r="I98" s="162">
        <f t="shared" si="10"/>
        <v>148867.14209680838</v>
      </c>
      <c r="J98" s="162">
        <f t="shared" si="10"/>
        <v>709</v>
      </c>
      <c r="K98" s="162">
        <f t="shared" si="10"/>
        <v>365787.75362103578</v>
      </c>
    </row>
    <row r="99" spans="1:11" ht="18" customHeight="1" thickBot="1">
      <c r="B99" s="150"/>
      <c r="F99" s="172"/>
      <c r="G99" s="172"/>
      <c r="H99" s="172"/>
      <c r="I99" s="172"/>
      <c r="J99" s="172"/>
      <c r="K99" s="172"/>
    </row>
    <row r="100" spans="1:11" ht="42.75" customHeight="1">
      <c r="F100" s="153" t="s">
        <v>9</v>
      </c>
      <c r="G100" s="153" t="s">
        <v>37</v>
      </c>
      <c r="H100" s="153" t="s">
        <v>29</v>
      </c>
      <c r="I100" s="153" t="s">
        <v>30</v>
      </c>
      <c r="J100" s="153" t="s">
        <v>33</v>
      </c>
      <c r="K100" s="153" t="s">
        <v>34</v>
      </c>
    </row>
    <row r="101" spans="1:11" ht="18" customHeight="1">
      <c r="A101" s="154" t="s">
        <v>130</v>
      </c>
      <c r="B101" s="150" t="s">
        <v>63</v>
      </c>
    </row>
    <row r="102" spans="1:11" ht="18" customHeight="1">
      <c r="A102" s="151" t="s">
        <v>131</v>
      </c>
      <c r="B102" s="155" t="s">
        <v>152</v>
      </c>
      <c r="F102" s="156">
        <f>'[30](Tab 6) HSCRC_total By Category'!$C$80</f>
        <v>1711.5</v>
      </c>
      <c r="G102" s="156">
        <f>'[30](Tab 6) HSCRC_total By Category'!$D$80</f>
        <v>0</v>
      </c>
      <c r="H102" s="157">
        <f>'[30](Tab 6) HSCRC_total By Category'!$E$80</f>
        <v>126596.7937067766</v>
      </c>
      <c r="I102" s="158">
        <f>'[30](Tab 6) HSCRC_total By Category'!$F$80</f>
        <v>86597.144321277403</v>
      </c>
      <c r="J102" s="157">
        <f>'[30](Tab 6) HSCRC_total By Category'!$H$80</f>
        <v>0</v>
      </c>
      <c r="K102" s="159">
        <f>(H102+I102)-J102</f>
        <v>213193.93802805402</v>
      </c>
    </row>
    <row r="103" spans="1:11" ht="18" customHeight="1">
      <c r="A103" s="151" t="s">
        <v>132</v>
      </c>
      <c r="B103" s="904" t="s">
        <v>62</v>
      </c>
      <c r="C103" s="904"/>
      <c r="F103" s="156"/>
      <c r="G103" s="156"/>
      <c r="H103" s="157"/>
      <c r="I103" s="158">
        <f>H103*F$114</f>
        <v>0</v>
      </c>
      <c r="J103" s="157"/>
      <c r="K103" s="159">
        <f>(H103+I103)-J103</f>
        <v>0</v>
      </c>
    </row>
    <row r="104" spans="1:11" ht="18" customHeight="1">
      <c r="A104" s="151" t="s">
        <v>128</v>
      </c>
      <c r="B104" s="901"/>
      <c r="C104" s="902"/>
      <c r="D104" s="903"/>
      <c r="F104" s="156"/>
      <c r="G104" s="156"/>
      <c r="H104" s="157"/>
      <c r="I104" s="158">
        <f>H104*F$114</f>
        <v>0</v>
      </c>
      <c r="J104" s="157"/>
      <c r="K104" s="159">
        <f>(H104+I104)-J104</f>
        <v>0</v>
      </c>
    </row>
    <row r="105" spans="1:11" ht="18" customHeight="1">
      <c r="A105" s="151" t="s">
        <v>127</v>
      </c>
      <c r="B105" s="901"/>
      <c r="C105" s="902"/>
      <c r="D105" s="903"/>
      <c r="F105" s="156"/>
      <c r="G105" s="156"/>
      <c r="H105" s="157"/>
      <c r="I105" s="158">
        <f>H105*F$114</f>
        <v>0</v>
      </c>
      <c r="J105" s="157"/>
      <c r="K105" s="159">
        <f>(H105+I105)-J105</f>
        <v>0</v>
      </c>
    </row>
    <row r="106" spans="1:11" ht="18" customHeight="1">
      <c r="A106" s="151" t="s">
        <v>129</v>
      </c>
      <c r="B106" s="901"/>
      <c r="C106" s="902"/>
      <c r="D106" s="903"/>
      <c r="F106" s="156"/>
      <c r="G106" s="156"/>
      <c r="H106" s="157"/>
      <c r="I106" s="158">
        <f>H106*F$114</f>
        <v>0</v>
      </c>
      <c r="J106" s="157"/>
      <c r="K106" s="159">
        <f>(H106+I106)-J106</f>
        <v>0</v>
      </c>
    </row>
    <row r="107" spans="1:11" ht="18" customHeight="1">
      <c r="B107" s="150"/>
    </row>
    <row r="108" spans="1:11" s="167" customFormat="1" ht="18" customHeight="1">
      <c r="A108" s="154" t="s">
        <v>153</v>
      </c>
      <c r="B108" s="191" t="s">
        <v>154</v>
      </c>
      <c r="C108" s="147"/>
      <c r="D108" s="147"/>
      <c r="E108" s="150" t="s">
        <v>7</v>
      </c>
      <c r="F108" s="162">
        <f t="shared" ref="F108:K108" si="11">SUM(F102:F106)</f>
        <v>1711.5</v>
      </c>
      <c r="G108" s="162">
        <f t="shared" si="11"/>
        <v>0</v>
      </c>
      <c r="H108" s="159">
        <f t="shared" si="11"/>
        <v>126596.7937067766</v>
      </c>
      <c r="I108" s="159">
        <f t="shared" si="11"/>
        <v>86597.144321277403</v>
      </c>
      <c r="J108" s="159">
        <f t="shared" si="11"/>
        <v>0</v>
      </c>
      <c r="K108" s="159">
        <f t="shared" si="11"/>
        <v>213193.93802805402</v>
      </c>
    </row>
    <row r="109" spans="1:11" s="167" customFormat="1" ht="18" customHeight="1" thickBot="1">
      <c r="A109" s="192"/>
      <c r="B109" s="193"/>
      <c r="C109" s="194"/>
      <c r="D109" s="194"/>
      <c r="E109" s="194"/>
      <c r="F109" s="172"/>
      <c r="G109" s="172"/>
      <c r="H109" s="172"/>
      <c r="I109" s="172"/>
      <c r="J109" s="172"/>
      <c r="K109" s="172"/>
    </row>
    <row r="110" spans="1:11" s="167" customFormat="1" ht="18" customHeight="1">
      <c r="A110" s="154" t="s">
        <v>156</v>
      </c>
      <c r="B110" s="150" t="s">
        <v>39</v>
      </c>
      <c r="C110" s="147"/>
      <c r="D110" s="147"/>
      <c r="E110" s="147"/>
      <c r="F110" s="147"/>
      <c r="G110" s="147"/>
      <c r="H110" s="147"/>
      <c r="I110" s="147"/>
      <c r="J110" s="147"/>
      <c r="K110" s="147"/>
    </row>
    <row r="111" spans="1:11" ht="18" customHeight="1">
      <c r="A111" s="154" t="s">
        <v>155</v>
      </c>
      <c r="B111" s="150" t="s">
        <v>164</v>
      </c>
      <c r="E111" s="150" t="s">
        <v>7</v>
      </c>
      <c r="F111" s="157">
        <f>'[30](Tab 6) HSCRC_total By Category'!$C$86</f>
        <v>3169655.23</v>
      </c>
    </row>
    <row r="112" spans="1:11" ht="18" customHeight="1">
      <c r="B112" s="150"/>
      <c r="E112" s="150"/>
      <c r="F112" s="195"/>
    </row>
    <row r="113" spans="1:6" ht="18" customHeight="1">
      <c r="A113" s="154"/>
      <c r="B113" s="150" t="s">
        <v>15</v>
      </c>
    </row>
    <row r="114" spans="1:6" ht="18" customHeight="1">
      <c r="A114" s="151" t="s">
        <v>171</v>
      </c>
      <c r="B114" s="155" t="s">
        <v>35</v>
      </c>
      <c r="F114" s="196">
        <f>'[30](Tab 6) HSCRC_total By Category'!$C$89</f>
        <v>0.68403900119187566</v>
      </c>
    </row>
    <row r="115" spans="1:6" ht="18" customHeight="1">
      <c r="A115" s="151"/>
      <c r="B115" s="150"/>
    </row>
    <row r="116" spans="1:6" ht="18" customHeight="1">
      <c r="A116" s="151" t="s">
        <v>170</v>
      </c>
      <c r="B116" s="150" t="s">
        <v>16</v>
      </c>
    </row>
    <row r="117" spans="1:6" ht="18" customHeight="1">
      <c r="A117" s="151" t="s">
        <v>172</v>
      </c>
      <c r="B117" s="155" t="s">
        <v>17</v>
      </c>
      <c r="F117" s="157">
        <f>'[30](Tab 6) HSCRC_total By Category'!$C$92</f>
        <v>242890000</v>
      </c>
    </row>
    <row r="118" spans="1:6" ht="18" customHeight="1">
      <c r="A118" s="151" t="s">
        <v>173</v>
      </c>
      <c r="B118" s="147" t="s">
        <v>18</v>
      </c>
      <c r="F118" s="157">
        <f>'[30](Tab 6) HSCRC_total By Category'!$C$93</f>
        <v>6695000</v>
      </c>
    </row>
    <row r="119" spans="1:6" ht="18" customHeight="1">
      <c r="A119" s="151" t="s">
        <v>174</v>
      </c>
      <c r="B119" s="150" t="s">
        <v>19</v>
      </c>
      <c r="F119" s="187">
        <f>SUM(F117:F118)</f>
        <v>249585000</v>
      </c>
    </row>
    <row r="120" spans="1:6" ht="18" customHeight="1">
      <c r="A120" s="151"/>
      <c r="B120" s="150"/>
    </row>
    <row r="121" spans="1:6" ht="18" customHeight="1">
      <c r="A121" s="151" t="s">
        <v>167</v>
      </c>
      <c r="B121" s="150" t="s">
        <v>36</v>
      </c>
      <c r="F121" s="157">
        <f>'[30](Tab 6) HSCRC_total By Category'!$C$96</f>
        <v>237010000</v>
      </c>
    </row>
    <row r="122" spans="1:6" ht="18" customHeight="1">
      <c r="A122" s="151"/>
    </row>
    <row r="123" spans="1:6" ht="18" customHeight="1">
      <c r="A123" s="151" t="s">
        <v>175</v>
      </c>
      <c r="B123" s="150" t="s">
        <v>20</v>
      </c>
      <c r="F123" s="157">
        <f>F119-F121</f>
        <v>12575000</v>
      </c>
    </row>
    <row r="124" spans="1:6" ht="18" customHeight="1">
      <c r="A124" s="151"/>
    </row>
    <row r="125" spans="1:6" ht="18" customHeight="1">
      <c r="A125" s="151" t="s">
        <v>176</v>
      </c>
      <c r="B125" s="150" t="s">
        <v>21</v>
      </c>
      <c r="F125" s="157">
        <f>'[30](Tab 6) HSCRC_total By Category'!$C$100</f>
        <v>-3376000</v>
      </c>
    </row>
    <row r="126" spans="1:6" ht="18" customHeight="1">
      <c r="A126" s="151"/>
    </row>
    <row r="127" spans="1:6" ht="18" customHeight="1">
      <c r="A127" s="151" t="s">
        <v>177</v>
      </c>
      <c r="B127" s="150" t="s">
        <v>22</v>
      </c>
      <c r="F127" s="157">
        <f>F123+F125</f>
        <v>9199000</v>
      </c>
    </row>
    <row r="128" spans="1:6" ht="18" customHeight="1">
      <c r="A128" s="151"/>
    </row>
    <row r="129" spans="1:11" ht="42.75" customHeight="1">
      <c r="F129" s="153" t="s">
        <v>9</v>
      </c>
      <c r="G129" s="153" t="s">
        <v>37</v>
      </c>
      <c r="H129" s="153" t="s">
        <v>29</v>
      </c>
      <c r="I129" s="153" t="s">
        <v>30</v>
      </c>
      <c r="J129" s="153" t="s">
        <v>33</v>
      </c>
      <c r="K129" s="153" t="s">
        <v>34</v>
      </c>
    </row>
    <row r="130" spans="1:11" ht="18" customHeight="1">
      <c r="A130" s="154" t="s">
        <v>157</v>
      </c>
      <c r="B130" s="150" t="s">
        <v>23</v>
      </c>
    </row>
    <row r="131" spans="1:11" ht="18" customHeight="1">
      <c r="A131" s="151" t="s">
        <v>158</v>
      </c>
      <c r="B131" s="147" t="s">
        <v>24</v>
      </c>
      <c r="F131" s="156"/>
      <c r="G131" s="156"/>
      <c r="H131" s="157"/>
      <c r="I131" s="158">
        <v>0</v>
      </c>
      <c r="J131" s="157"/>
      <c r="K131" s="159">
        <f>(H131+I131)-J131</f>
        <v>0</v>
      </c>
    </row>
    <row r="132" spans="1:11" ht="18" customHeight="1">
      <c r="A132" s="151" t="s">
        <v>159</v>
      </c>
      <c r="B132" s="147" t="s">
        <v>25</v>
      </c>
      <c r="F132" s="156"/>
      <c r="G132" s="156"/>
      <c r="H132" s="157"/>
      <c r="I132" s="158">
        <v>0</v>
      </c>
      <c r="J132" s="157"/>
      <c r="K132" s="159">
        <f>(H132+I132)-J132</f>
        <v>0</v>
      </c>
    </row>
    <row r="133" spans="1:11" ht="18" customHeight="1">
      <c r="A133" s="151" t="s">
        <v>160</v>
      </c>
      <c r="B133" s="898"/>
      <c r="C133" s="899"/>
      <c r="D133" s="900"/>
      <c r="F133" s="156"/>
      <c r="G133" s="156"/>
      <c r="H133" s="157"/>
      <c r="I133" s="158">
        <v>0</v>
      </c>
      <c r="J133" s="157"/>
      <c r="K133" s="159">
        <f>(H133+I133)-J133</f>
        <v>0</v>
      </c>
    </row>
    <row r="134" spans="1:11" ht="18" customHeight="1">
      <c r="A134" s="151" t="s">
        <v>161</v>
      </c>
      <c r="B134" s="898"/>
      <c r="C134" s="899"/>
      <c r="D134" s="900"/>
      <c r="F134" s="156"/>
      <c r="G134" s="156"/>
      <c r="H134" s="157"/>
      <c r="I134" s="158">
        <v>0</v>
      </c>
      <c r="J134" s="157"/>
      <c r="K134" s="159">
        <f>(H134+I134)-J134</f>
        <v>0</v>
      </c>
    </row>
    <row r="135" spans="1:11" ht="18" customHeight="1">
      <c r="A135" s="151" t="s">
        <v>162</v>
      </c>
      <c r="B135" s="898"/>
      <c r="C135" s="899"/>
      <c r="D135" s="900"/>
      <c r="F135" s="156"/>
      <c r="G135" s="156"/>
      <c r="H135" s="157"/>
      <c r="I135" s="158">
        <v>0</v>
      </c>
      <c r="J135" s="157"/>
      <c r="K135" s="159">
        <f>(H135+I135)-J135</f>
        <v>0</v>
      </c>
    </row>
    <row r="136" spans="1:11" ht="18" customHeight="1">
      <c r="A136" s="154"/>
    </row>
    <row r="137" spans="1:11" ht="18" customHeight="1">
      <c r="A137" s="154" t="s">
        <v>163</v>
      </c>
      <c r="B137" s="150" t="s">
        <v>27</v>
      </c>
      <c r="F137" s="162">
        <f t="shared" ref="F137:K137" si="12">SUM(F131:F135)</f>
        <v>0</v>
      </c>
      <c r="G137" s="162">
        <f t="shared" si="12"/>
        <v>0</v>
      </c>
      <c r="H137" s="159">
        <f t="shared" si="12"/>
        <v>0</v>
      </c>
      <c r="I137" s="159">
        <f t="shared" si="12"/>
        <v>0</v>
      </c>
      <c r="J137" s="159">
        <f t="shared" si="12"/>
        <v>0</v>
      </c>
      <c r="K137" s="159">
        <f t="shared" si="12"/>
        <v>0</v>
      </c>
    </row>
    <row r="138" spans="1:11" ht="18" customHeight="1">
      <c r="A138" s="147"/>
    </row>
    <row r="139" spans="1:11" ht="42.75" customHeight="1">
      <c r="F139" s="153" t="s">
        <v>9</v>
      </c>
      <c r="G139" s="153" t="s">
        <v>37</v>
      </c>
      <c r="H139" s="153" t="s">
        <v>29</v>
      </c>
      <c r="I139" s="153" t="s">
        <v>30</v>
      </c>
      <c r="J139" s="153" t="s">
        <v>33</v>
      </c>
      <c r="K139" s="153" t="s">
        <v>34</v>
      </c>
    </row>
    <row r="140" spans="1:11" ht="18" customHeight="1">
      <c r="A140" s="154" t="s">
        <v>166</v>
      </c>
      <c r="B140" s="150" t="s">
        <v>26</v>
      </c>
    </row>
    <row r="141" spans="1:11" ht="18" customHeight="1">
      <c r="A141" s="151" t="s">
        <v>137</v>
      </c>
      <c r="B141" s="150" t="s">
        <v>64</v>
      </c>
      <c r="F141" s="197">
        <f t="shared" ref="F141:K141" si="13">F36</f>
        <v>15704</v>
      </c>
      <c r="G141" s="197">
        <f t="shared" si="13"/>
        <v>1005475</v>
      </c>
      <c r="H141" s="197">
        <f t="shared" si="13"/>
        <v>1950974.9005022175</v>
      </c>
      <c r="I141" s="197">
        <f t="shared" si="13"/>
        <v>1160578.123506838</v>
      </c>
      <c r="J141" s="197">
        <f t="shared" si="13"/>
        <v>497271</v>
      </c>
      <c r="K141" s="197">
        <f t="shared" si="13"/>
        <v>2614282.0240090555</v>
      </c>
    </row>
    <row r="142" spans="1:11" ht="18" customHeight="1">
      <c r="A142" s="151" t="s">
        <v>142</v>
      </c>
      <c r="B142" s="150" t="s">
        <v>65</v>
      </c>
      <c r="F142" s="197">
        <f t="shared" ref="F142:K142" si="14">F49</f>
        <v>10469</v>
      </c>
      <c r="G142" s="197">
        <f t="shared" si="14"/>
        <v>15045</v>
      </c>
      <c r="H142" s="197">
        <f t="shared" si="14"/>
        <v>845842.63233679195</v>
      </c>
      <c r="I142" s="197">
        <f t="shared" si="14"/>
        <v>0</v>
      </c>
      <c r="J142" s="197">
        <f t="shared" si="14"/>
        <v>0</v>
      </c>
      <c r="K142" s="197">
        <f t="shared" si="14"/>
        <v>845842.63233679195</v>
      </c>
    </row>
    <row r="143" spans="1:11" ht="18" customHeight="1">
      <c r="A143" s="151" t="s">
        <v>144</v>
      </c>
      <c r="B143" s="150" t="s">
        <v>66</v>
      </c>
      <c r="F143" s="197">
        <f t="shared" ref="F143:K143" si="15">F64</f>
        <v>1248</v>
      </c>
      <c r="G143" s="197">
        <f t="shared" si="15"/>
        <v>2738</v>
      </c>
      <c r="H143" s="197">
        <f t="shared" si="15"/>
        <v>9273633</v>
      </c>
      <c r="I143" s="197">
        <f t="shared" si="15"/>
        <v>0</v>
      </c>
      <c r="J143" s="197">
        <f t="shared" si="15"/>
        <v>0</v>
      </c>
      <c r="K143" s="197">
        <f t="shared" si="15"/>
        <v>9273633</v>
      </c>
    </row>
    <row r="144" spans="1:11" ht="18" customHeight="1">
      <c r="A144" s="151" t="s">
        <v>146</v>
      </c>
      <c r="B144" s="150" t="s">
        <v>67</v>
      </c>
      <c r="F144" s="197">
        <f t="shared" ref="F144:K144" si="16">F74</f>
        <v>20.5</v>
      </c>
      <c r="G144" s="197">
        <f t="shared" si="16"/>
        <v>38</v>
      </c>
      <c r="H144" s="197">
        <f t="shared" si="16"/>
        <v>754750.55398936581</v>
      </c>
      <c r="I144" s="197">
        <f t="shared" si="16"/>
        <v>0</v>
      </c>
      <c r="J144" s="197">
        <f t="shared" si="16"/>
        <v>558057</v>
      </c>
      <c r="K144" s="197">
        <f t="shared" si="16"/>
        <v>196693.55398936578</v>
      </c>
    </row>
    <row r="145" spans="1:11" ht="18" customHeight="1">
      <c r="A145" s="151" t="s">
        <v>148</v>
      </c>
      <c r="B145" s="150" t="s">
        <v>68</v>
      </c>
      <c r="F145" s="197">
        <f t="shared" ref="F145:K145" si="17">F82</f>
        <v>665</v>
      </c>
      <c r="G145" s="197">
        <f t="shared" si="17"/>
        <v>29402</v>
      </c>
      <c r="H145" s="197">
        <f t="shared" si="17"/>
        <v>711839.29631712998</v>
      </c>
      <c r="I145" s="197">
        <f t="shared" si="17"/>
        <v>47864.310485038011</v>
      </c>
      <c r="J145" s="197">
        <f t="shared" si="17"/>
        <v>0</v>
      </c>
      <c r="K145" s="197">
        <f t="shared" si="17"/>
        <v>759703.60680216807</v>
      </c>
    </row>
    <row r="146" spans="1:11" ht="18" customHeight="1">
      <c r="A146" s="151" t="s">
        <v>150</v>
      </c>
      <c r="B146" s="150" t="s">
        <v>69</v>
      </c>
      <c r="F146" s="197">
        <f t="shared" ref="F146:K146" si="18">F98</f>
        <v>1064</v>
      </c>
      <c r="G146" s="197">
        <f t="shared" si="18"/>
        <v>300085</v>
      </c>
      <c r="H146" s="197">
        <f t="shared" si="18"/>
        <v>217629.61152422737</v>
      </c>
      <c r="I146" s="197">
        <f t="shared" si="18"/>
        <v>148867.14209680838</v>
      </c>
      <c r="J146" s="197">
        <f t="shared" si="18"/>
        <v>709</v>
      </c>
      <c r="K146" s="197">
        <f t="shared" si="18"/>
        <v>365787.75362103578</v>
      </c>
    </row>
    <row r="147" spans="1:11" ht="18" customHeight="1">
      <c r="A147" s="151" t="s">
        <v>153</v>
      </c>
      <c r="B147" s="150" t="s">
        <v>61</v>
      </c>
      <c r="F147" s="162">
        <f t="shared" ref="F147:K147" si="19">F108</f>
        <v>1711.5</v>
      </c>
      <c r="G147" s="162">
        <f t="shared" si="19"/>
        <v>0</v>
      </c>
      <c r="H147" s="162">
        <f t="shared" si="19"/>
        <v>126596.7937067766</v>
      </c>
      <c r="I147" s="162">
        <f t="shared" si="19"/>
        <v>86597.144321277403</v>
      </c>
      <c r="J147" s="162">
        <f t="shared" si="19"/>
        <v>0</v>
      </c>
      <c r="K147" s="162">
        <f t="shared" si="19"/>
        <v>213193.93802805402</v>
      </c>
    </row>
    <row r="148" spans="1:11" ht="18" customHeight="1">
      <c r="A148" s="151" t="s">
        <v>155</v>
      </c>
      <c r="B148" s="150" t="s">
        <v>70</v>
      </c>
      <c r="F148" s="198" t="s">
        <v>73</v>
      </c>
      <c r="G148" s="198" t="s">
        <v>73</v>
      </c>
      <c r="H148" s="199" t="s">
        <v>73</v>
      </c>
      <c r="I148" s="199" t="s">
        <v>73</v>
      </c>
      <c r="J148" s="199" t="s">
        <v>73</v>
      </c>
      <c r="K148" s="200">
        <f>F111</f>
        <v>3169655.23</v>
      </c>
    </row>
    <row r="149" spans="1:11" ht="18" customHeight="1">
      <c r="A149" s="151" t="s">
        <v>163</v>
      </c>
      <c r="B149" s="150" t="s">
        <v>71</v>
      </c>
      <c r="F149" s="162">
        <f t="shared" ref="F149:K149" si="20">F137</f>
        <v>0</v>
      </c>
      <c r="G149" s="162">
        <f t="shared" si="20"/>
        <v>0</v>
      </c>
      <c r="H149" s="162">
        <f t="shared" si="20"/>
        <v>0</v>
      </c>
      <c r="I149" s="162">
        <f t="shared" si="20"/>
        <v>0</v>
      </c>
      <c r="J149" s="162">
        <f t="shared" si="20"/>
        <v>0</v>
      </c>
      <c r="K149" s="162">
        <f t="shared" si="20"/>
        <v>0</v>
      </c>
    </row>
    <row r="150" spans="1:11" ht="18" customHeight="1">
      <c r="A150" s="151" t="s">
        <v>185</v>
      </c>
      <c r="B150" s="150" t="s">
        <v>186</v>
      </c>
      <c r="F150" s="198" t="s">
        <v>73</v>
      </c>
      <c r="G150" s="198" t="s">
        <v>73</v>
      </c>
      <c r="H150" s="162">
        <f>H18</f>
        <v>7185249</v>
      </c>
      <c r="I150" s="162">
        <f>I18</f>
        <v>0</v>
      </c>
      <c r="J150" s="162">
        <f>J18</f>
        <v>6144286</v>
      </c>
      <c r="K150" s="162">
        <f>K18</f>
        <v>1040963</v>
      </c>
    </row>
    <row r="151" spans="1:11" ht="18" customHeight="1">
      <c r="B151" s="150"/>
      <c r="F151" s="174"/>
      <c r="G151" s="174"/>
      <c r="H151" s="174"/>
      <c r="I151" s="174"/>
      <c r="J151" s="174"/>
      <c r="K151" s="174"/>
    </row>
    <row r="152" spans="1:11" ht="18" customHeight="1">
      <c r="A152" s="154" t="s">
        <v>165</v>
      </c>
      <c r="B152" s="150" t="s">
        <v>26</v>
      </c>
      <c r="F152" s="201">
        <f t="shared" ref="F152:K152" si="21">SUM(F141:F150)</f>
        <v>30882</v>
      </c>
      <c r="G152" s="201">
        <f t="shared" si="21"/>
        <v>1352783</v>
      </c>
      <c r="H152" s="201">
        <f t="shared" si="21"/>
        <v>21066515.78837651</v>
      </c>
      <c r="I152" s="201">
        <f t="shared" si="21"/>
        <v>1443906.7204099619</v>
      </c>
      <c r="J152" s="201">
        <f t="shared" si="21"/>
        <v>7200323</v>
      </c>
      <c r="K152" s="201">
        <f t="shared" si="21"/>
        <v>18479754.73878647</v>
      </c>
    </row>
    <row r="154" spans="1:11" ht="18" customHeight="1">
      <c r="A154" s="154" t="s">
        <v>168</v>
      </c>
      <c r="B154" s="150" t="s">
        <v>28</v>
      </c>
      <c r="F154" s="53">
        <f>K152/F121</f>
        <v>7.7970358798305855E-2</v>
      </c>
    </row>
    <row r="155" spans="1:11" ht="18" customHeight="1">
      <c r="A155" s="154" t="s">
        <v>169</v>
      </c>
      <c r="B155" s="150" t="s">
        <v>72</v>
      </c>
      <c r="F155" s="53">
        <f>K152/F127</f>
        <v>2.0088873506670804</v>
      </c>
      <c r="G155" s="150"/>
    </row>
    <row r="156" spans="1:11" ht="18" customHeight="1">
      <c r="G156" s="150"/>
    </row>
  </sheetData>
  <sheetProtection algorithmName="SHA-512" hashValue="iVvdvBFvLJrCQayOzWBOnlmmkvSOlg0vsuWfxw4ykvUWsRMIU69Eos4F9LU4n3blGdfrud4L5z60Zw6vfmvLvQ==" saltValue="dNfDTr1s26G+Dg2uXX89nw==" spinCount="100000" sheet="1" objects="1" scenarios="1"/>
  <mergeCells count="34">
    <mergeCell ref="B134:D134"/>
    <mergeCell ref="B135:D135"/>
    <mergeCell ref="B133:D133"/>
    <mergeCell ref="B104:D104"/>
    <mergeCell ref="B105:D105"/>
    <mergeCell ref="B106:D106"/>
    <mergeCell ref="B62:D62"/>
    <mergeCell ref="B31:D31"/>
    <mergeCell ref="B103:C103"/>
    <mergeCell ref="B96:D96"/>
    <mergeCell ref="B95:D95"/>
    <mergeCell ref="B57:D57"/>
    <mergeCell ref="B94:D94"/>
    <mergeCell ref="B52:C52"/>
    <mergeCell ref="B90:C90"/>
    <mergeCell ref="B53:D53"/>
    <mergeCell ref="B55:D55"/>
    <mergeCell ref="B56:D56"/>
    <mergeCell ref="B59:D59"/>
    <mergeCell ref="D2:H2"/>
    <mergeCell ref="B45:D45"/>
    <mergeCell ref="B46:D46"/>
    <mergeCell ref="B47:D47"/>
    <mergeCell ref="B34:D34"/>
    <mergeCell ref="C11:G11"/>
    <mergeCell ref="B41:C41"/>
    <mergeCell ref="B44:D44"/>
    <mergeCell ref="B13:H13"/>
    <mergeCell ref="C5:G5"/>
    <mergeCell ref="C6:G6"/>
    <mergeCell ref="C7:G7"/>
    <mergeCell ref="C9:G9"/>
    <mergeCell ref="C10:G10"/>
    <mergeCell ref="B30:D30"/>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K156"/>
  <sheetViews>
    <sheetView showGridLines="0" zoomScaleNormal="100" zoomScaleSheetLayoutView="50" workbookViewId="0">
      <selection activeCell="K18" sqref="K18"/>
    </sheetView>
  </sheetViews>
  <sheetFormatPr defaultRowHeight="18" customHeight="1"/>
  <cols>
    <col min="1" max="1" width="8.28515625" style="146" customWidth="1"/>
    <col min="2" max="2" width="55.42578125" style="147" bestFit="1" customWidth="1"/>
    <col min="3" max="3" width="9.5703125" style="147" customWidth="1"/>
    <col min="4" max="4" width="9.140625" style="147"/>
    <col min="5" max="5" width="12.42578125" style="147" customWidth="1"/>
    <col min="6" max="6" width="18.5703125" style="147" customWidth="1"/>
    <col min="7" max="7" width="23.5703125" style="147" customWidth="1"/>
    <col min="8" max="8" width="17.140625" style="147" customWidth="1"/>
    <col min="9" max="9" width="21.140625" style="147" customWidth="1"/>
    <col min="10" max="10" width="19.85546875" style="147" customWidth="1"/>
    <col min="11" max="11" width="17.5703125" style="147" customWidth="1"/>
    <col min="12" max="16384" width="9.140625" style="147"/>
  </cols>
  <sheetData>
    <row r="1" spans="1:11" ht="18" customHeight="1">
      <c r="C1" s="148"/>
      <c r="D1" s="149"/>
      <c r="E1" s="148"/>
      <c r="F1" s="148"/>
      <c r="G1" s="148"/>
      <c r="H1" s="148"/>
      <c r="I1" s="148"/>
      <c r="J1" s="148"/>
      <c r="K1" s="148"/>
    </row>
    <row r="2" spans="1:11" ht="18" customHeight="1">
      <c r="D2" s="910" t="s">
        <v>713</v>
      </c>
      <c r="E2" s="911"/>
      <c r="F2" s="911"/>
      <c r="G2" s="911"/>
      <c r="H2" s="911"/>
    </row>
    <row r="3" spans="1:11" ht="18" customHeight="1">
      <c r="B3" s="150" t="s">
        <v>0</v>
      </c>
    </row>
    <row r="5" spans="1:11" ht="18" customHeight="1">
      <c r="B5" s="151" t="s">
        <v>40</v>
      </c>
      <c r="C5" s="912" t="s">
        <v>752</v>
      </c>
      <c r="D5" s="918"/>
      <c r="E5" s="918"/>
      <c r="F5" s="918"/>
      <c r="G5" s="919"/>
    </row>
    <row r="6" spans="1:11" ht="18" customHeight="1">
      <c r="B6" s="151" t="s">
        <v>3</v>
      </c>
      <c r="C6" s="929">
        <v>210049</v>
      </c>
      <c r="D6" s="921"/>
      <c r="E6" s="921"/>
      <c r="F6" s="921"/>
      <c r="G6" s="922"/>
    </row>
    <row r="7" spans="1:11" ht="18" customHeight="1">
      <c r="B7" s="151" t="s">
        <v>4</v>
      </c>
      <c r="C7" s="930">
        <v>2349</v>
      </c>
      <c r="D7" s="924"/>
      <c r="E7" s="924"/>
      <c r="F7" s="924"/>
      <c r="G7" s="925"/>
    </row>
    <row r="9" spans="1:11" ht="18" customHeight="1">
      <c r="B9" s="151" t="s">
        <v>1</v>
      </c>
      <c r="C9" s="912" t="s">
        <v>745</v>
      </c>
      <c r="D9" s="918"/>
      <c r="E9" s="918"/>
      <c r="F9" s="918"/>
      <c r="G9" s="919"/>
    </row>
    <row r="10" spans="1:11" ht="18" customHeight="1">
      <c r="B10" s="151" t="s">
        <v>2</v>
      </c>
      <c r="C10" s="926" t="s">
        <v>746</v>
      </c>
      <c r="D10" s="927"/>
      <c r="E10" s="927"/>
      <c r="F10" s="927"/>
      <c r="G10" s="928"/>
    </row>
    <row r="11" spans="1:11" ht="18" customHeight="1">
      <c r="B11" s="151" t="s">
        <v>32</v>
      </c>
      <c r="C11" s="912" t="s">
        <v>747</v>
      </c>
      <c r="D11" s="913"/>
      <c r="E11" s="913"/>
      <c r="F11" s="913"/>
      <c r="G11" s="913"/>
    </row>
    <row r="12" spans="1:11" ht="18" customHeight="1">
      <c r="B12" s="151"/>
      <c r="C12" s="151"/>
      <c r="D12" s="151"/>
      <c r="E12" s="151"/>
      <c r="F12" s="151"/>
      <c r="G12" s="151"/>
    </row>
    <row r="13" spans="1:11" ht="24.6" customHeight="1">
      <c r="B13" s="914"/>
      <c r="C13" s="915"/>
      <c r="D13" s="915"/>
      <c r="E13" s="915"/>
      <c r="F13" s="915"/>
      <c r="G13" s="915"/>
      <c r="H13" s="916"/>
      <c r="I13" s="148"/>
    </row>
    <row r="14" spans="1:11" ht="18" customHeight="1">
      <c r="B14" s="152"/>
    </row>
    <row r="15" spans="1:11" ht="18" customHeight="1">
      <c r="B15" s="152"/>
    </row>
    <row r="16" spans="1:11" ht="45.2" customHeight="1">
      <c r="A16" s="149" t="s">
        <v>181</v>
      </c>
      <c r="B16" s="148"/>
      <c r="C16" s="148"/>
      <c r="D16" s="148"/>
      <c r="E16" s="148"/>
      <c r="F16" s="153" t="s">
        <v>9</v>
      </c>
      <c r="G16" s="153" t="s">
        <v>37</v>
      </c>
      <c r="H16" s="153" t="s">
        <v>29</v>
      </c>
      <c r="I16" s="153" t="s">
        <v>30</v>
      </c>
      <c r="J16" s="153" t="s">
        <v>33</v>
      </c>
      <c r="K16" s="153" t="s">
        <v>34</v>
      </c>
    </row>
    <row r="17" spans="1:11" ht="18" customHeight="1">
      <c r="A17" s="154" t="s">
        <v>184</v>
      </c>
      <c r="B17" s="150" t="s">
        <v>182</v>
      </c>
    </row>
    <row r="18" spans="1:11" ht="18" customHeight="1">
      <c r="A18" s="151" t="s">
        <v>185</v>
      </c>
      <c r="B18" s="155" t="s">
        <v>183</v>
      </c>
      <c r="F18" s="156" t="s">
        <v>73</v>
      </c>
      <c r="G18" s="156" t="s">
        <v>73</v>
      </c>
      <c r="H18" s="157">
        <f>7881800</f>
        <v>7881800</v>
      </c>
      <c r="I18" s="158">
        <v>0</v>
      </c>
      <c r="J18" s="157">
        <f>6739925</f>
        <v>6739925</v>
      </c>
      <c r="K18" s="159">
        <f>(H18+I18)-J18</f>
        <v>1141875</v>
      </c>
    </row>
    <row r="19" spans="1:11" ht="45.2" customHeight="1">
      <c r="A19" s="149" t="s">
        <v>8</v>
      </c>
      <c r="B19" s="148"/>
      <c r="C19" s="148"/>
      <c r="D19" s="148"/>
      <c r="E19" s="148"/>
      <c r="F19" s="153" t="s">
        <v>9</v>
      </c>
      <c r="G19" s="153" t="s">
        <v>37</v>
      </c>
      <c r="H19" s="153" t="s">
        <v>29</v>
      </c>
      <c r="I19" s="153" t="s">
        <v>30</v>
      </c>
      <c r="J19" s="153" t="s">
        <v>33</v>
      </c>
      <c r="K19" s="153" t="s">
        <v>34</v>
      </c>
    </row>
    <row r="20" spans="1:11" ht="18" customHeight="1">
      <c r="A20" s="154" t="s">
        <v>74</v>
      </c>
      <c r="B20" s="150" t="s">
        <v>41</v>
      </c>
    </row>
    <row r="21" spans="1:11" ht="18" customHeight="1">
      <c r="A21" s="151" t="s">
        <v>75</v>
      </c>
      <c r="B21" s="155" t="s">
        <v>42</v>
      </c>
      <c r="F21" s="156">
        <f>7179*0.7</f>
        <v>5025.2999999999993</v>
      </c>
      <c r="G21" s="156">
        <f>273887*0.7</f>
        <v>191720.9</v>
      </c>
      <c r="H21" s="157">
        <f>326655*0.7</f>
        <v>228658.5</v>
      </c>
      <c r="I21" s="158">
        <f t="shared" ref="I21:I34" si="0">H21*F$114</f>
        <v>123429.85829999999</v>
      </c>
      <c r="J21" s="157">
        <f>355*0.7</f>
        <v>248.49999999999997</v>
      </c>
      <c r="K21" s="159">
        <f t="shared" ref="K21:K34" si="1">(H21+I21)-J21</f>
        <v>351839.85829999996</v>
      </c>
    </row>
    <row r="22" spans="1:11" ht="18" customHeight="1">
      <c r="A22" s="151" t="s">
        <v>76</v>
      </c>
      <c r="B22" s="147" t="s">
        <v>6</v>
      </c>
      <c r="F22" s="156">
        <f>670*0.7</f>
        <v>468.99999999999994</v>
      </c>
      <c r="G22" s="156">
        <f>4074*0.7</f>
        <v>2851.7999999999997</v>
      </c>
      <c r="H22" s="157">
        <f>37079*0.7</f>
        <v>25955.3</v>
      </c>
      <c r="I22" s="158">
        <f t="shared" si="0"/>
        <v>14010.670939999998</v>
      </c>
      <c r="J22" s="157">
        <v>0</v>
      </c>
      <c r="K22" s="159">
        <f t="shared" si="1"/>
        <v>39965.970939999999</v>
      </c>
    </row>
    <row r="23" spans="1:11" ht="18" customHeight="1">
      <c r="A23" s="151" t="s">
        <v>77</v>
      </c>
      <c r="B23" s="147" t="s">
        <v>43</v>
      </c>
      <c r="F23" s="156">
        <f>51*0.7</f>
        <v>35.699999999999996</v>
      </c>
      <c r="G23" s="156">
        <f>426*0.7</f>
        <v>298.2</v>
      </c>
      <c r="H23" s="157">
        <f>15094*0.7</f>
        <v>10565.8</v>
      </c>
      <c r="I23" s="158">
        <f t="shared" si="0"/>
        <v>5703.4188399999994</v>
      </c>
      <c r="J23" s="157">
        <v>0</v>
      </c>
      <c r="K23" s="159">
        <f t="shared" si="1"/>
        <v>16269.218839999998</v>
      </c>
    </row>
    <row r="24" spans="1:11" ht="18" customHeight="1">
      <c r="A24" s="151" t="s">
        <v>78</v>
      </c>
      <c r="B24" s="147" t="s">
        <v>44</v>
      </c>
      <c r="F24" s="156">
        <f>10014*0.7</f>
        <v>7009.7999999999993</v>
      </c>
      <c r="G24" s="156">
        <f>2873*0.7</f>
        <v>2011.1</v>
      </c>
      <c r="H24" s="157">
        <f>579524*0.7</f>
        <v>405666.8</v>
      </c>
      <c r="I24" s="158">
        <f t="shared" si="0"/>
        <v>218978.93863999998</v>
      </c>
      <c r="J24" s="157">
        <f>83375*0.7</f>
        <v>58362.499999999993</v>
      </c>
      <c r="K24" s="159">
        <f t="shared" si="1"/>
        <v>566283.23864</v>
      </c>
    </row>
    <row r="25" spans="1:11" ht="18" customHeight="1">
      <c r="A25" s="151" t="s">
        <v>79</v>
      </c>
      <c r="B25" s="147" t="s">
        <v>5</v>
      </c>
      <c r="F25" s="156">
        <f>1004*0.7</f>
        <v>702.8</v>
      </c>
      <c r="G25" s="156">
        <f>5019*0.7</f>
        <v>3513.2999999999997</v>
      </c>
      <c r="H25" s="157">
        <f>41624*0.7</f>
        <v>29136.799999999999</v>
      </c>
      <c r="I25" s="158">
        <f t="shared" si="0"/>
        <v>15728.044639999998</v>
      </c>
      <c r="J25" s="157">
        <f>580*0.7</f>
        <v>406</v>
      </c>
      <c r="K25" s="159">
        <f t="shared" si="1"/>
        <v>44458.844639999996</v>
      </c>
    </row>
    <row r="26" spans="1:11" ht="18" customHeight="1">
      <c r="A26" s="151" t="s">
        <v>80</v>
      </c>
      <c r="B26" s="147" t="s">
        <v>45</v>
      </c>
      <c r="F26" s="156">
        <v>0</v>
      </c>
      <c r="G26" s="156">
        <v>0</v>
      </c>
      <c r="H26" s="157">
        <v>0</v>
      </c>
      <c r="I26" s="158">
        <f t="shared" si="0"/>
        <v>0</v>
      </c>
      <c r="J26" s="157">
        <v>0</v>
      </c>
      <c r="K26" s="159">
        <f t="shared" si="1"/>
        <v>0</v>
      </c>
    </row>
    <row r="27" spans="1:11" ht="18" customHeight="1">
      <c r="A27" s="151" t="s">
        <v>81</v>
      </c>
      <c r="B27" s="147" t="s">
        <v>46</v>
      </c>
      <c r="F27" s="156">
        <v>0</v>
      </c>
      <c r="G27" s="156">
        <v>0</v>
      </c>
      <c r="H27" s="157">
        <v>0</v>
      </c>
      <c r="I27" s="158">
        <f t="shared" si="0"/>
        <v>0</v>
      </c>
      <c r="J27" s="157">
        <v>0</v>
      </c>
      <c r="K27" s="159">
        <f t="shared" si="1"/>
        <v>0</v>
      </c>
    </row>
    <row r="28" spans="1:11" ht="18" customHeight="1">
      <c r="A28" s="151" t="s">
        <v>82</v>
      </c>
      <c r="B28" s="147" t="s">
        <v>47</v>
      </c>
      <c r="F28" s="156">
        <f>2140*0.7</f>
        <v>1498</v>
      </c>
      <c r="G28" s="156">
        <f>119*0.7</f>
        <v>83.3</v>
      </c>
      <c r="H28" s="157">
        <f>48303*0.7</f>
        <v>33812.1</v>
      </c>
      <c r="I28" s="158">
        <f t="shared" si="0"/>
        <v>18251.771579999997</v>
      </c>
      <c r="J28" s="157">
        <f>345*0.7</f>
        <v>241.49999999999997</v>
      </c>
      <c r="K28" s="159">
        <f t="shared" si="1"/>
        <v>51822.371579999992</v>
      </c>
    </row>
    <row r="29" spans="1:11" ht="18" customHeight="1">
      <c r="A29" s="151" t="s">
        <v>83</v>
      </c>
      <c r="B29" s="147" t="s">
        <v>48</v>
      </c>
      <c r="F29" s="156">
        <f>187*0.7</f>
        <v>130.9</v>
      </c>
      <c r="G29" s="156">
        <f>78*0.7</f>
        <v>54.599999999999994</v>
      </c>
      <c r="H29" s="157">
        <f>692045*0.7</f>
        <v>484431.49999999994</v>
      </c>
      <c r="I29" s="158">
        <f t="shared" si="0"/>
        <v>261496.12369999994</v>
      </c>
      <c r="J29" s="157">
        <v>0</v>
      </c>
      <c r="K29" s="159">
        <f t="shared" si="1"/>
        <v>745927.62369999988</v>
      </c>
    </row>
    <row r="30" spans="1:11" ht="18" customHeight="1">
      <c r="A30" s="151" t="s">
        <v>84</v>
      </c>
      <c r="B30" s="898"/>
      <c r="C30" s="899"/>
      <c r="D30" s="900"/>
      <c r="F30" s="156"/>
      <c r="G30" s="156"/>
      <c r="H30" s="157"/>
      <c r="I30" s="158">
        <f t="shared" si="0"/>
        <v>0</v>
      </c>
      <c r="J30" s="157"/>
      <c r="K30" s="159">
        <f t="shared" si="1"/>
        <v>0</v>
      </c>
    </row>
    <row r="31" spans="1:11" ht="18" customHeight="1">
      <c r="A31" s="151" t="s">
        <v>133</v>
      </c>
      <c r="B31" s="898"/>
      <c r="C31" s="899"/>
      <c r="D31" s="900"/>
      <c r="F31" s="156"/>
      <c r="G31" s="156"/>
      <c r="H31" s="157"/>
      <c r="I31" s="158">
        <f t="shared" si="0"/>
        <v>0</v>
      </c>
      <c r="J31" s="157"/>
      <c r="K31" s="159">
        <f t="shared" si="1"/>
        <v>0</v>
      </c>
    </row>
    <row r="32" spans="1:11" ht="18" customHeight="1">
      <c r="A32" s="151" t="s">
        <v>134</v>
      </c>
      <c r="B32" s="393"/>
      <c r="C32" s="394"/>
      <c r="D32" s="395"/>
      <c r="F32" s="156"/>
      <c r="G32" s="160" t="s">
        <v>85</v>
      </c>
      <c r="H32" s="157"/>
      <c r="I32" s="158">
        <f t="shared" si="0"/>
        <v>0</v>
      </c>
      <c r="J32" s="157"/>
      <c r="K32" s="159">
        <f t="shared" si="1"/>
        <v>0</v>
      </c>
    </row>
    <row r="33" spans="1:11" ht="18" customHeight="1">
      <c r="A33" s="151" t="s">
        <v>135</v>
      </c>
      <c r="B33" s="393"/>
      <c r="C33" s="394"/>
      <c r="D33" s="395"/>
      <c r="F33" s="156"/>
      <c r="G33" s="160" t="s">
        <v>85</v>
      </c>
      <c r="H33" s="157"/>
      <c r="I33" s="158">
        <f t="shared" si="0"/>
        <v>0</v>
      </c>
      <c r="J33" s="157"/>
      <c r="K33" s="159">
        <f t="shared" si="1"/>
        <v>0</v>
      </c>
    </row>
    <row r="34" spans="1:11" ht="18" customHeight="1">
      <c r="A34" s="151" t="s">
        <v>136</v>
      </c>
      <c r="B34" s="898"/>
      <c r="C34" s="899"/>
      <c r="D34" s="900"/>
      <c r="F34" s="156"/>
      <c r="G34" s="160" t="s">
        <v>85</v>
      </c>
      <c r="H34" s="157"/>
      <c r="I34" s="158">
        <f t="shared" si="0"/>
        <v>0</v>
      </c>
      <c r="J34" s="157"/>
      <c r="K34" s="159">
        <f t="shared" si="1"/>
        <v>0</v>
      </c>
    </row>
    <row r="35" spans="1:11" ht="18" customHeight="1">
      <c r="K35" s="161"/>
    </row>
    <row r="36" spans="1:11" ht="18" customHeight="1">
      <c r="A36" s="154" t="s">
        <v>137</v>
      </c>
      <c r="B36" s="150" t="s">
        <v>138</v>
      </c>
      <c r="E36" s="150" t="s">
        <v>7</v>
      </c>
      <c r="F36" s="162">
        <f t="shared" ref="F36:K36" si="2">SUM(F21:F34)</f>
        <v>14871.499999999998</v>
      </c>
      <c r="G36" s="162">
        <f t="shared" si="2"/>
        <v>200533.19999999998</v>
      </c>
      <c r="H36" s="162">
        <f t="shared" si="2"/>
        <v>1218226.7999999998</v>
      </c>
      <c r="I36" s="159">
        <f t="shared" si="2"/>
        <v>657598.82663999987</v>
      </c>
      <c r="J36" s="159">
        <f t="shared" si="2"/>
        <v>59258.499999999993</v>
      </c>
      <c r="K36" s="159">
        <f t="shared" si="2"/>
        <v>1816567.1266399999</v>
      </c>
    </row>
    <row r="37" spans="1:11" ht="18" customHeight="1" thickBot="1">
      <c r="B37" s="150"/>
      <c r="F37" s="163"/>
      <c r="G37" s="163"/>
      <c r="H37" s="164"/>
      <c r="I37" s="164"/>
      <c r="J37" s="164"/>
      <c r="K37" s="165"/>
    </row>
    <row r="38" spans="1:11" ht="42.75" customHeight="1">
      <c r="F38" s="153" t="s">
        <v>9</v>
      </c>
      <c r="G38" s="153" t="s">
        <v>37</v>
      </c>
      <c r="H38" s="153" t="s">
        <v>29</v>
      </c>
      <c r="I38" s="153" t="s">
        <v>30</v>
      </c>
      <c r="J38" s="153" t="s">
        <v>33</v>
      </c>
      <c r="K38" s="153" t="s">
        <v>34</v>
      </c>
    </row>
    <row r="39" spans="1:11" ht="18.75" customHeight="1">
      <c r="A39" s="154" t="s">
        <v>86</v>
      </c>
      <c r="B39" s="150" t="s">
        <v>49</v>
      </c>
    </row>
    <row r="40" spans="1:11" ht="18" customHeight="1">
      <c r="A40" s="151" t="s">
        <v>87</v>
      </c>
      <c r="B40" s="147" t="s">
        <v>31</v>
      </c>
      <c r="F40" s="156">
        <f>3919*0.7</f>
        <v>2743.2999999999997</v>
      </c>
      <c r="G40" s="156">
        <v>0</v>
      </c>
      <c r="H40" s="157">
        <f>205912*0.7</f>
        <v>144138.4</v>
      </c>
      <c r="I40" s="158">
        <f>H40*F114</f>
        <v>77805.908319999988</v>
      </c>
      <c r="J40" s="157">
        <v>0</v>
      </c>
      <c r="K40" s="159">
        <f t="shared" ref="K40:K47" si="3">(H40+I40)-J40</f>
        <v>221944.30831999998</v>
      </c>
    </row>
    <row r="41" spans="1:11" ht="18" customHeight="1">
      <c r="A41" s="151" t="s">
        <v>88</v>
      </c>
      <c r="B41" s="904" t="s">
        <v>50</v>
      </c>
      <c r="C41" s="907"/>
      <c r="F41" s="156">
        <f>22005*0.7</f>
        <v>15403.499999999998</v>
      </c>
      <c r="G41" s="156">
        <v>0</v>
      </c>
      <c r="H41" s="157">
        <f>842792*0.7</f>
        <v>589954.39999999991</v>
      </c>
      <c r="I41" s="158">
        <f>H41*F114</f>
        <v>318457.38511999993</v>
      </c>
      <c r="J41" s="157">
        <v>0</v>
      </c>
      <c r="K41" s="159">
        <f t="shared" si="3"/>
        <v>908411.7851199999</v>
      </c>
    </row>
    <row r="42" spans="1:11" ht="18" customHeight="1">
      <c r="A42" s="151" t="s">
        <v>89</v>
      </c>
      <c r="B42" s="155" t="s">
        <v>11</v>
      </c>
      <c r="F42" s="156">
        <f>40695*0.7</f>
        <v>28486.5</v>
      </c>
      <c r="G42" s="156">
        <f>70*0.7</f>
        <v>49</v>
      </c>
      <c r="H42" s="157">
        <f>1767947*0.7</f>
        <v>1237562.8999999999</v>
      </c>
      <c r="I42" s="158">
        <f>H42*F114</f>
        <v>668036.45341999992</v>
      </c>
      <c r="J42" s="157">
        <v>0</v>
      </c>
      <c r="K42" s="159">
        <f t="shared" si="3"/>
        <v>1905599.3534199998</v>
      </c>
    </row>
    <row r="43" spans="1:11" ht="18" customHeight="1">
      <c r="A43" s="151" t="s">
        <v>90</v>
      </c>
      <c r="B43" s="166" t="s">
        <v>10</v>
      </c>
      <c r="C43" s="167"/>
      <c r="D43" s="167"/>
      <c r="F43" s="156"/>
      <c r="G43" s="156"/>
      <c r="H43" s="157"/>
      <c r="I43" s="158">
        <v>0</v>
      </c>
      <c r="J43" s="157"/>
      <c r="K43" s="159">
        <f t="shared" si="3"/>
        <v>0</v>
      </c>
    </row>
    <row r="44" spans="1:11" ht="18" customHeight="1">
      <c r="A44" s="151" t="s">
        <v>91</v>
      </c>
      <c r="B44" s="898" t="s">
        <v>753</v>
      </c>
      <c r="C44" s="899"/>
      <c r="D44" s="900"/>
      <c r="F44" s="168">
        <v>0</v>
      </c>
      <c r="G44" s="168">
        <v>0</v>
      </c>
      <c r="H44" s="157">
        <f>173563</f>
        <v>173563</v>
      </c>
      <c r="I44" s="169">
        <f>H44*F114</f>
        <v>93689.307399999991</v>
      </c>
      <c r="J44" s="157">
        <v>0</v>
      </c>
      <c r="K44" s="170">
        <f t="shared" si="3"/>
        <v>267252.30739999999</v>
      </c>
    </row>
    <row r="45" spans="1:11" ht="18" customHeight="1">
      <c r="A45" s="151" t="s">
        <v>139</v>
      </c>
      <c r="B45" s="898" t="s">
        <v>754</v>
      </c>
      <c r="C45" s="899"/>
      <c r="D45" s="900"/>
      <c r="F45" s="156">
        <v>0</v>
      </c>
      <c r="G45" s="156">
        <v>0</v>
      </c>
      <c r="H45" s="157">
        <f>173563</f>
        <v>173563</v>
      </c>
      <c r="I45" s="158">
        <f>H45*F114</f>
        <v>93689.307399999991</v>
      </c>
      <c r="J45" s="157">
        <v>0</v>
      </c>
      <c r="K45" s="159">
        <f t="shared" si="3"/>
        <v>267252.30739999999</v>
      </c>
    </row>
    <row r="46" spans="1:11" ht="18" customHeight="1">
      <c r="A46" s="151" t="s">
        <v>140</v>
      </c>
      <c r="B46" s="898"/>
      <c r="C46" s="899"/>
      <c r="D46" s="900"/>
      <c r="F46" s="156"/>
      <c r="G46" s="156"/>
      <c r="H46" s="157"/>
      <c r="I46" s="158">
        <v>0</v>
      </c>
      <c r="J46" s="157"/>
      <c r="K46" s="159">
        <f t="shared" si="3"/>
        <v>0</v>
      </c>
    </row>
    <row r="47" spans="1:11" ht="18" customHeight="1">
      <c r="A47" s="151" t="s">
        <v>141</v>
      </c>
      <c r="B47" s="898"/>
      <c r="C47" s="899"/>
      <c r="D47" s="900"/>
      <c r="F47" s="156"/>
      <c r="G47" s="156"/>
      <c r="H47" s="157"/>
      <c r="I47" s="158">
        <v>0</v>
      </c>
      <c r="J47" s="157"/>
      <c r="K47" s="159">
        <f t="shared" si="3"/>
        <v>0</v>
      </c>
    </row>
    <row r="49" spans="1:11" ht="18" customHeight="1">
      <c r="A49" s="154" t="s">
        <v>142</v>
      </c>
      <c r="B49" s="150" t="s">
        <v>143</v>
      </c>
      <c r="E49" s="150" t="s">
        <v>7</v>
      </c>
      <c r="F49" s="171">
        <f t="shared" ref="F49:K49" si="4">SUM(F40:F47)</f>
        <v>46633.3</v>
      </c>
      <c r="G49" s="171">
        <f t="shared" si="4"/>
        <v>49</v>
      </c>
      <c r="H49" s="159">
        <f t="shared" si="4"/>
        <v>2318781.6999999997</v>
      </c>
      <c r="I49" s="159">
        <f t="shared" si="4"/>
        <v>1251678.3616599999</v>
      </c>
      <c r="J49" s="159">
        <f t="shared" si="4"/>
        <v>0</v>
      </c>
      <c r="K49" s="159">
        <f t="shared" si="4"/>
        <v>3570460.0616599992</v>
      </c>
    </row>
    <row r="50" spans="1:11" ht="18" customHeight="1" thickBot="1">
      <c r="G50" s="172"/>
      <c r="H50" s="172"/>
      <c r="I50" s="172"/>
      <c r="J50" s="172"/>
      <c r="K50" s="172"/>
    </row>
    <row r="51" spans="1:11" ht="42.75" customHeight="1">
      <c r="F51" s="153" t="s">
        <v>9</v>
      </c>
      <c r="G51" s="153" t="s">
        <v>37</v>
      </c>
      <c r="H51" s="153" t="s">
        <v>29</v>
      </c>
      <c r="I51" s="153" t="s">
        <v>30</v>
      </c>
      <c r="J51" s="153" t="s">
        <v>33</v>
      </c>
      <c r="K51" s="153" t="s">
        <v>34</v>
      </c>
    </row>
    <row r="52" spans="1:11" ht="18" customHeight="1">
      <c r="A52" s="154" t="s">
        <v>92</v>
      </c>
      <c r="B52" s="905" t="s">
        <v>38</v>
      </c>
      <c r="C52" s="906"/>
    </row>
    <row r="53" spans="1:11" ht="18" customHeight="1">
      <c r="A53" s="151" t="s">
        <v>51</v>
      </c>
      <c r="B53" s="1118" t="s">
        <v>755</v>
      </c>
      <c r="C53" s="909"/>
      <c r="D53" s="903"/>
      <c r="F53" s="156">
        <v>0</v>
      </c>
      <c r="G53" s="156">
        <v>0</v>
      </c>
      <c r="H53" s="157">
        <f>1408859</f>
        <v>1408859</v>
      </c>
      <c r="I53" s="158">
        <v>0</v>
      </c>
      <c r="J53" s="157">
        <v>0</v>
      </c>
      <c r="K53" s="159">
        <f t="shared" ref="K53:K62" si="5">(H53+I53)-J53</f>
        <v>1408859</v>
      </c>
    </row>
    <row r="54" spans="1:11" ht="18" customHeight="1">
      <c r="A54" s="151" t="s">
        <v>93</v>
      </c>
      <c r="B54" s="396" t="s">
        <v>756</v>
      </c>
      <c r="C54" s="397"/>
      <c r="D54" s="392"/>
      <c r="F54" s="156">
        <v>0</v>
      </c>
      <c r="G54" s="156">
        <v>0</v>
      </c>
      <c r="H54" s="157">
        <f>1046684</f>
        <v>1046684</v>
      </c>
      <c r="I54" s="158">
        <v>0</v>
      </c>
      <c r="J54" s="157"/>
      <c r="K54" s="159">
        <f t="shared" si="5"/>
        <v>1046684</v>
      </c>
    </row>
    <row r="55" spans="1:11" ht="18" customHeight="1">
      <c r="A55" s="151" t="s">
        <v>94</v>
      </c>
      <c r="B55" s="901"/>
      <c r="C55" s="902"/>
      <c r="D55" s="903"/>
      <c r="F55" s="156"/>
      <c r="G55" s="156"/>
      <c r="H55" s="157"/>
      <c r="I55" s="158">
        <v>0</v>
      </c>
      <c r="J55" s="157"/>
      <c r="K55" s="159">
        <f t="shared" si="5"/>
        <v>0</v>
      </c>
    </row>
    <row r="56" spans="1:11" ht="18" customHeight="1">
      <c r="A56" s="151" t="s">
        <v>95</v>
      </c>
      <c r="B56" s="901"/>
      <c r="C56" s="902"/>
      <c r="D56" s="903"/>
      <c r="F56" s="156"/>
      <c r="G56" s="156"/>
      <c r="H56" s="157"/>
      <c r="I56" s="158">
        <v>0</v>
      </c>
      <c r="J56" s="157"/>
      <c r="K56" s="159">
        <f t="shared" si="5"/>
        <v>0</v>
      </c>
    </row>
    <row r="57" spans="1:11" ht="18" customHeight="1">
      <c r="A57" s="151" t="s">
        <v>96</v>
      </c>
      <c r="B57" s="901"/>
      <c r="C57" s="902"/>
      <c r="D57" s="903"/>
      <c r="F57" s="156"/>
      <c r="G57" s="156"/>
      <c r="H57" s="157"/>
      <c r="I57" s="158">
        <v>0</v>
      </c>
      <c r="J57" s="157"/>
      <c r="K57" s="159">
        <f t="shared" si="5"/>
        <v>0</v>
      </c>
    </row>
    <row r="58" spans="1:11" ht="18" customHeight="1">
      <c r="A58" s="151" t="s">
        <v>97</v>
      </c>
      <c r="B58" s="396"/>
      <c r="C58" s="397"/>
      <c r="D58" s="392"/>
      <c r="F58" s="156"/>
      <c r="G58" s="156"/>
      <c r="H58" s="157"/>
      <c r="I58" s="158">
        <v>0</v>
      </c>
      <c r="J58" s="157"/>
      <c r="K58" s="159">
        <f t="shared" si="5"/>
        <v>0</v>
      </c>
    </row>
    <row r="59" spans="1:11" ht="18" customHeight="1">
      <c r="A59" s="151" t="s">
        <v>98</v>
      </c>
      <c r="B59" s="1118" t="s">
        <v>515</v>
      </c>
      <c r="C59" s="909"/>
      <c r="D59" s="903"/>
      <c r="F59" s="156">
        <f>48*0.7</f>
        <v>33.599999999999994</v>
      </c>
      <c r="G59" s="156">
        <v>0</v>
      </c>
      <c r="H59" s="157">
        <f>746128*0.7</f>
        <v>522289.6</v>
      </c>
      <c r="I59" s="158">
        <v>0</v>
      </c>
      <c r="J59" s="157"/>
      <c r="K59" s="159">
        <f t="shared" si="5"/>
        <v>522289.6</v>
      </c>
    </row>
    <row r="60" spans="1:11" ht="18" customHeight="1">
      <c r="A60" s="151" t="s">
        <v>99</v>
      </c>
      <c r="B60" s="396"/>
      <c r="C60" s="397"/>
      <c r="D60" s="392"/>
      <c r="F60" s="156"/>
      <c r="G60" s="156"/>
      <c r="H60" s="157"/>
      <c r="I60" s="158">
        <v>0</v>
      </c>
      <c r="J60" s="157"/>
      <c r="K60" s="159">
        <f t="shared" si="5"/>
        <v>0</v>
      </c>
    </row>
    <row r="61" spans="1:11" ht="18" customHeight="1">
      <c r="A61" s="151" t="s">
        <v>100</v>
      </c>
      <c r="B61" s="396"/>
      <c r="C61" s="397"/>
      <c r="D61" s="392"/>
      <c r="F61" s="156"/>
      <c r="G61" s="156"/>
      <c r="H61" s="157"/>
      <c r="I61" s="158">
        <v>0</v>
      </c>
      <c r="J61" s="157"/>
      <c r="K61" s="159">
        <f t="shared" si="5"/>
        <v>0</v>
      </c>
    </row>
    <row r="62" spans="1:11" ht="18" customHeight="1">
      <c r="A62" s="151" t="s">
        <v>101</v>
      </c>
      <c r="B62" s="901"/>
      <c r="C62" s="902"/>
      <c r="D62" s="903"/>
      <c r="F62" s="156"/>
      <c r="G62" s="156"/>
      <c r="H62" s="157"/>
      <c r="I62" s="158">
        <v>0</v>
      </c>
      <c r="J62" s="157"/>
      <c r="K62" s="159">
        <f t="shared" si="5"/>
        <v>0</v>
      </c>
    </row>
    <row r="63" spans="1:11" ht="18" customHeight="1">
      <c r="A63" s="151"/>
      <c r="I63" s="173"/>
    </row>
    <row r="64" spans="1:11" ht="18" customHeight="1">
      <c r="A64" s="151" t="s">
        <v>144</v>
      </c>
      <c r="B64" s="150" t="s">
        <v>145</v>
      </c>
      <c r="E64" s="150" t="s">
        <v>7</v>
      </c>
      <c r="F64" s="162">
        <f t="shared" ref="F64:K64" si="6">SUM(F53:F62)</f>
        <v>33.599999999999994</v>
      </c>
      <c r="G64" s="162">
        <f t="shared" si="6"/>
        <v>0</v>
      </c>
      <c r="H64" s="159">
        <f t="shared" si="6"/>
        <v>2977832.6</v>
      </c>
      <c r="I64" s="159">
        <f t="shared" si="6"/>
        <v>0</v>
      </c>
      <c r="J64" s="159">
        <f t="shared" si="6"/>
        <v>0</v>
      </c>
      <c r="K64" s="159">
        <f t="shared" si="6"/>
        <v>2977832.6</v>
      </c>
    </row>
    <row r="65" spans="1:11" ht="18" customHeight="1">
      <c r="F65" s="174"/>
      <c r="G65" s="174"/>
      <c r="H65" s="174"/>
      <c r="I65" s="174"/>
      <c r="J65" s="174"/>
      <c r="K65" s="174"/>
    </row>
    <row r="66" spans="1:11" ht="42.75" customHeight="1">
      <c r="F66" s="175" t="s">
        <v>9</v>
      </c>
      <c r="G66" s="175" t="s">
        <v>37</v>
      </c>
      <c r="H66" s="175" t="s">
        <v>29</v>
      </c>
      <c r="I66" s="175" t="s">
        <v>30</v>
      </c>
      <c r="J66" s="175" t="s">
        <v>33</v>
      </c>
      <c r="K66" s="175" t="s">
        <v>34</v>
      </c>
    </row>
    <row r="67" spans="1:11" ht="18" customHeight="1">
      <c r="A67" s="154" t="s">
        <v>102</v>
      </c>
      <c r="B67" s="150" t="s">
        <v>12</v>
      </c>
      <c r="F67" s="176"/>
      <c r="G67" s="176"/>
      <c r="H67" s="176"/>
      <c r="I67" s="177"/>
      <c r="J67" s="176"/>
      <c r="K67" s="178"/>
    </row>
    <row r="68" spans="1:11" ht="18" customHeight="1">
      <c r="A68" s="151" t="s">
        <v>103</v>
      </c>
      <c r="B68" s="147" t="s">
        <v>52</v>
      </c>
      <c r="F68" s="179">
        <f>11026*0.7</f>
        <v>7718.2</v>
      </c>
      <c r="G68" s="179">
        <f>42*0.7</f>
        <v>29.4</v>
      </c>
      <c r="H68" s="158">
        <f>437634*0.7</f>
        <v>306343.8</v>
      </c>
      <c r="I68" s="158">
        <f>H68*F114</f>
        <v>165364.38323999997</v>
      </c>
      <c r="J68" s="179">
        <v>0</v>
      </c>
      <c r="K68" s="159">
        <f>(H68+I68)-J68</f>
        <v>471708.18323999993</v>
      </c>
    </row>
    <row r="69" spans="1:11" ht="18" customHeight="1">
      <c r="A69" s="151" t="s">
        <v>104</v>
      </c>
      <c r="B69" s="155" t="s">
        <v>53</v>
      </c>
      <c r="F69" s="179"/>
      <c r="G69" s="179"/>
      <c r="H69" s="179"/>
      <c r="I69" s="158">
        <v>0</v>
      </c>
      <c r="J69" s="179"/>
      <c r="K69" s="159">
        <f>(H69+I69)-J69</f>
        <v>0</v>
      </c>
    </row>
    <row r="70" spans="1:11" ht="18" customHeight="1">
      <c r="A70" s="151" t="s">
        <v>178</v>
      </c>
      <c r="B70" s="396"/>
      <c r="C70" s="397"/>
      <c r="D70" s="392"/>
      <c r="E70" s="150"/>
      <c r="F70" s="180"/>
      <c r="G70" s="180"/>
      <c r="H70" s="181"/>
      <c r="I70" s="158">
        <v>0</v>
      </c>
      <c r="J70" s="181"/>
      <c r="K70" s="159">
        <f>(H70+I70)-J70</f>
        <v>0</v>
      </c>
    </row>
    <row r="71" spans="1:11" ht="18" customHeight="1">
      <c r="A71" s="151" t="s">
        <v>179</v>
      </c>
      <c r="B71" s="396"/>
      <c r="C71" s="397"/>
      <c r="D71" s="392"/>
      <c r="E71" s="150"/>
      <c r="F71" s="180"/>
      <c r="G71" s="180"/>
      <c r="H71" s="181"/>
      <c r="I71" s="158">
        <v>0</v>
      </c>
      <c r="J71" s="181"/>
      <c r="K71" s="159">
        <f>(H71+I71)-J71</f>
        <v>0</v>
      </c>
    </row>
    <row r="72" spans="1:11" ht="18" customHeight="1">
      <c r="A72" s="151" t="s">
        <v>180</v>
      </c>
      <c r="B72" s="390"/>
      <c r="C72" s="391"/>
      <c r="D72" s="182"/>
      <c r="E72" s="150"/>
      <c r="F72" s="156"/>
      <c r="G72" s="156"/>
      <c r="H72" s="157"/>
      <c r="I72" s="158">
        <v>0</v>
      </c>
      <c r="J72" s="157"/>
      <c r="K72" s="159">
        <f>(H72+I72)-J72</f>
        <v>0</v>
      </c>
    </row>
    <row r="73" spans="1:11" ht="18" customHeight="1">
      <c r="A73" s="151"/>
      <c r="B73" s="155"/>
      <c r="E73" s="150"/>
      <c r="F73" s="183"/>
      <c r="G73" s="183"/>
      <c r="H73" s="184"/>
      <c r="I73" s="177"/>
      <c r="J73" s="184"/>
      <c r="K73" s="178"/>
    </row>
    <row r="74" spans="1:11" ht="18" customHeight="1">
      <c r="A74" s="154" t="s">
        <v>146</v>
      </c>
      <c r="B74" s="150" t="s">
        <v>147</v>
      </c>
      <c r="E74" s="150" t="s">
        <v>7</v>
      </c>
      <c r="F74" s="185">
        <f t="shared" ref="F74:K74" si="7">SUM(F68:F72)</f>
        <v>7718.2</v>
      </c>
      <c r="G74" s="185">
        <f t="shared" si="7"/>
        <v>29.4</v>
      </c>
      <c r="H74" s="185">
        <f t="shared" si="7"/>
        <v>306343.8</v>
      </c>
      <c r="I74" s="186">
        <f t="shared" si="7"/>
        <v>165364.38323999997</v>
      </c>
      <c r="J74" s="185">
        <f t="shared" si="7"/>
        <v>0</v>
      </c>
      <c r="K74" s="187">
        <f t="shared" si="7"/>
        <v>471708.18323999993</v>
      </c>
    </row>
    <row r="75" spans="1:11" ht="42.75" customHeight="1">
      <c r="F75" s="153" t="s">
        <v>9</v>
      </c>
      <c r="G75" s="153" t="s">
        <v>37</v>
      </c>
      <c r="H75" s="153" t="s">
        <v>29</v>
      </c>
      <c r="I75" s="153" t="s">
        <v>30</v>
      </c>
      <c r="J75" s="153" t="s">
        <v>33</v>
      </c>
      <c r="K75" s="153" t="s">
        <v>34</v>
      </c>
    </row>
    <row r="76" spans="1:11" ht="18" customHeight="1">
      <c r="A76" s="154" t="s">
        <v>105</v>
      </c>
      <c r="B76" s="150" t="s">
        <v>106</v>
      </c>
    </row>
    <row r="77" spans="1:11" ht="18" customHeight="1">
      <c r="A77" s="151" t="s">
        <v>107</v>
      </c>
      <c r="B77" s="155" t="s">
        <v>54</v>
      </c>
      <c r="F77" s="156">
        <f>27*0.7</f>
        <v>18.899999999999999</v>
      </c>
      <c r="G77" s="156">
        <v>0</v>
      </c>
      <c r="H77" s="157">
        <f>20114*0.7</f>
        <v>14079.8</v>
      </c>
      <c r="I77" s="158">
        <v>0</v>
      </c>
      <c r="J77" s="157"/>
      <c r="K77" s="159">
        <f>(H77+I77)-J77</f>
        <v>14079.8</v>
      </c>
    </row>
    <row r="78" spans="1:11" ht="18" customHeight="1">
      <c r="A78" s="151" t="s">
        <v>108</v>
      </c>
      <c r="B78" s="155" t="s">
        <v>55</v>
      </c>
      <c r="F78" s="156"/>
      <c r="G78" s="156"/>
      <c r="H78" s="157"/>
      <c r="I78" s="158">
        <v>0</v>
      </c>
      <c r="J78" s="157"/>
      <c r="K78" s="159">
        <f>(H78+I78)-J78</f>
        <v>0</v>
      </c>
    </row>
    <row r="79" spans="1:11" ht="18" customHeight="1">
      <c r="A79" s="151" t="s">
        <v>109</v>
      </c>
      <c r="B79" s="155" t="s">
        <v>13</v>
      </c>
      <c r="F79" s="156">
        <f>1163*0.7</f>
        <v>814.09999999999991</v>
      </c>
      <c r="G79" s="156">
        <f>1459*0.7</f>
        <v>1021.3</v>
      </c>
      <c r="H79" s="157">
        <f>105603*0.7</f>
        <v>73922.099999999991</v>
      </c>
      <c r="I79" s="158">
        <v>0</v>
      </c>
      <c r="J79" s="157">
        <f>1490*0.7</f>
        <v>1043</v>
      </c>
      <c r="K79" s="159">
        <f>(H79+I79)-J79</f>
        <v>72879.099999999991</v>
      </c>
    </row>
    <row r="80" spans="1:11" ht="18" customHeight="1">
      <c r="A80" s="151" t="s">
        <v>110</v>
      </c>
      <c r="B80" s="155" t="s">
        <v>56</v>
      </c>
      <c r="F80" s="156"/>
      <c r="G80" s="156"/>
      <c r="H80" s="157"/>
      <c r="I80" s="158">
        <v>0</v>
      </c>
      <c r="J80" s="157"/>
      <c r="K80" s="159">
        <f>(H80+I80)-J80</f>
        <v>0</v>
      </c>
    </row>
    <row r="81" spans="1:11" ht="18" customHeight="1">
      <c r="A81" s="151"/>
      <c r="K81" s="188"/>
    </row>
    <row r="82" spans="1:11" ht="18" customHeight="1">
      <c r="A82" s="151" t="s">
        <v>148</v>
      </c>
      <c r="B82" s="150" t="s">
        <v>149</v>
      </c>
      <c r="E82" s="150" t="s">
        <v>7</v>
      </c>
      <c r="F82" s="185">
        <f t="shared" ref="F82:K82" si="8">SUM(F77:F80)</f>
        <v>832.99999999999989</v>
      </c>
      <c r="G82" s="185">
        <f t="shared" si="8"/>
        <v>1021.3</v>
      </c>
      <c r="H82" s="187">
        <f t="shared" si="8"/>
        <v>88001.9</v>
      </c>
      <c r="I82" s="187">
        <f t="shared" si="8"/>
        <v>0</v>
      </c>
      <c r="J82" s="187">
        <f t="shared" si="8"/>
        <v>1043</v>
      </c>
      <c r="K82" s="187">
        <f t="shared" si="8"/>
        <v>86958.9</v>
      </c>
    </row>
    <row r="83" spans="1:11" ht="18" customHeight="1" thickBot="1">
      <c r="A83" s="151"/>
      <c r="F83" s="172"/>
      <c r="G83" s="172"/>
      <c r="H83" s="172"/>
      <c r="I83" s="172"/>
      <c r="J83" s="172"/>
      <c r="K83" s="172"/>
    </row>
    <row r="84" spans="1:11" ht="42.75" customHeight="1">
      <c r="F84" s="153" t="s">
        <v>9</v>
      </c>
      <c r="G84" s="153" t="s">
        <v>37</v>
      </c>
      <c r="H84" s="153" t="s">
        <v>29</v>
      </c>
      <c r="I84" s="153" t="s">
        <v>30</v>
      </c>
      <c r="J84" s="153" t="s">
        <v>33</v>
      </c>
      <c r="K84" s="153" t="s">
        <v>34</v>
      </c>
    </row>
    <row r="85" spans="1:11" ht="18" customHeight="1">
      <c r="A85" s="154" t="s">
        <v>111</v>
      </c>
      <c r="B85" s="150" t="s">
        <v>57</v>
      </c>
    </row>
    <row r="86" spans="1:11" ht="18" customHeight="1">
      <c r="A86" s="151" t="s">
        <v>112</v>
      </c>
      <c r="B86" s="155" t="s">
        <v>113</v>
      </c>
      <c r="F86" s="156">
        <v>0</v>
      </c>
      <c r="G86" s="156">
        <v>0</v>
      </c>
      <c r="H86" s="157">
        <v>0</v>
      </c>
      <c r="I86" s="158">
        <f t="shared" ref="I86:I96" si="9">H86*F$114</f>
        <v>0</v>
      </c>
      <c r="J86" s="157">
        <v>0</v>
      </c>
      <c r="K86" s="159">
        <f t="shared" ref="K86:K96" si="10">(H86+I86)-J86</f>
        <v>0</v>
      </c>
    </row>
    <row r="87" spans="1:11" ht="18" customHeight="1">
      <c r="A87" s="151" t="s">
        <v>114</v>
      </c>
      <c r="B87" s="155" t="s">
        <v>14</v>
      </c>
      <c r="F87" s="156">
        <f>24*0.7</f>
        <v>16.799999999999997</v>
      </c>
      <c r="G87" s="156">
        <v>0</v>
      </c>
      <c r="H87" s="157">
        <f>1514*0.7</f>
        <v>1059.8</v>
      </c>
      <c r="I87" s="158">
        <f t="shared" si="9"/>
        <v>572.08003999999994</v>
      </c>
      <c r="J87" s="157">
        <v>0</v>
      </c>
      <c r="K87" s="159">
        <f t="shared" si="10"/>
        <v>1631.88004</v>
      </c>
    </row>
    <row r="88" spans="1:11" ht="18" customHeight="1">
      <c r="A88" s="151" t="s">
        <v>115</v>
      </c>
      <c r="B88" s="155" t="s">
        <v>116</v>
      </c>
      <c r="F88" s="156">
        <f>19*0.7</f>
        <v>13.299999999999999</v>
      </c>
      <c r="G88" s="156">
        <v>0</v>
      </c>
      <c r="H88" s="157">
        <f>63537*0.7</f>
        <v>44475.899999999994</v>
      </c>
      <c r="I88" s="158">
        <f t="shared" si="9"/>
        <v>24008.090819999994</v>
      </c>
      <c r="J88" s="157">
        <f>9000*0.7</f>
        <v>6300</v>
      </c>
      <c r="K88" s="159">
        <f t="shared" si="10"/>
        <v>62183.990819999992</v>
      </c>
    </row>
    <row r="89" spans="1:11" ht="18" customHeight="1">
      <c r="A89" s="151" t="s">
        <v>117</v>
      </c>
      <c r="B89" s="155" t="s">
        <v>58</v>
      </c>
      <c r="F89" s="156">
        <f>160*0.7</f>
        <v>112</v>
      </c>
      <c r="G89" s="156">
        <v>0</v>
      </c>
      <c r="H89" s="157">
        <f>11838*0.7</f>
        <v>8286.6</v>
      </c>
      <c r="I89" s="158">
        <f t="shared" si="9"/>
        <v>4473.1066799999999</v>
      </c>
      <c r="J89" s="157">
        <v>0</v>
      </c>
      <c r="K89" s="159">
        <f t="shared" si="10"/>
        <v>12759.706679999999</v>
      </c>
    </row>
    <row r="90" spans="1:11" ht="18" customHeight="1">
      <c r="A90" s="151" t="s">
        <v>118</v>
      </c>
      <c r="B90" s="904" t="s">
        <v>59</v>
      </c>
      <c r="C90" s="907"/>
      <c r="F90" s="156">
        <f>25*0.7</f>
        <v>17.5</v>
      </c>
      <c r="G90" s="156">
        <f>400*0.7</f>
        <v>280</v>
      </c>
      <c r="H90" s="157">
        <f>2343*0.7</f>
        <v>1640.1</v>
      </c>
      <c r="I90" s="158">
        <f t="shared" si="9"/>
        <v>885.32597999999984</v>
      </c>
      <c r="J90" s="157">
        <v>0</v>
      </c>
      <c r="K90" s="159">
        <f t="shared" si="10"/>
        <v>2525.42598</v>
      </c>
    </row>
    <row r="91" spans="1:11" ht="18" customHeight="1">
      <c r="A91" s="151" t="s">
        <v>119</v>
      </c>
      <c r="B91" s="155" t="s">
        <v>60</v>
      </c>
      <c r="F91" s="156">
        <f>365.5*0.7</f>
        <v>255.85</v>
      </c>
      <c r="G91" s="156">
        <v>0</v>
      </c>
      <c r="H91" s="157">
        <f>22882*0.7</f>
        <v>16017.4</v>
      </c>
      <c r="I91" s="158">
        <f t="shared" si="9"/>
        <v>8646.1925199999987</v>
      </c>
      <c r="J91" s="157">
        <v>0</v>
      </c>
      <c r="K91" s="159">
        <f t="shared" si="10"/>
        <v>24663.592519999998</v>
      </c>
    </row>
    <row r="92" spans="1:11" ht="18" customHeight="1">
      <c r="A92" s="151" t="s">
        <v>120</v>
      </c>
      <c r="B92" s="155" t="s">
        <v>121</v>
      </c>
      <c r="F92" s="189"/>
      <c r="G92" s="189"/>
      <c r="H92" s="190">
        <v>0</v>
      </c>
      <c r="I92" s="158">
        <f t="shared" si="9"/>
        <v>0</v>
      </c>
      <c r="J92" s="190">
        <v>0</v>
      </c>
      <c r="K92" s="159">
        <f t="shared" si="10"/>
        <v>0</v>
      </c>
    </row>
    <row r="93" spans="1:11" ht="18" customHeight="1">
      <c r="A93" s="151" t="s">
        <v>122</v>
      </c>
      <c r="B93" s="155" t="s">
        <v>123</v>
      </c>
      <c r="F93" s="156">
        <f>191.5*0.7</f>
        <v>134.04999999999998</v>
      </c>
      <c r="G93" s="156">
        <f>100*0.7</f>
        <v>70</v>
      </c>
      <c r="H93" s="157">
        <f>8275*0.7</f>
        <v>5792.5</v>
      </c>
      <c r="I93" s="158">
        <f t="shared" si="9"/>
        <v>3126.7914999999998</v>
      </c>
      <c r="J93" s="157">
        <v>0</v>
      </c>
      <c r="K93" s="159">
        <f t="shared" si="10"/>
        <v>8919.2914999999994</v>
      </c>
    </row>
    <row r="94" spans="1:11" ht="18" customHeight="1">
      <c r="A94" s="151" t="s">
        <v>124</v>
      </c>
      <c r="B94" s="901"/>
      <c r="C94" s="902"/>
      <c r="D94" s="903"/>
      <c r="F94" s="156"/>
      <c r="G94" s="156"/>
      <c r="H94" s="157"/>
      <c r="I94" s="158">
        <f t="shared" si="9"/>
        <v>0</v>
      </c>
      <c r="J94" s="157"/>
      <c r="K94" s="159">
        <f t="shared" si="10"/>
        <v>0</v>
      </c>
    </row>
    <row r="95" spans="1:11" ht="18" customHeight="1">
      <c r="A95" s="151" t="s">
        <v>125</v>
      </c>
      <c r="B95" s="901"/>
      <c r="C95" s="902"/>
      <c r="D95" s="903"/>
      <c r="F95" s="156"/>
      <c r="G95" s="156"/>
      <c r="H95" s="157"/>
      <c r="I95" s="158">
        <f t="shared" si="9"/>
        <v>0</v>
      </c>
      <c r="J95" s="157"/>
      <c r="K95" s="159">
        <f t="shared" si="10"/>
        <v>0</v>
      </c>
    </row>
    <row r="96" spans="1:11" ht="18" customHeight="1">
      <c r="A96" s="151" t="s">
        <v>126</v>
      </c>
      <c r="B96" s="901"/>
      <c r="C96" s="902"/>
      <c r="D96" s="903"/>
      <c r="F96" s="156"/>
      <c r="G96" s="156"/>
      <c r="H96" s="157"/>
      <c r="I96" s="158">
        <f t="shared" si="9"/>
        <v>0</v>
      </c>
      <c r="J96" s="157"/>
      <c r="K96" s="159">
        <f t="shared" si="10"/>
        <v>0</v>
      </c>
    </row>
    <row r="97" spans="1:11" ht="18" customHeight="1">
      <c r="A97" s="151"/>
      <c r="B97" s="155"/>
    </row>
    <row r="98" spans="1:11" ht="18" customHeight="1">
      <c r="A98" s="154" t="s">
        <v>150</v>
      </c>
      <c r="B98" s="150" t="s">
        <v>151</v>
      </c>
      <c r="E98" s="150" t="s">
        <v>7</v>
      </c>
      <c r="F98" s="162">
        <f t="shared" ref="F98:K98" si="11">SUM(F86:F96)</f>
        <v>549.5</v>
      </c>
      <c r="G98" s="162">
        <f t="shared" si="11"/>
        <v>350</v>
      </c>
      <c r="H98" s="162">
        <f t="shared" si="11"/>
        <v>77272.299999999988</v>
      </c>
      <c r="I98" s="162">
        <f t="shared" si="11"/>
        <v>41711.587539999993</v>
      </c>
      <c r="J98" s="162">
        <f t="shared" si="11"/>
        <v>6300</v>
      </c>
      <c r="K98" s="162">
        <f t="shared" si="11"/>
        <v>112683.88754</v>
      </c>
    </row>
    <row r="99" spans="1:11" ht="18" customHeight="1" thickBot="1">
      <c r="B99" s="150"/>
      <c r="F99" s="172"/>
      <c r="G99" s="172"/>
      <c r="H99" s="172"/>
      <c r="I99" s="172"/>
      <c r="J99" s="172"/>
      <c r="K99" s="172"/>
    </row>
    <row r="100" spans="1:11" ht="42.75" customHeight="1">
      <c r="F100" s="153" t="s">
        <v>9</v>
      </c>
      <c r="G100" s="153" t="s">
        <v>37</v>
      </c>
      <c r="H100" s="153" t="s">
        <v>29</v>
      </c>
      <c r="I100" s="153" t="s">
        <v>30</v>
      </c>
      <c r="J100" s="153" t="s">
        <v>33</v>
      </c>
      <c r="K100" s="153" t="s">
        <v>34</v>
      </c>
    </row>
    <row r="101" spans="1:11" ht="18" customHeight="1">
      <c r="A101" s="154" t="s">
        <v>130</v>
      </c>
      <c r="B101" s="150" t="s">
        <v>63</v>
      </c>
    </row>
    <row r="102" spans="1:11" ht="18" customHeight="1">
      <c r="A102" s="151" t="s">
        <v>131</v>
      </c>
      <c r="B102" s="155" t="s">
        <v>152</v>
      </c>
      <c r="F102" s="156">
        <f>2044*0.7</f>
        <v>1430.8</v>
      </c>
      <c r="G102" s="156">
        <v>0</v>
      </c>
      <c r="H102" s="157">
        <f>75189*0.7</f>
        <v>52632.299999999996</v>
      </c>
      <c r="I102" s="158">
        <f>H102*F$114</f>
        <v>28410.915539999995</v>
      </c>
      <c r="J102" s="157">
        <v>0</v>
      </c>
      <c r="K102" s="159">
        <f>(H102+I102)-J102</f>
        <v>81043.21553999999</v>
      </c>
    </row>
    <row r="103" spans="1:11" ht="18" customHeight="1">
      <c r="A103" s="151" t="s">
        <v>132</v>
      </c>
      <c r="B103" s="904" t="s">
        <v>62</v>
      </c>
      <c r="C103" s="904"/>
      <c r="F103" s="156">
        <v>0</v>
      </c>
      <c r="G103" s="156">
        <v>0</v>
      </c>
      <c r="H103" s="157">
        <f>26426*0.7</f>
        <v>18498.199999999997</v>
      </c>
      <c r="I103" s="158">
        <f>H103*F$114</f>
        <v>9985.3283599999977</v>
      </c>
      <c r="J103" s="157">
        <v>0</v>
      </c>
      <c r="K103" s="159">
        <f>(H103+I103)-J103</f>
        <v>28483.528359999997</v>
      </c>
    </row>
    <row r="104" spans="1:11" ht="18" customHeight="1">
      <c r="A104" s="151" t="s">
        <v>128</v>
      </c>
      <c r="B104" s="901"/>
      <c r="C104" s="902"/>
      <c r="D104" s="903"/>
      <c r="F104" s="156"/>
      <c r="G104" s="156"/>
      <c r="H104" s="157"/>
      <c r="I104" s="158">
        <f>H104*F$114</f>
        <v>0</v>
      </c>
      <c r="J104" s="157"/>
      <c r="K104" s="159">
        <f>(H104+I104)-J104</f>
        <v>0</v>
      </c>
    </row>
    <row r="105" spans="1:11" ht="18" customHeight="1">
      <c r="A105" s="151" t="s">
        <v>127</v>
      </c>
      <c r="B105" s="901"/>
      <c r="C105" s="902"/>
      <c r="D105" s="903"/>
      <c r="F105" s="156"/>
      <c r="G105" s="156"/>
      <c r="H105" s="157"/>
      <c r="I105" s="158">
        <f>H105*F$114</f>
        <v>0</v>
      </c>
      <c r="J105" s="157"/>
      <c r="K105" s="159">
        <f>(H105+I105)-J105</f>
        <v>0</v>
      </c>
    </row>
    <row r="106" spans="1:11" ht="18" customHeight="1">
      <c r="A106" s="151" t="s">
        <v>129</v>
      </c>
      <c r="B106" s="901"/>
      <c r="C106" s="902"/>
      <c r="D106" s="903"/>
      <c r="F106" s="156"/>
      <c r="G106" s="156"/>
      <c r="H106" s="157"/>
      <c r="I106" s="158">
        <f>H106*F$114</f>
        <v>0</v>
      </c>
      <c r="J106" s="157"/>
      <c r="K106" s="159">
        <f>(H106+I106)-J106</f>
        <v>0</v>
      </c>
    </row>
    <row r="107" spans="1:11" ht="18" customHeight="1">
      <c r="B107" s="150"/>
    </row>
    <row r="108" spans="1:11" s="167" customFormat="1" ht="18" customHeight="1">
      <c r="A108" s="154" t="s">
        <v>153</v>
      </c>
      <c r="B108" s="191" t="s">
        <v>154</v>
      </c>
      <c r="C108" s="147"/>
      <c r="D108" s="147"/>
      <c r="E108" s="150" t="s">
        <v>7</v>
      </c>
      <c r="F108" s="162">
        <f t="shared" ref="F108:K108" si="12">SUM(F102:F106)</f>
        <v>1430.8</v>
      </c>
      <c r="G108" s="162">
        <f t="shared" si="12"/>
        <v>0</v>
      </c>
      <c r="H108" s="159">
        <f t="shared" si="12"/>
        <v>71130.5</v>
      </c>
      <c r="I108" s="159">
        <f t="shared" si="12"/>
        <v>38396.243899999994</v>
      </c>
      <c r="J108" s="159">
        <f t="shared" si="12"/>
        <v>0</v>
      </c>
      <c r="K108" s="159">
        <f t="shared" si="12"/>
        <v>109526.74389999999</v>
      </c>
    </row>
    <row r="109" spans="1:11" s="167" customFormat="1" ht="18" customHeight="1" thickBot="1">
      <c r="A109" s="192"/>
      <c r="B109" s="193"/>
      <c r="C109" s="194"/>
      <c r="D109" s="194"/>
      <c r="E109" s="194"/>
      <c r="F109" s="172"/>
      <c r="G109" s="172"/>
      <c r="H109" s="172"/>
      <c r="I109" s="172"/>
      <c r="J109" s="172"/>
      <c r="K109" s="172"/>
    </row>
    <row r="110" spans="1:11" s="167" customFormat="1" ht="18" customHeight="1">
      <c r="A110" s="154" t="s">
        <v>156</v>
      </c>
      <c r="B110" s="150" t="s">
        <v>39</v>
      </c>
      <c r="C110" s="147"/>
      <c r="D110" s="147"/>
      <c r="E110" s="147"/>
      <c r="F110" s="147"/>
      <c r="G110" s="147"/>
      <c r="H110" s="147"/>
      <c r="I110" s="147"/>
      <c r="J110" s="147"/>
      <c r="K110" s="147"/>
    </row>
    <row r="111" spans="1:11" ht="18" customHeight="1">
      <c r="A111" s="154" t="s">
        <v>155</v>
      </c>
      <c r="B111" s="150" t="s">
        <v>164</v>
      </c>
      <c r="E111" s="150" t="s">
        <v>7</v>
      </c>
      <c r="F111" s="157">
        <f>4942659</f>
        <v>4942659</v>
      </c>
    </row>
    <row r="112" spans="1:11" ht="18" customHeight="1">
      <c r="B112" s="150"/>
      <c r="E112" s="150"/>
      <c r="F112" s="195"/>
    </row>
    <row r="113" spans="1:6" ht="18" customHeight="1">
      <c r="A113" s="154"/>
      <c r="B113" s="150" t="s">
        <v>15</v>
      </c>
    </row>
    <row r="114" spans="1:6" ht="18" customHeight="1">
      <c r="A114" s="151" t="s">
        <v>171</v>
      </c>
      <c r="B114" s="155" t="s">
        <v>35</v>
      </c>
      <c r="F114" s="196">
        <f>0.5398</f>
        <v>0.53979999999999995</v>
      </c>
    </row>
    <row r="115" spans="1:6" ht="18" customHeight="1">
      <c r="A115" s="151"/>
      <c r="B115" s="150"/>
    </row>
    <row r="116" spans="1:6" ht="18" customHeight="1">
      <c r="A116" s="151" t="s">
        <v>170</v>
      </c>
      <c r="B116" s="150" t="s">
        <v>16</v>
      </c>
    </row>
    <row r="117" spans="1:6" ht="18" customHeight="1">
      <c r="A117" s="151" t="s">
        <v>172</v>
      </c>
      <c r="B117" s="155" t="s">
        <v>17</v>
      </c>
      <c r="F117" s="157">
        <v>269283600</v>
      </c>
    </row>
    <row r="118" spans="1:6" ht="18" customHeight="1">
      <c r="A118" s="151" t="s">
        <v>173</v>
      </c>
      <c r="B118" s="147" t="s">
        <v>18</v>
      </c>
      <c r="F118" s="157">
        <f>6358000</f>
        <v>6358000</v>
      </c>
    </row>
    <row r="119" spans="1:6" ht="18" customHeight="1">
      <c r="A119" s="151" t="s">
        <v>174</v>
      </c>
      <c r="B119" s="150" t="s">
        <v>19</v>
      </c>
      <c r="F119" s="187">
        <f>SUM(F117:F118)</f>
        <v>275641600</v>
      </c>
    </row>
    <row r="120" spans="1:6" ht="18" customHeight="1">
      <c r="A120" s="151"/>
      <c r="B120" s="150"/>
    </row>
    <row r="121" spans="1:6" ht="18" customHeight="1">
      <c r="A121" s="151" t="s">
        <v>167</v>
      </c>
      <c r="B121" s="150" t="s">
        <v>36</v>
      </c>
      <c r="F121" s="157">
        <f>241611000</f>
        <v>241611000</v>
      </c>
    </row>
    <row r="122" spans="1:6" ht="18" customHeight="1">
      <c r="A122" s="151"/>
    </row>
    <row r="123" spans="1:6" ht="18" customHeight="1">
      <c r="A123" s="151" t="s">
        <v>175</v>
      </c>
      <c r="B123" s="150" t="s">
        <v>20</v>
      </c>
      <c r="F123" s="157">
        <v>34030600</v>
      </c>
    </row>
    <row r="124" spans="1:6" ht="18" customHeight="1">
      <c r="A124" s="151"/>
    </row>
    <row r="125" spans="1:6" ht="18" customHeight="1">
      <c r="A125" s="151" t="s">
        <v>176</v>
      </c>
      <c r="B125" s="150" t="s">
        <v>21</v>
      </c>
      <c r="F125" s="157">
        <f>329000-11016000</f>
        <v>-10687000</v>
      </c>
    </row>
    <row r="126" spans="1:6" ht="18" customHeight="1">
      <c r="A126" s="151"/>
    </row>
    <row r="127" spans="1:6" ht="18" customHeight="1">
      <c r="A127" s="151" t="s">
        <v>177</v>
      </c>
      <c r="B127" s="150" t="s">
        <v>22</v>
      </c>
      <c r="F127" s="157">
        <f>23343600</f>
        <v>23343600</v>
      </c>
    </row>
    <row r="128" spans="1:6" ht="18" customHeight="1">
      <c r="A128" s="151"/>
    </row>
    <row r="129" spans="1:11" ht="42.75" customHeight="1">
      <c r="F129" s="153" t="s">
        <v>9</v>
      </c>
      <c r="G129" s="153" t="s">
        <v>37</v>
      </c>
      <c r="H129" s="153" t="s">
        <v>29</v>
      </c>
      <c r="I129" s="153" t="s">
        <v>30</v>
      </c>
      <c r="J129" s="153" t="s">
        <v>33</v>
      </c>
      <c r="K129" s="153" t="s">
        <v>34</v>
      </c>
    </row>
    <row r="130" spans="1:11" ht="18" customHeight="1">
      <c r="A130" s="154" t="s">
        <v>157</v>
      </c>
      <c r="B130" s="150" t="s">
        <v>23</v>
      </c>
    </row>
    <row r="131" spans="1:11" ht="18" customHeight="1">
      <c r="A131" s="151" t="s">
        <v>158</v>
      </c>
      <c r="B131" s="147" t="s">
        <v>24</v>
      </c>
      <c r="F131" s="156"/>
      <c r="G131" s="156"/>
      <c r="H131" s="157"/>
      <c r="I131" s="158">
        <v>0</v>
      </c>
      <c r="J131" s="157"/>
      <c r="K131" s="159">
        <f>(H131+I131)-J131</f>
        <v>0</v>
      </c>
    </row>
    <row r="132" spans="1:11" ht="18" customHeight="1">
      <c r="A132" s="151" t="s">
        <v>159</v>
      </c>
      <c r="B132" s="147" t="s">
        <v>25</v>
      </c>
      <c r="F132" s="156"/>
      <c r="G132" s="156"/>
      <c r="H132" s="157"/>
      <c r="I132" s="158">
        <v>0</v>
      </c>
      <c r="J132" s="157"/>
      <c r="K132" s="159">
        <f>(H132+I132)-J132</f>
        <v>0</v>
      </c>
    </row>
    <row r="133" spans="1:11" ht="18" customHeight="1">
      <c r="A133" s="151" t="s">
        <v>160</v>
      </c>
      <c r="B133" s="898"/>
      <c r="C133" s="899"/>
      <c r="D133" s="900"/>
      <c r="F133" s="156"/>
      <c r="G133" s="156"/>
      <c r="H133" s="157"/>
      <c r="I133" s="158">
        <v>0</v>
      </c>
      <c r="J133" s="157"/>
      <c r="K133" s="159">
        <f>(H133+I133)-J133</f>
        <v>0</v>
      </c>
    </row>
    <row r="134" spans="1:11" ht="18" customHeight="1">
      <c r="A134" s="151" t="s">
        <v>161</v>
      </c>
      <c r="B134" s="898"/>
      <c r="C134" s="899"/>
      <c r="D134" s="900"/>
      <c r="F134" s="156"/>
      <c r="G134" s="156"/>
      <c r="H134" s="157"/>
      <c r="I134" s="158">
        <v>0</v>
      </c>
      <c r="J134" s="157"/>
      <c r="K134" s="159">
        <f>(H134+I134)-J134</f>
        <v>0</v>
      </c>
    </row>
    <row r="135" spans="1:11" ht="18" customHeight="1">
      <c r="A135" s="151" t="s">
        <v>162</v>
      </c>
      <c r="B135" s="898"/>
      <c r="C135" s="899"/>
      <c r="D135" s="900"/>
      <c r="F135" s="156"/>
      <c r="G135" s="156"/>
      <c r="H135" s="157"/>
      <c r="I135" s="158">
        <v>0</v>
      </c>
      <c r="J135" s="157"/>
      <c r="K135" s="159">
        <f>(H135+I135)-J135</f>
        <v>0</v>
      </c>
    </row>
    <row r="136" spans="1:11" ht="18" customHeight="1">
      <c r="A136" s="154"/>
    </row>
    <row r="137" spans="1:11" ht="18" customHeight="1">
      <c r="A137" s="154" t="s">
        <v>163</v>
      </c>
      <c r="B137" s="150" t="s">
        <v>27</v>
      </c>
      <c r="F137" s="162">
        <f t="shared" ref="F137:K137" si="13">SUM(F131:F135)</f>
        <v>0</v>
      </c>
      <c r="G137" s="162">
        <f t="shared" si="13"/>
        <v>0</v>
      </c>
      <c r="H137" s="159">
        <f t="shared" si="13"/>
        <v>0</v>
      </c>
      <c r="I137" s="159">
        <f t="shared" si="13"/>
        <v>0</v>
      </c>
      <c r="J137" s="159">
        <f t="shared" si="13"/>
        <v>0</v>
      </c>
      <c r="K137" s="159">
        <f t="shared" si="13"/>
        <v>0</v>
      </c>
    </row>
    <row r="138" spans="1:11" ht="18" customHeight="1">
      <c r="A138" s="147"/>
    </row>
    <row r="139" spans="1:11" ht="42.75" customHeight="1">
      <c r="F139" s="153" t="s">
        <v>9</v>
      </c>
      <c r="G139" s="153" t="s">
        <v>37</v>
      </c>
      <c r="H139" s="153" t="s">
        <v>29</v>
      </c>
      <c r="I139" s="153" t="s">
        <v>30</v>
      </c>
      <c r="J139" s="153" t="s">
        <v>33</v>
      </c>
      <c r="K139" s="153" t="s">
        <v>34</v>
      </c>
    </row>
    <row r="140" spans="1:11" ht="18" customHeight="1">
      <c r="A140" s="154" t="s">
        <v>166</v>
      </c>
      <c r="B140" s="150" t="s">
        <v>26</v>
      </c>
    </row>
    <row r="141" spans="1:11" ht="18" customHeight="1">
      <c r="A141" s="151" t="s">
        <v>137</v>
      </c>
      <c r="B141" s="150" t="s">
        <v>64</v>
      </c>
      <c r="F141" s="197">
        <f t="shared" ref="F141:K141" si="14">F36</f>
        <v>14871.499999999998</v>
      </c>
      <c r="G141" s="197">
        <f t="shared" si="14"/>
        <v>200533.19999999998</v>
      </c>
      <c r="H141" s="197">
        <f t="shared" si="14"/>
        <v>1218226.7999999998</v>
      </c>
      <c r="I141" s="197">
        <f t="shared" si="14"/>
        <v>657598.82663999987</v>
      </c>
      <c r="J141" s="197">
        <f t="shared" si="14"/>
        <v>59258.499999999993</v>
      </c>
      <c r="K141" s="197">
        <f t="shared" si="14"/>
        <v>1816567.1266399999</v>
      </c>
    </row>
    <row r="142" spans="1:11" ht="18" customHeight="1">
      <c r="A142" s="151" t="s">
        <v>142</v>
      </c>
      <c r="B142" s="150" t="s">
        <v>65</v>
      </c>
      <c r="F142" s="197">
        <f t="shared" ref="F142:K142" si="15">F49</f>
        <v>46633.3</v>
      </c>
      <c r="G142" s="197">
        <f t="shared" si="15"/>
        <v>49</v>
      </c>
      <c r="H142" s="197">
        <f t="shared" si="15"/>
        <v>2318781.6999999997</v>
      </c>
      <c r="I142" s="197">
        <f t="shared" si="15"/>
        <v>1251678.3616599999</v>
      </c>
      <c r="J142" s="197">
        <f t="shared" si="15"/>
        <v>0</v>
      </c>
      <c r="K142" s="197">
        <f t="shared" si="15"/>
        <v>3570460.0616599992</v>
      </c>
    </row>
    <row r="143" spans="1:11" ht="18" customHeight="1">
      <c r="A143" s="151" t="s">
        <v>144</v>
      </c>
      <c r="B143" s="150" t="s">
        <v>66</v>
      </c>
      <c r="F143" s="197">
        <f t="shared" ref="F143:K143" si="16">F64</f>
        <v>33.599999999999994</v>
      </c>
      <c r="G143" s="197">
        <f t="shared" si="16"/>
        <v>0</v>
      </c>
      <c r="H143" s="197">
        <f t="shared" si="16"/>
        <v>2977832.6</v>
      </c>
      <c r="I143" s="197">
        <f t="shared" si="16"/>
        <v>0</v>
      </c>
      <c r="J143" s="197">
        <f t="shared" si="16"/>
        <v>0</v>
      </c>
      <c r="K143" s="197">
        <f t="shared" si="16"/>
        <v>2977832.6</v>
      </c>
    </row>
    <row r="144" spans="1:11" ht="18" customHeight="1">
      <c r="A144" s="151" t="s">
        <v>146</v>
      </c>
      <c r="B144" s="150" t="s">
        <v>67</v>
      </c>
      <c r="F144" s="197">
        <f t="shared" ref="F144:K144" si="17">F74</f>
        <v>7718.2</v>
      </c>
      <c r="G144" s="197">
        <f t="shared" si="17"/>
        <v>29.4</v>
      </c>
      <c r="H144" s="197">
        <f t="shared" si="17"/>
        <v>306343.8</v>
      </c>
      <c r="I144" s="197">
        <f t="shared" si="17"/>
        <v>165364.38323999997</v>
      </c>
      <c r="J144" s="197">
        <f t="shared" si="17"/>
        <v>0</v>
      </c>
      <c r="K144" s="197">
        <f t="shared" si="17"/>
        <v>471708.18323999993</v>
      </c>
    </row>
    <row r="145" spans="1:11" ht="18" customHeight="1">
      <c r="A145" s="151" t="s">
        <v>148</v>
      </c>
      <c r="B145" s="150" t="s">
        <v>68</v>
      </c>
      <c r="F145" s="197">
        <f t="shared" ref="F145:K145" si="18">F82</f>
        <v>832.99999999999989</v>
      </c>
      <c r="G145" s="197">
        <f t="shared" si="18"/>
        <v>1021.3</v>
      </c>
      <c r="H145" s="197">
        <f t="shared" si="18"/>
        <v>88001.9</v>
      </c>
      <c r="I145" s="197">
        <f t="shared" si="18"/>
        <v>0</v>
      </c>
      <c r="J145" s="197">
        <f t="shared" si="18"/>
        <v>1043</v>
      </c>
      <c r="K145" s="197">
        <f t="shared" si="18"/>
        <v>86958.9</v>
      </c>
    </row>
    <row r="146" spans="1:11" ht="18" customHeight="1">
      <c r="A146" s="151" t="s">
        <v>150</v>
      </c>
      <c r="B146" s="150" t="s">
        <v>69</v>
      </c>
      <c r="F146" s="197">
        <f t="shared" ref="F146:K146" si="19">F98</f>
        <v>549.5</v>
      </c>
      <c r="G146" s="197">
        <f t="shared" si="19"/>
        <v>350</v>
      </c>
      <c r="H146" s="197">
        <f t="shared" si="19"/>
        <v>77272.299999999988</v>
      </c>
      <c r="I146" s="197">
        <f t="shared" si="19"/>
        <v>41711.587539999993</v>
      </c>
      <c r="J146" s="197">
        <f t="shared" si="19"/>
        <v>6300</v>
      </c>
      <c r="K146" s="197">
        <f t="shared" si="19"/>
        <v>112683.88754</v>
      </c>
    </row>
    <row r="147" spans="1:11" ht="18" customHeight="1">
      <c r="A147" s="151" t="s">
        <v>153</v>
      </c>
      <c r="B147" s="150" t="s">
        <v>61</v>
      </c>
      <c r="F147" s="162">
        <f t="shared" ref="F147:K147" si="20">F108</f>
        <v>1430.8</v>
      </c>
      <c r="G147" s="162">
        <f t="shared" si="20"/>
        <v>0</v>
      </c>
      <c r="H147" s="162">
        <f t="shared" si="20"/>
        <v>71130.5</v>
      </c>
      <c r="I147" s="162">
        <f t="shared" si="20"/>
        <v>38396.243899999994</v>
      </c>
      <c r="J147" s="162">
        <f t="shared" si="20"/>
        <v>0</v>
      </c>
      <c r="K147" s="162">
        <f t="shared" si="20"/>
        <v>109526.74389999999</v>
      </c>
    </row>
    <row r="148" spans="1:11" ht="18" customHeight="1">
      <c r="A148" s="151" t="s">
        <v>155</v>
      </c>
      <c r="B148" s="150" t="s">
        <v>70</v>
      </c>
      <c r="F148" s="198" t="s">
        <v>73</v>
      </c>
      <c r="G148" s="198" t="s">
        <v>73</v>
      </c>
      <c r="H148" s="199" t="s">
        <v>73</v>
      </c>
      <c r="I148" s="199" t="s">
        <v>73</v>
      </c>
      <c r="J148" s="199" t="s">
        <v>73</v>
      </c>
      <c r="K148" s="200">
        <f>F111</f>
        <v>4942659</v>
      </c>
    </row>
    <row r="149" spans="1:11" ht="18" customHeight="1">
      <c r="A149" s="151" t="s">
        <v>163</v>
      </c>
      <c r="B149" s="150" t="s">
        <v>71</v>
      </c>
      <c r="F149" s="162">
        <f t="shared" ref="F149:K149" si="21">F137</f>
        <v>0</v>
      </c>
      <c r="G149" s="162">
        <f t="shared" si="21"/>
        <v>0</v>
      </c>
      <c r="H149" s="162">
        <f t="shared" si="21"/>
        <v>0</v>
      </c>
      <c r="I149" s="162">
        <f t="shared" si="21"/>
        <v>0</v>
      </c>
      <c r="J149" s="162">
        <f t="shared" si="21"/>
        <v>0</v>
      </c>
      <c r="K149" s="162">
        <f t="shared" si="21"/>
        <v>0</v>
      </c>
    </row>
    <row r="150" spans="1:11" ht="18" customHeight="1">
      <c r="A150" s="151" t="s">
        <v>185</v>
      </c>
      <c r="B150" s="150" t="s">
        <v>186</v>
      </c>
      <c r="F150" s="198" t="s">
        <v>73</v>
      </c>
      <c r="G150" s="198" t="s">
        <v>73</v>
      </c>
      <c r="H150" s="162">
        <f>H18</f>
        <v>7881800</v>
      </c>
      <c r="I150" s="162">
        <f>I18</f>
        <v>0</v>
      </c>
      <c r="J150" s="162">
        <f>J18</f>
        <v>6739925</v>
      </c>
      <c r="K150" s="162">
        <f>K18</f>
        <v>1141875</v>
      </c>
    </row>
    <row r="151" spans="1:11" ht="18" customHeight="1">
      <c r="B151" s="150"/>
      <c r="F151" s="174"/>
      <c r="G151" s="174"/>
      <c r="H151" s="174"/>
      <c r="I151" s="174"/>
      <c r="J151" s="174"/>
      <c r="K151" s="174"/>
    </row>
    <row r="152" spans="1:11" ht="18" customHeight="1">
      <c r="A152" s="154" t="s">
        <v>165</v>
      </c>
      <c r="B152" s="150" t="s">
        <v>26</v>
      </c>
      <c r="F152" s="201">
        <f t="shared" ref="F152:K152" si="22">SUM(F141:F150)</f>
        <v>72069.900000000009</v>
      </c>
      <c r="G152" s="201">
        <f t="shared" si="22"/>
        <v>201982.89999999997</v>
      </c>
      <c r="H152" s="201">
        <f t="shared" si="22"/>
        <v>14939389.6</v>
      </c>
      <c r="I152" s="201">
        <f t="shared" si="22"/>
        <v>2154749.4029799998</v>
      </c>
      <c r="J152" s="201">
        <f t="shared" si="22"/>
        <v>6806526.5</v>
      </c>
      <c r="K152" s="201">
        <f t="shared" si="22"/>
        <v>15230271.502979998</v>
      </c>
    </row>
    <row r="154" spans="1:11" ht="18" customHeight="1">
      <c r="A154" s="154" t="s">
        <v>168</v>
      </c>
      <c r="B154" s="150" t="s">
        <v>28</v>
      </c>
      <c r="F154" s="53">
        <f>K152/F121</f>
        <v>6.3036333209084014E-2</v>
      </c>
    </row>
    <row r="155" spans="1:11" ht="18" customHeight="1">
      <c r="A155" s="154" t="s">
        <v>169</v>
      </c>
      <c r="B155" s="150" t="s">
        <v>72</v>
      </c>
      <c r="F155" s="53">
        <f>K152/F127</f>
        <v>0.65243884846296185</v>
      </c>
      <c r="G155" s="150"/>
    </row>
    <row r="156" spans="1:11" ht="18" customHeight="1">
      <c r="G156" s="150"/>
    </row>
  </sheetData>
  <sheetProtection algorithmName="SHA-512" hashValue="iVvdvBFvLJrCQayOzWBOnlmmkvSOlg0vsuWfxw4ykvUWsRMIU69Eos4F9LU4n3blGdfrud4L5z60Zw6vfmvLvQ==" saltValue="dNfDTr1s26G+Dg2uXX89nw==" spinCount="100000" sheet="1" objects="1" scenarios="1"/>
  <mergeCells count="34">
    <mergeCell ref="B41:C41"/>
    <mergeCell ref="D2:H2"/>
    <mergeCell ref="C5:G5"/>
    <mergeCell ref="C6:G6"/>
    <mergeCell ref="C7:G7"/>
    <mergeCell ref="C9:G9"/>
    <mergeCell ref="C10:G10"/>
    <mergeCell ref="C11:G11"/>
    <mergeCell ref="B13:H13"/>
    <mergeCell ref="B30:D30"/>
    <mergeCell ref="B31:D31"/>
    <mergeCell ref="B34:D34"/>
    <mergeCell ref="B90:C90"/>
    <mergeCell ref="B44:D44"/>
    <mergeCell ref="B45:D45"/>
    <mergeCell ref="B46:D46"/>
    <mergeCell ref="B47:D47"/>
    <mergeCell ref="B52:C52"/>
    <mergeCell ref="B53:D53"/>
    <mergeCell ref="B55:D55"/>
    <mergeCell ref="B56:D56"/>
    <mergeCell ref="B57:D57"/>
    <mergeCell ref="B59:D59"/>
    <mergeCell ref="B62:D62"/>
    <mergeCell ref="B106:D106"/>
    <mergeCell ref="B133:D133"/>
    <mergeCell ref="B134:D134"/>
    <mergeCell ref="B135:D135"/>
    <mergeCell ref="B94:D94"/>
    <mergeCell ref="B95:D95"/>
    <mergeCell ref="B96:D96"/>
    <mergeCell ref="B103:C103"/>
    <mergeCell ref="B104:D104"/>
    <mergeCell ref="B105:D105"/>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K156"/>
  <sheetViews>
    <sheetView showGridLines="0" zoomScaleNormal="100" zoomScaleSheetLayoutView="100" workbookViewId="0">
      <selection activeCell="K18" sqref="K18"/>
    </sheetView>
  </sheetViews>
  <sheetFormatPr defaultRowHeight="18" customHeight="1"/>
  <cols>
    <col min="1" max="1" width="8.28515625" style="146" customWidth="1"/>
    <col min="2" max="2" width="55.42578125" style="147" bestFit="1" customWidth="1"/>
    <col min="3" max="3" width="9.5703125" style="147" customWidth="1"/>
    <col min="4" max="4" width="9.140625" style="147"/>
    <col min="5" max="5" width="12.42578125" style="147" customWidth="1"/>
    <col min="6" max="6" width="18.5703125" style="147" customWidth="1"/>
    <col min="7" max="7" width="23.5703125" style="147" customWidth="1"/>
    <col min="8" max="8" width="17.140625" style="147" customWidth="1"/>
    <col min="9" max="9" width="21.140625" style="147" customWidth="1"/>
    <col min="10" max="10" width="19.85546875" style="147" customWidth="1"/>
    <col min="11" max="11" width="17.5703125" style="147" customWidth="1"/>
    <col min="12" max="16384" width="9.140625" style="147"/>
  </cols>
  <sheetData>
    <row r="1" spans="1:11" ht="18" customHeight="1">
      <c r="C1" s="148"/>
      <c r="D1" s="149"/>
      <c r="E1" s="148"/>
      <c r="F1" s="148"/>
      <c r="G1" s="148"/>
      <c r="H1" s="148"/>
      <c r="I1" s="148"/>
      <c r="J1" s="148"/>
      <c r="K1" s="148"/>
    </row>
    <row r="2" spans="1:11" ht="18" customHeight="1">
      <c r="D2" s="910" t="s">
        <v>713</v>
      </c>
      <c r="E2" s="911"/>
      <c r="F2" s="911"/>
      <c r="G2" s="911"/>
      <c r="H2" s="911"/>
    </row>
    <row r="3" spans="1:11" ht="18" customHeight="1">
      <c r="B3" s="150" t="s">
        <v>0</v>
      </c>
    </row>
    <row r="5" spans="1:11" ht="18" customHeight="1">
      <c r="B5" s="151" t="s">
        <v>40</v>
      </c>
      <c r="C5" s="912" t="s">
        <v>405</v>
      </c>
      <c r="D5" s="918"/>
      <c r="E5" s="918"/>
      <c r="F5" s="918"/>
      <c r="G5" s="919"/>
    </row>
    <row r="6" spans="1:11" ht="18" customHeight="1">
      <c r="B6" s="151" t="s">
        <v>3</v>
      </c>
      <c r="C6" s="929" t="s">
        <v>406</v>
      </c>
      <c r="D6" s="921"/>
      <c r="E6" s="921"/>
      <c r="F6" s="921"/>
      <c r="G6" s="922"/>
    </row>
    <row r="7" spans="1:11" ht="18" customHeight="1">
      <c r="B7" s="151" t="s">
        <v>4</v>
      </c>
      <c r="C7" s="930">
        <v>1449</v>
      </c>
      <c r="D7" s="924"/>
      <c r="E7" s="924"/>
      <c r="F7" s="924"/>
      <c r="G7" s="925"/>
    </row>
    <row r="9" spans="1:11" ht="18" customHeight="1">
      <c r="B9" s="151" t="s">
        <v>1</v>
      </c>
      <c r="C9" s="912" t="s">
        <v>831</v>
      </c>
      <c r="D9" s="918"/>
      <c r="E9" s="918"/>
      <c r="F9" s="918"/>
      <c r="G9" s="919"/>
    </row>
    <row r="10" spans="1:11" ht="18" customHeight="1">
      <c r="B10" s="151" t="s">
        <v>2</v>
      </c>
      <c r="C10" s="926" t="s">
        <v>407</v>
      </c>
      <c r="D10" s="927"/>
      <c r="E10" s="927"/>
      <c r="F10" s="927"/>
      <c r="G10" s="928"/>
    </row>
    <row r="11" spans="1:11" ht="18" customHeight="1">
      <c r="B11" s="151" t="s">
        <v>32</v>
      </c>
      <c r="C11" s="912" t="s">
        <v>832</v>
      </c>
      <c r="D11" s="913"/>
      <c r="E11" s="913"/>
      <c r="F11" s="913"/>
      <c r="G11" s="913"/>
    </row>
    <row r="12" spans="1:11" ht="18" customHeight="1">
      <c r="B12" s="151"/>
      <c r="C12" s="151"/>
      <c r="D12" s="151"/>
      <c r="E12" s="151"/>
      <c r="F12" s="151"/>
      <c r="G12" s="151"/>
    </row>
    <row r="13" spans="1:11" ht="24.6" customHeight="1">
      <c r="B13" s="914"/>
      <c r="C13" s="915"/>
      <c r="D13" s="915"/>
      <c r="E13" s="915"/>
      <c r="F13" s="915"/>
      <c r="G13" s="915"/>
      <c r="H13" s="916"/>
      <c r="I13" s="148"/>
    </row>
    <row r="14" spans="1:11" ht="18" customHeight="1">
      <c r="B14" s="152"/>
    </row>
    <row r="15" spans="1:11" ht="18" customHeight="1">
      <c r="B15" s="152"/>
    </row>
    <row r="16" spans="1:11" ht="45" customHeight="1">
      <c r="A16" s="149" t="s">
        <v>181</v>
      </c>
      <c r="B16" s="148"/>
      <c r="C16" s="148"/>
      <c r="D16" s="148"/>
      <c r="E16" s="148"/>
      <c r="F16" s="153" t="s">
        <v>9</v>
      </c>
      <c r="G16" s="153" t="s">
        <v>37</v>
      </c>
      <c r="H16" s="153" t="s">
        <v>29</v>
      </c>
      <c r="I16" s="153" t="s">
        <v>30</v>
      </c>
      <c r="J16" s="153" t="s">
        <v>33</v>
      </c>
      <c r="K16" s="153" t="s">
        <v>34</v>
      </c>
    </row>
    <row r="17" spans="1:11" ht="18" customHeight="1">
      <c r="A17" s="154" t="s">
        <v>184</v>
      </c>
      <c r="B17" s="150" t="s">
        <v>182</v>
      </c>
    </row>
    <row r="18" spans="1:11" ht="18" customHeight="1">
      <c r="A18" s="151" t="s">
        <v>185</v>
      </c>
      <c r="B18" s="155" t="s">
        <v>183</v>
      </c>
      <c r="F18" s="156" t="s">
        <v>73</v>
      </c>
      <c r="G18" s="156" t="s">
        <v>73</v>
      </c>
      <c r="H18" s="157">
        <v>5358663</v>
      </c>
      <c r="I18" s="158">
        <v>0</v>
      </c>
      <c r="J18" s="157">
        <v>4582327</v>
      </c>
      <c r="K18" s="159">
        <f>(H18+I18)-J18</f>
        <v>776336</v>
      </c>
    </row>
    <row r="19" spans="1:11" ht="45" customHeight="1">
      <c r="A19" s="149" t="s">
        <v>8</v>
      </c>
      <c r="B19" s="148"/>
      <c r="C19" s="148"/>
      <c r="D19" s="148"/>
      <c r="E19" s="148"/>
      <c r="F19" s="153" t="s">
        <v>9</v>
      </c>
      <c r="G19" s="153" t="s">
        <v>37</v>
      </c>
      <c r="H19" s="153" t="s">
        <v>29</v>
      </c>
      <c r="I19" s="153" t="s">
        <v>30</v>
      </c>
      <c r="J19" s="153" t="s">
        <v>33</v>
      </c>
      <c r="K19" s="153" t="s">
        <v>34</v>
      </c>
    </row>
    <row r="20" spans="1:11" ht="18" customHeight="1">
      <c r="A20" s="154" t="s">
        <v>74</v>
      </c>
      <c r="B20" s="150" t="s">
        <v>41</v>
      </c>
    </row>
    <row r="21" spans="1:11" ht="18" customHeight="1">
      <c r="A21" s="151" t="s">
        <v>75</v>
      </c>
      <c r="B21" s="155" t="s">
        <v>42</v>
      </c>
      <c r="F21" s="156">
        <v>557</v>
      </c>
      <c r="G21" s="156">
        <v>3476</v>
      </c>
      <c r="H21" s="157">
        <v>44535</v>
      </c>
      <c r="I21" s="158">
        <f t="shared" ref="I21:I34" si="0">H21*F$114</f>
        <v>28947.75</v>
      </c>
      <c r="J21" s="157">
        <v>45000</v>
      </c>
      <c r="K21" s="159">
        <f t="shared" ref="K21:K34" si="1">(H21+I21)-J21</f>
        <v>28482.75</v>
      </c>
    </row>
    <row r="22" spans="1:11" ht="18" customHeight="1">
      <c r="A22" s="151" t="s">
        <v>76</v>
      </c>
      <c r="B22" s="147" t="s">
        <v>6</v>
      </c>
      <c r="F22" s="156">
        <v>350</v>
      </c>
      <c r="G22" s="156">
        <v>1494</v>
      </c>
      <c r="H22" s="157">
        <v>50284</v>
      </c>
      <c r="I22" s="158">
        <f>H22*F$114</f>
        <v>32684.600000000002</v>
      </c>
      <c r="J22" s="157"/>
      <c r="K22" s="159">
        <f t="shared" si="1"/>
        <v>82968.600000000006</v>
      </c>
    </row>
    <row r="23" spans="1:11" ht="18" customHeight="1">
      <c r="A23" s="151" t="s">
        <v>77</v>
      </c>
      <c r="B23" s="147" t="s">
        <v>43</v>
      </c>
      <c r="F23" s="156">
        <v>128</v>
      </c>
      <c r="G23" s="156">
        <v>176</v>
      </c>
      <c r="H23" s="157">
        <v>13440</v>
      </c>
      <c r="I23" s="158">
        <f t="shared" si="0"/>
        <v>8736</v>
      </c>
      <c r="J23" s="157">
        <v>10000</v>
      </c>
      <c r="K23" s="159">
        <f t="shared" si="1"/>
        <v>12176</v>
      </c>
    </row>
    <row r="24" spans="1:11" ht="18" customHeight="1">
      <c r="A24" s="151" t="s">
        <v>78</v>
      </c>
      <c r="B24" s="147" t="s">
        <v>44</v>
      </c>
      <c r="F24" s="156"/>
      <c r="G24" s="156"/>
      <c r="H24" s="157"/>
      <c r="I24" s="158">
        <f t="shared" si="0"/>
        <v>0</v>
      </c>
      <c r="J24" s="157"/>
      <c r="K24" s="159">
        <f t="shared" si="1"/>
        <v>0</v>
      </c>
    </row>
    <row r="25" spans="1:11" ht="18" customHeight="1">
      <c r="A25" s="151" t="s">
        <v>79</v>
      </c>
      <c r="B25" s="147" t="s">
        <v>5</v>
      </c>
      <c r="F25" s="156">
        <v>3566</v>
      </c>
      <c r="G25" s="156">
        <v>4072</v>
      </c>
      <c r="H25" s="157">
        <v>362368</v>
      </c>
      <c r="I25" s="158">
        <f>H25*F$114</f>
        <v>235539.20000000001</v>
      </c>
      <c r="J25" s="157">
        <v>270000</v>
      </c>
      <c r="K25" s="159">
        <f t="shared" si="1"/>
        <v>327907.19999999995</v>
      </c>
    </row>
    <row r="26" spans="1:11" ht="18" customHeight="1">
      <c r="A26" s="151" t="s">
        <v>80</v>
      </c>
      <c r="B26" s="147" t="s">
        <v>45</v>
      </c>
      <c r="F26" s="156"/>
      <c r="G26" s="156"/>
      <c r="H26" s="157"/>
      <c r="I26" s="158">
        <f t="shared" si="0"/>
        <v>0</v>
      </c>
      <c r="J26" s="157"/>
      <c r="K26" s="159">
        <f t="shared" si="1"/>
        <v>0</v>
      </c>
    </row>
    <row r="27" spans="1:11" ht="18" customHeight="1">
      <c r="A27" s="151" t="s">
        <v>81</v>
      </c>
      <c r="B27" s="147" t="s">
        <v>46</v>
      </c>
      <c r="F27" s="156"/>
      <c r="G27" s="156"/>
      <c r="H27" s="157"/>
      <c r="I27" s="158">
        <f t="shared" si="0"/>
        <v>0</v>
      </c>
      <c r="J27" s="157"/>
      <c r="K27" s="159">
        <f t="shared" si="1"/>
        <v>0</v>
      </c>
    </row>
    <row r="28" spans="1:11" ht="18" customHeight="1">
      <c r="A28" s="151" t="s">
        <v>82</v>
      </c>
      <c r="B28" s="147" t="s">
        <v>47</v>
      </c>
      <c r="F28" s="156">
        <v>200</v>
      </c>
      <c r="G28" s="156"/>
      <c r="H28" s="157">
        <v>8000</v>
      </c>
      <c r="I28" s="158">
        <f>H28*F$114</f>
        <v>5200</v>
      </c>
      <c r="J28" s="157"/>
      <c r="K28" s="159">
        <f t="shared" si="1"/>
        <v>13200</v>
      </c>
    </row>
    <row r="29" spans="1:11" ht="18" customHeight="1">
      <c r="A29" s="151" t="s">
        <v>83</v>
      </c>
      <c r="B29" s="147" t="s">
        <v>48</v>
      </c>
      <c r="F29" s="156"/>
      <c r="G29" s="156"/>
      <c r="H29" s="157"/>
      <c r="I29" s="158">
        <f t="shared" si="0"/>
        <v>0</v>
      </c>
      <c r="J29" s="157"/>
      <c r="K29" s="159">
        <f t="shared" si="1"/>
        <v>0</v>
      </c>
    </row>
    <row r="30" spans="1:11" ht="18" customHeight="1">
      <c r="A30" s="151" t="s">
        <v>84</v>
      </c>
      <c r="B30" s="898"/>
      <c r="C30" s="899"/>
      <c r="D30" s="900"/>
      <c r="F30" s="156"/>
      <c r="G30" s="156"/>
      <c r="H30" s="157"/>
      <c r="I30" s="158">
        <f t="shared" si="0"/>
        <v>0</v>
      </c>
      <c r="J30" s="157"/>
      <c r="K30" s="159">
        <f t="shared" si="1"/>
        <v>0</v>
      </c>
    </row>
    <row r="31" spans="1:11" ht="18" customHeight="1">
      <c r="A31" s="151" t="s">
        <v>133</v>
      </c>
      <c r="B31" s="898"/>
      <c r="C31" s="899"/>
      <c r="D31" s="900"/>
      <c r="F31" s="156"/>
      <c r="G31" s="156"/>
      <c r="H31" s="157"/>
      <c r="I31" s="158">
        <f t="shared" si="0"/>
        <v>0</v>
      </c>
      <c r="J31" s="157"/>
      <c r="K31" s="159">
        <f t="shared" si="1"/>
        <v>0</v>
      </c>
    </row>
    <row r="32" spans="1:11" ht="18" customHeight="1">
      <c r="A32" s="151" t="s">
        <v>134</v>
      </c>
      <c r="B32" s="393"/>
      <c r="C32" s="394"/>
      <c r="D32" s="395"/>
      <c r="F32" s="156"/>
      <c r="G32" s="160" t="s">
        <v>85</v>
      </c>
      <c r="H32" s="157"/>
      <c r="I32" s="158">
        <f t="shared" si="0"/>
        <v>0</v>
      </c>
      <c r="J32" s="157"/>
      <c r="K32" s="159">
        <f t="shared" si="1"/>
        <v>0</v>
      </c>
    </row>
    <row r="33" spans="1:11" ht="18" customHeight="1">
      <c r="A33" s="151" t="s">
        <v>135</v>
      </c>
      <c r="B33" s="393"/>
      <c r="C33" s="394"/>
      <c r="D33" s="395"/>
      <c r="F33" s="156"/>
      <c r="G33" s="160" t="s">
        <v>85</v>
      </c>
      <c r="H33" s="157"/>
      <c r="I33" s="158">
        <f t="shared" si="0"/>
        <v>0</v>
      </c>
      <c r="J33" s="157"/>
      <c r="K33" s="159">
        <f t="shared" si="1"/>
        <v>0</v>
      </c>
    </row>
    <row r="34" spans="1:11" ht="18" customHeight="1">
      <c r="A34" s="151" t="s">
        <v>136</v>
      </c>
      <c r="B34" s="898"/>
      <c r="C34" s="899"/>
      <c r="D34" s="900"/>
      <c r="F34" s="156"/>
      <c r="G34" s="160" t="s">
        <v>85</v>
      </c>
      <c r="H34" s="157"/>
      <c r="I34" s="158">
        <f t="shared" si="0"/>
        <v>0</v>
      </c>
      <c r="J34" s="157"/>
      <c r="K34" s="159">
        <f t="shared" si="1"/>
        <v>0</v>
      </c>
    </row>
    <row r="35" spans="1:11" ht="18" customHeight="1">
      <c r="K35" s="161"/>
    </row>
    <row r="36" spans="1:11" ht="18" customHeight="1">
      <c r="A36" s="154" t="s">
        <v>137</v>
      </c>
      <c r="B36" s="150" t="s">
        <v>138</v>
      </c>
      <c r="E36" s="150" t="s">
        <v>7</v>
      </c>
      <c r="F36" s="162">
        <f t="shared" ref="F36:K36" si="2">SUM(F21:F34)</f>
        <v>4801</v>
      </c>
      <c r="G36" s="162">
        <f t="shared" si="2"/>
        <v>9218</v>
      </c>
      <c r="H36" s="162">
        <f t="shared" si="2"/>
        <v>478627</v>
      </c>
      <c r="I36" s="159">
        <f t="shared" si="2"/>
        <v>311107.55000000005</v>
      </c>
      <c r="J36" s="159">
        <f t="shared" si="2"/>
        <v>325000</v>
      </c>
      <c r="K36" s="159">
        <f t="shared" si="2"/>
        <v>464734.54999999993</v>
      </c>
    </row>
    <row r="37" spans="1:11" ht="18" customHeight="1" thickBot="1">
      <c r="B37" s="150"/>
      <c r="F37" s="163"/>
      <c r="G37" s="163"/>
      <c r="H37" s="164"/>
      <c r="I37" s="164"/>
      <c r="J37" s="164"/>
      <c r="K37" s="165"/>
    </row>
    <row r="38" spans="1:11" ht="42.75" customHeight="1">
      <c r="F38" s="153" t="s">
        <v>9</v>
      </c>
      <c r="G38" s="153" t="s">
        <v>37</v>
      </c>
      <c r="H38" s="153" t="s">
        <v>29</v>
      </c>
      <c r="I38" s="153" t="s">
        <v>30</v>
      </c>
      <c r="J38" s="153" t="s">
        <v>33</v>
      </c>
      <c r="K38" s="153" t="s">
        <v>34</v>
      </c>
    </row>
    <row r="39" spans="1:11" ht="18.75" customHeight="1">
      <c r="A39" s="154" t="s">
        <v>86</v>
      </c>
      <c r="B39" s="150" t="s">
        <v>49</v>
      </c>
    </row>
    <row r="40" spans="1:11" ht="18" customHeight="1">
      <c r="A40" s="151" t="s">
        <v>87</v>
      </c>
      <c r="B40" s="147" t="s">
        <v>31</v>
      </c>
      <c r="F40" s="156"/>
      <c r="G40" s="156"/>
      <c r="H40" s="157"/>
      <c r="I40" s="158">
        <v>0</v>
      </c>
      <c r="J40" s="157"/>
      <c r="K40" s="159">
        <f t="shared" ref="K40:K47" si="3">(H40+I40)-J40</f>
        <v>0</v>
      </c>
    </row>
    <row r="41" spans="1:11" ht="18" customHeight="1">
      <c r="A41" s="151" t="s">
        <v>88</v>
      </c>
      <c r="B41" s="904" t="s">
        <v>50</v>
      </c>
      <c r="C41" s="907"/>
      <c r="F41" s="156">
        <v>25041</v>
      </c>
      <c r="G41" s="156">
        <v>321</v>
      </c>
      <c r="H41" s="157">
        <v>901476</v>
      </c>
      <c r="I41" s="158">
        <f>H41*F$114</f>
        <v>585959.4</v>
      </c>
      <c r="J41" s="157"/>
      <c r="K41" s="159">
        <f t="shared" si="3"/>
        <v>1487435.4</v>
      </c>
    </row>
    <row r="42" spans="1:11" ht="18" customHeight="1">
      <c r="A42" s="151" t="s">
        <v>89</v>
      </c>
      <c r="B42" s="155" t="s">
        <v>11</v>
      </c>
      <c r="F42" s="156">
        <v>9168</v>
      </c>
      <c r="G42" s="156">
        <v>1252</v>
      </c>
      <c r="H42" s="157">
        <v>361704</v>
      </c>
      <c r="I42" s="158">
        <f>H42*F$114</f>
        <v>235107.6</v>
      </c>
      <c r="J42" s="157"/>
      <c r="K42" s="159">
        <f t="shared" si="3"/>
        <v>596811.6</v>
      </c>
    </row>
    <row r="43" spans="1:11" ht="18" customHeight="1">
      <c r="A43" s="151" t="s">
        <v>90</v>
      </c>
      <c r="B43" s="166" t="s">
        <v>10</v>
      </c>
      <c r="C43" s="167"/>
      <c r="D43" s="167"/>
      <c r="F43" s="156"/>
      <c r="G43" s="156"/>
      <c r="H43" s="157"/>
      <c r="I43" s="158">
        <v>0</v>
      </c>
      <c r="J43" s="157"/>
      <c r="K43" s="159">
        <f t="shared" si="3"/>
        <v>0</v>
      </c>
    </row>
    <row r="44" spans="1:11" ht="18" customHeight="1">
      <c r="A44" s="151" t="s">
        <v>91</v>
      </c>
      <c r="B44" s="898"/>
      <c r="C44" s="899"/>
      <c r="D44" s="900"/>
      <c r="F44" s="168"/>
      <c r="G44" s="168"/>
      <c r="H44" s="168"/>
      <c r="I44" s="169">
        <v>0</v>
      </c>
      <c r="J44" s="168"/>
      <c r="K44" s="170">
        <f t="shared" si="3"/>
        <v>0</v>
      </c>
    </row>
    <row r="45" spans="1:11" ht="18" customHeight="1">
      <c r="A45" s="151" t="s">
        <v>139</v>
      </c>
      <c r="B45" s="898"/>
      <c r="C45" s="899"/>
      <c r="D45" s="900"/>
      <c r="F45" s="156"/>
      <c r="G45" s="156"/>
      <c r="H45" s="157"/>
      <c r="I45" s="158">
        <v>0</v>
      </c>
      <c r="J45" s="157"/>
      <c r="K45" s="159">
        <f t="shared" si="3"/>
        <v>0</v>
      </c>
    </row>
    <row r="46" spans="1:11" ht="18" customHeight="1">
      <c r="A46" s="151" t="s">
        <v>140</v>
      </c>
      <c r="B46" s="898"/>
      <c r="C46" s="899"/>
      <c r="D46" s="900"/>
      <c r="F46" s="156"/>
      <c r="G46" s="156"/>
      <c r="H46" s="157"/>
      <c r="I46" s="158">
        <v>0</v>
      </c>
      <c r="J46" s="157"/>
      <c r="K46" s="159">
        <f t="shared" si="3"/>
        <v>0</v>
      </c>
    </row>
    <row r="47" spans="1:11" ht="18" customHeight="1">
      <c r="A47" s="151" t="s">
        <v>141</v>
      </c>
      <c r="B47" s="898"/>
      <c r="C47" s="899"/>
      <c r="D47" s="900"/>
      <c r="F47" s="156"/>
      <c r="G47" s="156"/>
      <c r="H47" s="157"/>
      <c r="I47" s="158">
        <v>0</v>
      </c>
      <c r="J47" s="157"/>
      <c r="K47" s="159">
        <f t="shared" si="3"/>
        <v>0</v>
      </c>
    </row>
    <row r="49" spans="1:11" ht="18" customHeight="1">
      <c r="A49" s="154" t="s">
        <v>142</v>
      </c>
      <c r="B49" s="150" t="s">
        <v>143</v>
      </c>
      <c r="E49" s="150" t="s">
        <v>7</v>
      </c>
      <c r="F49" s="171">
        <f t="shared" ref="F49:K49" si="4">SUM(F40:F47)</f>
        <v>34209</v>
      </c>
      <c r="G49" s="171">
        <f t="shared" si="4"/>
        <v>1573</v>
      </c>
      <c r="H49" s="159">
        <f t="shared" si="4"/>
        <v>1263180</v>
      </c>
      <c r="I49" s="159">
        <f t="shared" si="4"/>
        <v>821067</v>
      </c>
      <c r="J49" s="159">
        <f t="shared" si="4"/>
        <v>0</v>
      </c>
      <c r="K49" s="159">
        <f t="shared" si="4"/>
        <v>2084247</v>
      </c>
    </row>
    <row r="50" spans="1:11" ht="18" customHeight="1" thickBot="1">
      <c r="G50" s="172"/>
      <c r="H50" s="172"/>
      <c r="I50" s="172"/>
      <c r="J50" s="172"/>
      <c r="K50" s="172"/>
    </row>
    <row r="51" spans="1:11" ht="42.75" customHeight="1">
      <c r="F51" s="153" t="s">
        <v>9</v>
      </c>
      <c r="G51" s="153" t="s">
        <v>37</v>
      </c>
      <c r="H51" s="153" t="s">
        <v>29</v>
      </c>
      <c r="I51" s="153" t="s">
        <v>30</v>
      </c>
      <c r="J51" s="153" t="s">
        <v>33</v>
      </c>
      <c r="K51" s="153" t="s">
        <v>34</v>
      </c>
    </row>
    <row r="52" spans="1:11" ht="18" customHeight="1">
      <c r="A52" s="154" t="s">
        <v>92</v>
      </c>
      <c r="B52" s="905" t="s">
        <v>38</v>
      </c>
      <c r="C52" s="906"/>
    </row>
    <row r="53" spans="1:11" ht="18" customHeight="1">
      <c r="A53" s="151" t="s">
        <v>51</v>
      </c>
      <c r="B53" s="908"/>
      <c r="C53" s="909"/>
      <c r="D53" s="903"/>
      <c r="F53" s="156"/>
      <c r="G53" s="156"/>
      <c r="H53" s="157"/>
      <c r="I53" s="158">
        <v>0</v>
      </c>
      <c r="J53" s="157"/>
      <c r="K53" s="159">
        <f t="shared" ref="K53:K62" si="5">(H53+I53)-J53</f>
        <v>0</v>
      </c>
    </row>
    <row r="54" spans="1:11" ht="18" customHeight="1">
      <c r="A54" s="151" t="s">
        <v>93</v>
      </c>
      <c r="B54" s="396"/>
      <c r="C54" s="397"/>
      <c r="D54" s="392"/>
      <c r="F54" s="156"/>
      <c r="G54" s="156"/>
      <c r="H54" s="157"/>
      <c r="I54" s="158">
        <v>0</v>
      </c>
      <c r="J54" s="157"/>
      <c r="K54" s="159">
        <f t="shared" si="5"/>
        <v>0</v>
      </c>
    </row>
    <row r="55" spans="1:11" ht="18" customHeight="1">
      <c r="A55" s="151" t="s">
        <v>94</v>
      </c>
      <c r="B55" s="901"/>
      <c r="C55" s="902"/>
      <c r="D55" s="903"/>
      <c r="F55" s="156"/>
      <c r="G55" s="156"/>
      <c r="H55" s="157"/>
      <c r="I55" s="158">
        <v>0</v>
      </c>
      <c r="J55" s="157"/>
      <c r="K55" s="159">
        <f t="shared" si="5"/>
        <v>0</v>
      </c>
    </row>
    <row r="56" spans="1:11" ht="18" customHeight="1">
      <c r="A56" s="151" t="s">
        <v>95</v>
      </c>
      <c r="B56" s="901"/>
      <c r="C56" s="902"/>
      <c r="D56" s="903"/>
      <c r="F56" s="156"/>
      <c r="G56" s="156"/>
      <c r="H56" s="157"/>
      <c r="I56" s="158">
        <v>0</v>
      </c>
      <c r="J56" s="157"/>
      <c r="K56" s="159">
        <f t="shared" si="5"/>
        <v>0</v>
      </c>
    </row>
    <row r="57" spans="1:11" ht="18" customHeight="1">
      <c r="A57" s="151" t="s">
        <v>96</v>
      </c>
      <c r="B57" s="901"/>
      <c r="C57" s="902"/>
      <c r="D57" s="903"/>
      <c r="F57" s="156"/>
      <c r="G57" s="156"/>
      <c r="H57" s="157"/>
      <c r="I57" s="158">
        <v>0</v>
      </c>
      <c r="J57" s="157"/>
      <c r="K57" s="159">
        <f t="shared" si="5"/>
        <v>0</v>
      </c>
    </row>
    <row r="58" spans="1:11" ht="18" customHeight="1">
      <c r="A58" s="151" t="s">
        <v>97</v>
      </c>
      <c r="B58" s="396"/>
      <c r="C58" s="397"/>
      <c r="D58" s="392"/>
      <c r="F58" s="156"/>
      <c r="G58" s="156"/>
      <c r="H58" s="157"/>
      <c r="I58" s="158">
        <v>0</v>
      </c>
      <c r="J58" s="157"/>
      <c r="K58" s="159">
        <f t="shared" si="5"/>
        <v>0</v>
      </c>
    </row>
    <row r="59" spans="1:11" ht="18" customHeight="1">
      <c r="A59" s="151" t="s">
        <v>98</v>
      </c>
      <c r="B59" s="901"/>
      <c r="C59" s="902"/>
      <c r="D59" s="903"/>
      <c r="F59" s="156"/>
      <c r="G59" s="156"/>
      <c r="H59" s="157"/>
      <c r="I59" s="158">
        <v>0</v>
      </c>
      <c r="J59" s="157"/>
      <c r="K59" s="159">
        <f t="shared" si="5"/>
        <v>0</v>
      </c>
    </row>
    <row r="60" spans="1:11" ht="18" customHeight="1">
      <c r="A60" s="151" t="s">
        <v>99</v>
      </c>
      <c r="B60" s="396"/>
      <c r="C60" s="397"/>
      <c r="D60" s="392"/>
      <c r="F60" s="156"/>
      <c r="G60" s="156"/>
      <c r="H60" s="157"/>
      <c r="I60" s="158">
        <v>0</v>
      </c>
      <c r="J60" s="157"/>
      <c r="K60" s="159">
        <f t="shared" si="5"/>
        <v>0</v>
      </c>
    </row>
    <row r="61" spans="1:11" ht="18" customHeight="1">
      <c r="A61" s="151" t="s">
        <v>100</v>
      </c>
      <c r="B61" s="396"/>
      <c r="C61" s="397"/>
      <c r="D61" s="392"/>
      <c r="F61" s="156"/>
      <c r="G61" s="156"/>
      <c r="H61" s="157"/>
      <c r="I61" s="158">
        <v>0</v>
      </c>
      <c r="J61" s="157"/>
      <c r="K61" s="159">
        <f t="shared" si="5"/>
        <v>0</v>
      </c>
    </row>
    <row r="62" spans="1:11" ht="18" customHeight="1">
      <c r="A62" s="151" t="s">
        <v>101</v>
      </c>
      <c r="B62" s="901"/>
      <c r="C62" s="902"/>
      <c r="D62" s="903"/>
      <c r="F62" s="156"/>
      <c r="G62" s="156"/>
      <c r="H62" s="157"/>
      <c r="I62" s="158">
        <v>0</v>
      </c>
      <c r="J62" s="157"/>
      <c r="K62" s="159">
        <f t="shared" si="5"/>
        <v>0</v>
      </c>
    </row>
    <row r="63" spans="1:11" ht="18" customHeight="1">
      <c r="A63" s="151"/>
      <c r="I63" s="173"/>
    </row>
    <row r="64" spans="1:11" ht="18" customHeight="1">
      <c r="A64" s="151" t="s">
        <v>144</v>
      </c>
      <c r="B64" s="150" t="s">
        <v>145</v>
      </c>
      <c r="E64" s="150" t="s">
        <v>7</v>
      </c>
      <c r="F64" s="162">
        <f t="shared" ref="F64:K64" si="6">SUM(F53:F62)</f>
        <v>0</v>
      </c>
      <c r="G64" s="162">
        <f t="shared" si="6"/>
        <v>0</v>
      </c>
      <c r="H64" s="159">
        <f t="shared" si="6"/>
        <v>0</v>
      </c>
      <c r="I64" s="159">
        <f t="shared" si="6"/>
        <v>0</v>
      </c>
      <c r="J64" s="159">
        <f t="shared" si="6"/>
        <v>0</v>
      </c>
      <c r="K64" s="159">
        <f t="shared" si="6"/>
        <v>0</v>
      </c>
    </row>
    <row r="65" spans="1:11" ht="18" customHeight="1">
      <c r="F65" s="174"/>
      <c r="G65" s="174"/>
      <c r="H65" s="174"/>
      <c r="I65" s="174"/>
      <c r="J65" s="174"/>
      <c r="K65" s="174"/>
    </row>
    <row r="66" spans="1:11" ht="42.75" customHeight="1">
      <c r="F66" s="175" t="s">
        <v>9</v>
      </c>
      <c r="G66" s="175" t="s">
        <v>37</v>
      </c>
      <c r="H66" s="175" t="s">
        <v>29</v>
      </c>
      <c r="I66" s="175" t="s">
        <v>30</v>
      </c>
      <c r="J66" s="175" t="s">
        <v>33</v>
      </c>
      <c r="K66" s="175" t="s">
        <v>34</v>
      </c>
    </row>
    <row r="67" spans="1:11" ht="18" customHeight="1">
      <c r="A67" s="154" t="s">
        <v>102</v>
      </c>
      <c r="B67" s="150" t="s">
        <v>12</v>
      </c>
      <c r="F67" s="176"/>
      <c r="G67" s="176"/>
      <c r="H67" s="176"/>
      <c r="I67" s="177"/>
      <c r="J67" s="176"/>
      <c r="K67" s="178"/>
    </row>
    <row r="68" spans="1:11" ht="18" customHeight="1">
      <c r="A68" s="151" t="s">
        <v>103</v>
      </c>
      <c r="B68" s="147" t="s">
        <v>52</v>
      </c>
      <c r="F68" s="179"/>
      <c r="G68" s="179"/>
      <c r="H68" s="179"/>
      <c r="I68" s="158">
        <v>0</v>
      </c>
      <c r="J68" s="179"/>
      <c r="K68" s="159">
        <f>(H68+I68)-J68</f>
        <v>0</v>
      </c>
    </row>
    <row r="69" spans="1:11" ht="18" customHeight="1">
      <c r="A69" s="151" t="s">
        <v>104</v>
      </c>
      <c r="B69" s="155" t="s">
        <v>53</v>
      </c>
      <c r="F69" s="179"/>
      <c r="G69" s="179"/>
      <c r="H69" s="179"/>
      <c r="I69" s="158">
        <v>0</v>
      </c>
      <c r="J69" s="179"/>
      <c r="K69" s="159">
        <f>(H69+I69)-J69</f>
        <v>0</v>
      </c>
    </row>
    <row r="70" spans="1:11" ht="18" customHeight="1">
      <c r="A70" s="151" t="s">
        <v>178</v>
      </c>
      <c r="B70" s="396"/>
      <c r="C70" s="397"/>
      <c r="D70" s="392"/>
      <c r="E70" s="150"/>
      <c r="F70" s="180"/>
      <c r="G70" s="180"/>
      <c r="H70" s="181"/>
      <c r="I70" s="158">
        <v>0</v>
      </c>
      <c r="J70" s="181"/>
      <c r="K70" s="159">
        <f>(H70+I70)-J70</f>
        <v>0</v>
      </c>
    </row>
    <row r="71" spans="1:11" ht="18" customHeight="1">
      <c r="A71" s="151" t="s">
        <v>179</v>
      </c>
      <c r="B71" s="396"/>
      <c r="C71" s="397"/>
      <c r="D71" s="392"/>
      <c r="E71" s="150"/>
      <c r="F71" s="180"/>
      <c r="G71" s="180"/>
      <c r="H71" s="181"/>
      <c r="I71" s="158">
        <v>0</v>
      </c>
      <c r="J71" s="181"/>
      <c r="K71" s="159">
        <f>(H71+I71)-J71</f>
        <v>0</v>
      </c>
    </row>
    <row r="72" spans="1:11" ht="18" customHeight="1">
      <c r="A72" s="151" t="s">
        <v>180</v>
      </c>
      <c r="B72" s="390"/>
      <c r="C72" s="391"/>
      <c r="D72" s="182"/>
      <c r="E72" s="150"/>
      <c r="F72" s="156"/>
      <c r="G72" s="156"/>
      <c r="H72" s="157"/>
      <c r="I72" s="158">
        <v>0</v>
      </c>
      <c r="J72" s="157"/>
      <c r="K72" s="159">
        <f>(H72+I72)-J72</f>
        <v>0</v>
      </c>
    </row>
    <row r="73" spans="1:11" ht="18" customHeight="1">
      <c r="A73" s="151"/>
      <c r="B73" s="155"/>
      <c r="E73" s="150"/>
      <c r="F73" s="183"/>
      <c r="G73" s="183"/>
      <c r="H73" s="184"/>
      <c r="I73" s="177"/>
      <c r="J73" s="184"/>
      <c r="K73" s="178"/>
    </row>
    <row r="74" spans="1:11" ht="18" customHeight="1">
      <c r="A74" s="154" t="s">
        <v>146</v>
      </c>
      <c r="B74" s="150" t="s">
        <v>147</v>
      </c>
      <c r="E74" s="150" t="s">
        <v>7</v>
      </c>
      <c r="F74" s="185">
        <f t="shared" ref="F74:K74" si="7">SUM(F68:F72)</f>
        <v>0</v>
      </c>
      <c r="G74" s="185">
        <f t="shared" si="7"/>
        <v>0</v>
      </c>
      <c r="H74" s="185">
        <f t="shared" si="7"/>
        <v>0</v>
      </c>
      <c r="I74" s="186">
        <f t="shared" si="7"/>
        <v>0</v>
      </c>
      <c r="J74" s="185">
        <f t="shared" si="7"/>
        <v>0</v>
      </c>
      <c r="K74" s="187">
        <f t="shared" si="7"/>
        <v>0</v>
      </c>
    </row>
    <row r="75" spans="1:11" ht="42.75" customHeight="1">
      <c r="F75" s="153" t="s">
        <v>9</v>
      </c>
      <c r="G75" s="153" t="s">
        <v>37</v>
      </c>
      <c r="H75" s="153" t="s">
        <v>29</v>
      </c>
      <c r="I75" s="153" t="s">
        <v>30</v>
      </c>
      <c r="J75" s="153" t="s">
        <v>33</v>
      </c>
      <c r="K75" s="153" t="s">
        <v>34</v>
      </c>
    </row>
    <row r="76" spans="1:11" ht="18" customHeight="1">
      <c r="A76" s="154" t="s">
        <v>105</v>
      </c>
      <c r="B76" s="150" t="s">
        <v>106</v>
      </c>
    </row>
    <row r="77" spans="1:11" ht="18" customHeight="1">
      <c r="A77" s="151" t="s">
        <v>107</v>
      </c>
      <c r="B77" s="155" t="s">
        <v>54</v>
      </c>
      <c r="F77" s="156"/>
      <c r="G77" s="156"/>
      <c r="H77" s="157">
        <v>297228</v>
      </c>
      <c r="I77" s="158">
        <v>0</v>
      </c>
      <c r="J77" s="157"/>
      <c r="K77" s="159">
        <f>(H77+I77)-J77</f>
        <v>297228</v>
      </c>
    </row>
    <row r="78" spans="1:11" ht="18" customHeight="1">
      <c r="A78" s="151" t="s">
        <v>108</v>
      </c>
      <c r="B78" s="155" t="s">
        <v>55</v>
      </c>
      <c r="F78" s="156"/>
      <c r="G78" s="156"/>
      <c r="H78" s="157"/>
      <c r="I78" s="158">
        <v>0</v>
      </c>
      <c r="J78" s="157"/>
      <c r="K78" s="159">
        <f>(H78+I78)-J78</f>
        <v>0</v>
      </c>
    </row>
    <row r="79" spans="1:11" ht="18" customHeight="1">
      <c r="A79" s="151" t="s">
        <v>109</v>
      </c>
      <c r="B79" s="155" t="s">
        <v>13</v>
      </c>
      <c r="F79" s="156">
        <v>62</v>
      </c>
      <c r="G79" s="156">
        <v>494</v>
      </c>
      <c r="H79" s="157">
        <v>53173</v>
      </c>
      <c r="I79" s="158">
        <f>H79*F$114</f>
        <v>34562.450000000004</v>
      </c>
      <c r="J79" s="157"/>
      <c r="K79" s="159">
        <f>(H79+I79)-J79</f>
        <v>87735.450000000012</v>
      </c>
    </row>
    <row r="80" spans="1:11" ht="18" customHeight="1">
      <c r="A80" s="151" t="s">
        <v>110</v>
      </c>
      <c r="B80" s="155" t="s">
        <v>56</v>
      </c>
      <c r="F80" s="156"/>
      <c r="G80" s="156"/>
      <c r="H80" s="157"/>
      <c r="I80" s="158">
        <v>0</v>
      </c>
      <c r="J80" s="157"/>
      <c r="K80" s="159">
        <f>(H80+I80)-J80</f>
        <v>0</v>
      </c>
    </row>
    <row r="81" spans="1:11" ht="18" customHeight="1">
      <c r="A81" s="151"/>
      <c r="K81" s="188"/>
    </row>
    <row r="82" spans="1:11" ht="18" customHeight="1">
      <c r="A82" s="151" t="s">
        <v>148</v>
      </c>
      <c r="B82" s="150" t="s">
        <v>149</v>
      </c>
      <c r="E82" s="150" t="s">
        <v>7</v>
      </c>
      <c r="F82" s="185">
        <f t="shared" ref="F82:K82" si="8">SUM(F77:F80)</f>
        <v>62</v>
      </c>
      <c r="G82" s="185">
        <f t="shared" si="8"/>
        <v>494</v>
      </c>
      <c r="H82" s="187">
        <f t="shared" si="8"/>
        <v>350401</v>
      </c>
      <c r="I82" s="187">
        <f t="shared" si="8"/>
        <v>34562.450000000004</v>
      </c>
      <c r="J82" s="187">
        <f t="shared" si="8"/>
        <v>0</v>
      </c>
      <c r="K82" s="187">
        <f t="shared" si="8"/>
        <v>384963.45</v>
      </c>
    </row>
    <row r="83" spans="1:11" ht="18" customHeight="1" thickBot="1">
      <c r="A83" s="151"/>
      <c r="F83" s="172"/>
      <c r="G83" s="172"/>
      <c r="H83" s="172"/>
      <c r="I83" s="172"/>
      <c r="J83" s="172"/>
      <c r="K83" s="172"/>
    </row>
    <row r="84" spans="1:11" ht="42.75" customHeight="1">
      <c r="F84" s="153" t="s">
        <v>9</v>
      </c>
      <c r="G84" s="153" t="s">
        <v>37</v>
      </c>
      <c r="H84" s="153" t="s">
        <v>29</v>
      </c>
      <c r="I84" s="153" t="s">
        <v>30</v>
      </c>
      <c r="J84" s="153" t="s">
        <v>33</v>
      </c>
      <c r="K84" s="153" t="s">
        <v>34</v>
      </c>
    </row>
    <row r="85" spans="1:11" ht="18" customHeight="1">
      <c r="A85" s="154" t="s">
        <v>111</v>
      </c>
      <c r="B85" s="150" t="s">
        <v>57</v>
      </c>
    </row>
    <row r="86" spans="1:11" ht="18" customHeight="1">
      <c r="A86" s="151" t="s">
        <v>112</v>
      </c>
      <c r="B86" s="155" t="s">
        <v>113</v>
      </c>
      <c r="F86" s="156"/>
      <c r="G86" s="156"/>
      <c r="H86" s="157"/>
      <c r="I86" s="158">
        <f t="shared" ref="I86:I96" si="9">H86*F$114</f>
        <v>0</v>
      </c>
      <c r="J86" s="157"/>
      <c r="K86" s="159">
        <f t="shared" ref="K86:K96" si="10">(H86+I86)-J86</f>
        <v>0</v>
      </c>
    </row>
    <row r="87" spans="1:11" ht="18" customHeight="1">
      <c r="A87" s="151" t="s">
        <v>114</v>
      </c>
      <c r="B87" s="155" t="s">
        <v>14</v>
      </c>
      <c r="F87" s="156">
        <v>102</v>
      </c>
      <c r="G87" s="156">
        <v>609</v>
      </c>
      <c r="H87" s="157">
        <v>41311</v>
      </c>
      <c r="I87" s="158">
        <f t="shared" si="9"/>
        <v>26852.15</v>
      </c>
      <c r="J87" s="157"/>
      <c r="K87" s="159">
        <f t="shared" si="10"/>
        <v>68163.149999999994</v>
      </c>
    </row>
    <row r="88" spans="1:11" ht="18" customHeight="1">
      <c r="A88" s="151" t="s">
        <v>115</v>
      </c>
      <c r="B88" s="155" t="s">
        <v>116</v>
      </c>
      <c r="F88" s="156">
        <v>11710</v>
      </c>
      <c r="G88" s="156">
        <v>3618</v>
      </c>
      <c r="H88" s="157">
        <v>436349</v>
      </c>
      <c r="I88" s="158">
        <f t="shared" si="9"/>
        <v>283626.85000000003</v>
      </c>
      <c r="J88" s="157"/>
      <c r="K88" s="159">
        <f t="shared" si="10"/>
        <v>719975.85000000009</v>
      </c>
    </row>
    <row r="89" spans="1:11" ht="18" customHeight="1">
      <c r="A89" s="151" t="s">
        <v>117</v>
      </c>
      <c r="B89" s="155" t="s">
        <v>58</v>
      </c>
      <c r="F89" s="156"/>
      <c r="G89" s="156"/>
      <c r="H89" s="157"/>
      <c r="I89" s="158">
        <f t="shared" si="9"/>
        <v>0</v>
      </c>
      <c r="J89" s="157"/>
      <c r="K89" s="159">
        <f t="shared" si="10"/>
        <v>0</v>
      </c>
    </row>
    <row r="90" spans="1:11" ht="18" customHeight="1">
      <c r="A90" s="151" t="s">
        <v>118</v>
      </c>
      <c r="B90" s="904" t="s">
        <v>59</v>
      </c>
      <c r="C90" s="907"/>
      <c r="F90" s="156"/>
      <c r="G90" s="156"/>
      <c r="H90" s="157"/>
      <c r="I90" s="158">
        <f t="shared" si="9"/>
        <v>0</v>
      </c>
      <c r="J90" s="157"/>
      <c r="K90" s="159">
        <f t="shared" si="10"/>
        <v>0</v>
      </c>
    </row>
    <row r="91" spans="1:11" ht="18" customHeight="1">
      <c r="A91" s="151" t="s">
        <v>119</v>
      </c>
      <c r="B91" s="155" t="s">
        <v>60</v>
      </c>
      <c r="F91" s="156"/>
      <c r="G91" s="156"/>
      <c r="H91" s="157"/>
      <c r="I91" s="158">
        <f t="shared" si="9"/>
        <v>0</v>
      </c>
      <c r="J91" s="157"/>
      <c r="K91" s="159">
        <f t="shared" si="10"/>
        <v>0</v>
      </c>
    </row>
    <row r="92" spans="1:11" ht="18" customHeight="1">
      <c r="A92" s="151" t="s">
        <v>120</v>
      </c>
      <c r="B92" s="155" t="s">
        <v>121</v>
      </c>
      <c r="F92" s="189"/>
      <c r="G92" s="189"/>
      <c r="H92" s="190"/>
      <c r="I92" s="158">
        <f t="shared" si="9"/>
        <v>0</v>
      </c>
      <c r="J92" s="190"/>
      <c r="K92" s="159">
        <f t="shared" si="10"/>
        <v>0</v>
      </c>
    </row>
    <row r="93" spans="1:11" ht="18" customHeight="1">
      <c r="A93" s="151" t="s">
        <v>122</v>
      </c>
      <c r="B93" s="155" t="s">
        <v>123</v>
      </c>
      <c r="F93" s="156">
        <v>1648</v>
      </c>
      <c r="G93" s="156">
        <v>60550</v>
      </c>
      <c r="H93" s="157">
        <v>81289</v>
      </c>
      <c r="I93" s="158">
        <f t="shared" si="9"/>
        <v>52837.85</v>
      </c>
      <c r="J93" s="157"/>
      <c r="K93" s="159">
        <f t="shared" si="10"/>
        <v>134126.85</v>
      </c>
    </row>
    <row r="94" spans="1:11" ht="18" customHeight="1">
      <c r="A94" s="151" t="s">
        <v>124</v>
      </c>
      <c r="B94" s="901"/>
      <c r="C94" s="902"/>
      <c r="D94" s="903"/>
      <c r="F94" s="156"/>
      <c r="G94" s="156"/>
      <c r="H94" s="157"/>
      <c r="I94" s="158">
        <f t="shared" si="9"/>
        <v>0</v>
      </c>
      <c r="J94" s="157"/>
      <c r="K94" s="159">
        <f t="shared" si="10"/>
        <v>0</v>
      </c>
    </row>
    <row r="95" spans="1:11" ht="18" customHeight="1">
      <c r="A95" s="151" t="s">
        <v>125</v>
      </c>
      <c r="B95" s="901"/>
      <c r="C95" s="902"/>
      <c r="D95" s="903"/>
      <c r="F95" s="156"/>
      <c r="G95" s="156"/>
      <c r="H95" s="157"/>
      <c r="I95" s="158">
        <f t="shared" si="9"/>
        <v>0</v>
      </c>
      <c r="J95" s="157"/>
      <c r="K95" s="159">
        <f t="shared" si="10"/>
        <v>0</v>
      </c>
    </row>
    <row r="96" spans="1:11" ht="18" customHeight="1">
      <c r="A96" s="151" t="s">
        <v>126</v>
      </c>
      <c r="B96" s="901"/>
      <c r="C96" s="902"/>
      <c r="D96" s="903"/>
      <c r="F96" s="156"/>
      <c r="G96" s="156"/>
      <c r="H96" s="157"/>
      <c r="I96" s="158">
        <f t="shared" si="9"/>
        <v>0</v>
      </c>
      <c r="J96" s="157"/>
      <c r="K96" s="159">
        <f t="shared" si="10"/>
        <v>0</v>
      </c>
    </row>
    <row r="97" spans="1:11" ht="18" customHeight="1">
      <c r="A97" s="151"/>
      <c r="B97" s="155"/>
    </row>
    <row r="98" spans="1:11" ht="18" customHeight="1">
      <c r="A98" s="154" t="s">
        <v>150</v>
      </c>
      <c r="B98" s="150" t="s">
        <v>151</v>
      </c>
      <c r="E98" s="150" t="s">
        <v>7</v>
      </c>
      <c r="F98" s="162">
        <f t="shared" ref="F98:K98" si="11">SUM(F86:F96)</f>
        <v>13460</v>
      </c>
      <c r="G98" s="162">
        <f t="shared" si="11"/>
        <v>64777</v>
      </c>
      <c r="H98" s="162">
        <f t="shared" si="11"/>
        <v>558949</v>
      </c>
      <c r="I98" s="162">
        <f t="shared" si="11"/>
        <v>363316.85000000003</v>
      </c>
      <c r="J98" s="162">
        <f t="shared" si="11"/>
        <v>0</v>
      </c>
      <c r="K98" s="162">
        <f t="shared" si="11"/>
        <v>922265.85000000009</v>
      </c>
    </row>
    <row r="99" spans="1:11" ht="18" customHeight="1" thickBot="1">
      <c r="B99" s="150"/>
      <c r="F99" s="172"/>
      <c r="G99" s="172"/>
      <c r="H99" s="172"/>
      <c r="I99" s="172"/>
      <c r="J99" s="172"/>
      <c r="K99" s="172"/>
    </row>
    <row r="100" spans="1:11" ht="42.75" customHeight="1">
      <c r="F100" s="153" t="s">
        <v>9</v>
      </c>
      <c r="G100" s="153" t="s">
        <v>37</v>
      </c>
      <c r="H100" s="153" t="s">
        <v>29</v>
      </c>
      <c r="I100" s="153" t="s">
        <v>30</v>
      </c>
      <c r="J100" s="153" t="s">
        <v>33</v>
      </c>
      <c r="K100" s="153" t="s">
        <v>34</v>
      </c>
    </row>
    <row r="101" spans="1:11" ht="18" customHeight="1">
      <c r="A101" s="154" t="s">
        <v>130</v>
      </c>
      <c r="B101" s="150" t="s">
        <v>63</v>
      </c>
    </row>
    <row r="102" spans="1:11" ht="18" customHeight="1">
      <c r="A102" s="151" t="s">
        <v>131</v>
      </c>
      <c r="B102" s="155" t="s">
        <v>152</v>
      </c>
      <c r="F102" s="156">
        <v>150</v>
      </c>
      <c r="G102" s="156"/>
      <c r="H102" s="157">
        <v>46053</v>
      </c>
      <c r="I102" s="158">
        <f>H102*F$114</f>
        <v>29934.45</v>
      </c>
      <c r="J102" s="157"/>
      <c r="K102" s="159">
        <f>(H102+I102)-J102</f>
        <v>75987.45</v>
      </c>
    </row>
    <row r="103" spans="1:11" ht="18" customHeight="1">
      <c r="A103" s="151" t="s">
        <v>132</v>
      </c>
      <c r="B103" s="904" t="s">
        <v>62</v>
      </c>
      <c r="C103" s="904"/>
      <c r="F103" s="156">
        <v>12</v>
      </c>
      <c r="G103" s="156"/>
      <c r="H103" s="157">
        <v>20480</v>
      </c>
      <c r="I103" s="158">
        <f>H103*F$114</f>
        <v>13312</v>
      </c>
      <c r="J103" s="157"/>
      <c r="K103" s="159">
        <f>(H103+I103)-J103</f>
        <v>33792</v>
      </c>
    </row>
    <row r="104" spans="1:11" ht="18" customHeight="1">
      <c r="A104" s="151" t="s">
        <v>128</v>
      </c>
      <c r="B104" s="901"/>
      <c r="C104" s="902"/>
      <c r="D104" s="903"/>
      <c r="F104" s="156"/>
      <c r="G104" s="156"/>
      <c r="H104" s="157"/>
      <c r="I104" s="158">
        <f>H104*F$114</f>
        <v>0</v>
      </c>
      <c r="J104" s="157"/>
      <c r="K104" s="159">
        <f>(H104+I104)-J104</f>
        <v>0</v>
      </c>
    </row>
    <row r="105" spans="1:11" ht="18" customHeight="1">
      <c r="A105" s="151" t="s">
        <v>127</v>
      </c>
      <c r="B105" s="901"/>
      <c r="C105" s="902"/>
      <c r="D105" s="903"/>
      <c r="F105" s="156"/>
      <c r="G105" s="156"/>
      <c r="H105" s="157"/>
      <c r="I105" s="158">
        <f>H105*F$114</f>
        <v>0</v>
      </c>
      <c r="J105" s="157"/>
      <c r="K105" s="159">
        <f>(H105+I105)-J105</f>
        <v>0</v>
      </c>
    </row>
    <row r="106" spans="1:11" ht="18" customHeight="1">
      <c r="A106" s="151" t="s">
        <v>129</v>
      </c>
      <c r="B106" s="901"/>
      <c r="C106" s="902"/>
      <c r="D106" s="903"/>
      <c r="F106" s="156"/>
      <c r="G106" s="156"/>
      <c r="H106" s="157"/>
      <c r="I106" s="158">
        <f>H106*F$114</f>
        <v>0</v>
      </c>
      <c r="J106" s="157"/>
      <c r="K106" s="159">
        <f>(H106+I106)-J106</f>
        <v>0</v>
      </c>
    </row>
    <row r="107" spans="1:11" ht="18" customHeight="1">
      <c r="B107" s="150"/>
    </row>
    <row r="108" spans="1:11" s="167" customFormat="1" ht="18" customHeight="1">
      <c r="A108" s="154" t="s">
        <v>153</v>
      </c>
      <c r="B108" s="191" t="s">
        <v>154</v>
      </c>
      <c r="C108" s="147"/>
      <c r="D108" s="147"/>
      <c r="E108" s="150" t="s">
        <v>7</v>
      </c>
      <c r="F108" s="162">
        <f t="shared" ref="F108:K108" si="12">SUM(F102:F106)</f>
        <v>162</v>
      </c>
      <c r="G108" s="162">
        <f t="shared" si="12"/>
        <v>0</v>
      </c>
      <c r="H108" s="159">
        <f t="shared" si="12"/>
        <v>66533</v>
      </c>
      <c r="I108" s="159">
        <f t="shared" si="12"/>
        <v>43246.45</v>
      </c>
      <c r="J108" s="159">
        <f t="shared" si="12"/>
        <v>0</v>
      </c>
      <c r="K108" s="159">
        <f t="shared" si="12"/>
        <v>109779.45</v>
      </c>
    </row>
    <row r="109" spans="1:11" s="167" customFormat="1" ht="18" customHeight="1" thickBot="1">
      <c r="A109" s="192"/>
      <c r="B109" s="193"/>
      <c r="C109" s="194"/>
      <c r="D109" s="194"/>
      <c r="E109" s="194"/>
      <c r="F109" s="172"/>
      <c r="G109" s="172"/>
      <c r="H109" s="172"/>
      <c r="I109" s="172"/>
      <c r="J109" s="172"/>
      <c r="K109" s="172"/>
    </row>
    <row r="110" spans="1:11" s="167" customFormat="1" ht="18" customHeight="1">
      <c r="A110" s="154" t="s">
        <v>156</v>
      </c>
      <c r="B110" s="150" t="s">
        <v>39</v>
      </c>
      <c r="C110" s="147"/>
      <c r="D110" s="147"/>
      <c r="E110" s="147"/>
      <c r="F110" s="147"/>
      <c r="G110" s="147"/>
      <c r="H110" s="147"/>
      <c r="I110" s="147"/>
      <c r="J110" s="147"/>
      <c r="K110" s="147"/>
    </row>
    <row r="111" spans="1:11" ht="18" customHeight="1">
      <c r="A111" s="154" t="s">
        <v>155</v>
      </c>
      <c r="B111" s="150" t="s">
        <v>164</v>
      </c>
      <c r="E111" s="150" t="s">
        <v>7</v>
      </c>
      <c r="F111" s="157">
        <v>10947888</v>
      </c>
    </row>
    <row r="112" spans="1:11" ht="18" customHeight="1">
      <c r="B112" s="150"/>
      <c r="E112" s="150"/>
      <c r="F112" s="195"/>
    </row>
    <row r="113" spans="1:6" ht="18" customHeight="1">
      <c r="A113" s="154"/>
      <c r="B113" s="150" t="s">
        <v>15</v>
      </c>
    </row>
    <row r="114" spans="1:6" ht="18" customHeight="1">
      <c r="A114" s="151" t="s">
        <v>171</v>
      </c>
      <c r="B114" s="155" t="s">
        <v>35</v>
      </c>
      <c r="F114" s="196">
        <v>0.65</v>
      </c>
    </row>
    <row r="115" spans="1:6" ht="18" customHeight="1">
      <c r="A115" s="151"/>
      <c r="B115" s="150"/>
    </row>
    <row r="116" spans="1:6" ht="18" customHeight="1">
      <c r="A116" s="151" t="s">
        <v>170</v>
      </c>
      <c r="B116" s="150" t="s">
        <v>16</v>
      </c>
    </row>
    <row r="117" spans="1:6" ht="18" customHeight="1">
      <c r="A117" s="151" t="s">
        <v>172</v>
      </c>
      <c r="B117" s="155" t="s">
        <v>17</v>
      </c>
      <c r="F117" s="157">
        <v>183874033</v>
      </c>
    </row>
    <row r="118" spans="1:6" ht="18" customHeight="1">
      <c r="A118" s="151" t="s">
        <v>173</v>
      </c>
      <c r="B118" s="147" t="s">
        <v>18</v>
      </c>
      <c r="F118" s="157">
        <v>7422749</v>
      </c>
    </row>
    <row r="119" spans="1:6" ht="18" customHeight="1">
      <c r="A119" s="151" t="s">
        <v>174</v>
      </c>
      <c r="B119" s="150" t="s">
        <v>19</v>
      </c>
      <c r="F119" s="187">
        <f>SUM(F117:F118)</f>
        <v>191296782</v>
      </c>
    </row>
    <row r="120" spans="1:6" ht="18" customHeight="1">
      <c r="A120" s="151"/>
      <c r="B120" s="150"/>
    </row>
    <row r="121" spans="1:6" ht="18" customHeight="1">
      <c r="A121" s="151" t="s">
        <v>167</v>
      </c>
      <c r="B121" s="150" t="s">
        <v>36</v>
      </c>
      <c r="F121" s="157">
        <v>176703878</v>
      </c>
    </row>
    <row r="122" spans="1:6" ht="18" customHeight="1">
      <c r="A122" s="151"/>
    </row>
    <row r="123" spans="1:6" ht="18" customHeight="1">
      <c r="A123" s="151" t="s">
        <v>175</v>
      </c>
      <c r="B123" s="150" t="s">
        <v>20</v>
      </c>
      <c r="F123" s="157">
        <v>14592904</v>
      </c>
    </row>
    <row r="124" spans="1:6" ht="18" customHeight="1">
      <c r="A124" s="151"/>
    </row>
    <row r="125" spans="1:6" ht="18" customHeight="1">
      <c r="A125" s="151" t="s">
        <v>176</v>
      </c>
      <c r="B125" s="150" t="s">
        <v>21</v>
      </c>
      <c r="F125" s="157">
        <v>66262</v>
      </c>
    </row>
    <row r="126" spans="1:6" ht="18" customHeight="1">
      <c r="A126" s="151"/>
    </row>
    <row r="127" spans="1:6" ht="18" customHeight="1">
      <c r="A127" s="151" t="s">
        <v>177</v>
      </c>
      <c r="B127" s="150" t="s">
        <v>22</v>
      </c>
      <c r="F127" s="157">
        <v>14659166</v>
      </c>
    </row>
    <row r="128" spans="1:6" ht="18" customHeight="1">
      <c r="A128" s="151"/>
    </row>
    <row r="129" spans="1:11" ht="42.75" customHeight="1">
      <c r="F129" s="153" t="s">
        <v>9</v>
      </c>
      <c r="G129" s="153" t="s">
        <v>37</v>
      </c>
      <c r="H129" s="153" t="s">
        <v>29</v>
      </c>
      <c r="I129" s="153" t="s">
        <v>30</v>
      </c>
      <c r="J129" s="153" t="s">
        <v>33</v>
      </c>
      <c r="K129" s="153" t="s">
        <v>34</v>
      </c>
    </row>
    <row r="130" spans="1:11" ht="18" customHeight="1">
      <c r="A130" s="154" t="s">
        <v>157</v>
      </c>
      <c r="B130" s="150" t="s">
        <v>23</v>
      </c>
    </row>
    <row r="131" spans="1:11" ht="18" customHeight="1">
      <c r="A131" s="151" t="s">
        <v>158</v>
      </c>
      <c r="B131" s="147" t="s">
        <v>24</v>
      </c>
      <c r="F131" s="156"/>
      <c r="G131" s="156"/>
      <c r="H131" s="157"/>
      <c r="I131" s="158">
        <v>0</v>
      </c>
      <c r="J131" s="157"/>
      <c r="K131" s="159">
        <f>(H131+I131)-J131</f>
        <v>0</v>
      </c>
    </row>
    <row r="132" spans="1:11" ht="18" customHeight="1">
      <c r="A132" s="151" t="s">
        <v>159</v>
      </c>
      <c r="B132" s="147" t="s">
        <v>25</v>
      </c>
      <c r="F132" s="156"/>
      <c r="G132" s="156"/>
      <c r="H132" s="157"/>
      <c r="I132" s="158">
        <v>0</v>
      </c>
      <c r="J132" s="157"/>
      <c r="K132" s="159">
        <f>(H132+I132)-J132</f>
        <v>0</v>
      </c>
    </row>
    <row r="133" spans="1:11" ht="18" customHeight="1">
      <c r="A133" s="151" t="s">
        <v>160</v>
      </c>
      <c r="B133" s="898"/>
      <c r="C133" s="899"/>
      <c r="D133" s="900"/>
      <c r="F133" s="156"/>
      <c r="G133" s="156"/>
      <c r="H133" s="157"/>
      <c r="I133" s="158">
        <v>0</v>
      </c>
      <c r="J133" s="157"/>
      <c r="K133" s="159">
        <f>(H133+I133)-J133</f>
        <v>0</v>
      </c>
    </row>
    <row r="134" spans="1:11" ht="18" customHeight="1">
      <c r="A134" s="151" t="s">
        <v>161</v>
      </c>
      <c r="B134" s="898"/>
      <c r="C134" s="899"/>
      <c r="D134" s="900"/>
      <c r="F134" s="156"/>
      <c r="G134" s="156"/>
      <c r="H134" s="157"/>
      <c r="I134" s="158">
        <v>0</v>
      </c>
      <c r="J134" s="157"/>
      <c r="K134" s="159">
        <f>(H134+I134)-J134</f>
        <v>0</v>
      </c>
    </row>
    <row r="135" spans="1:11" ht="18" customHeight="1">
      <c r="A135" s="151" t="s">
        <v>162</v>
      </c>
      <c r="B135" s="898"/>
      <c r="C135" s="899"/>
      <c r="D135" s="900"/>
      <c r="F135" s="156"/>
      <c r="G135" s="156"/>
      <c r="H135" s="157"/>
      <c r="I135" s="158">
        <v>0</v>
      </c>
      <c r="J135" s="157"/>
      <c r="K135" s="159">
        <f>(H135+I135)-J135</f>
        <v>0</v>
      </c>
    </row>
    <row r="136" spans="1:11" ht="18" customHeight="1">
      <c r="A136" s="154"/>
    </row>
    <row r="137" spans="1:11" ht="18" customHeight="1">
      <c r="A137" s="154" t="s">
        <v>163</v>
      </c>
      <c r="B137" s="150" t="s">
        <v>27</v>
      </c>
      <c r="F137" s="162">
        <f t="shared" ref="F137:K137" si="13">SUM(F131:F135)</f>
        <v>0</v>
      </c>
      <c r="G137" s="162">
        <f t="shared" si="13"/>
        <v>0</v>
      </c>
      <c r="H137" s="159">
        <f t="shared" si="13"/>
        <v>0</v>
      </c>
      <c r="I137" s="159">
        <f t="shared" si="13"/>
        <v>0</v>
      </c>
      <c r="J137" s="159">
        <f t="shared" si="13"/>
        <v>0</v>
      </c>
      <c r="K137" s="159">
        <f t="shared" si="13"/>
        <v>0</v>
      </c>
    </row>
    <row r="138" spans="1:11" ht="18" customHeight="1">
      <c r="A138" s="147"/>
    </row>
    <row r="139" spans="1:11" ht="42.75" customHeight="1">
      <c r="F139" s="153" t="s">
        <v>9</v>
      </c>
      <c r="G139" s="153" t="s">
        <v>37</v>
      </c>
      <c r="H139" s="153" t="s">
        <v>29</v>
      </c>
      <c r="I139" s="153" t="s">
        <v>30</v>
      </c>
      <c r="J139" s="153" t="s">
        <v>33</v>
      </c>
      <c r="K139" s="153" t="s">
        <v>34</v>
      </c>
    </row>
    <row r="140" spans="1:11" ht="18" customHeight="1">
      <c r="A140" s="154" t="s">
        <v>166</v>
      </c>
      <c r="B140" s="150" t="s">
        <v>26</v>
      </c>
    </row>
    <row r="141" spans="1:11" ht="18" customHeight="1">
      <c r="A141" s="151" t="s">
        <v>137</v>
      </c>
      <c r="B141" s="150" t="s">
        <v>64</v>
      </c>
      <c r="F141" s="197">
        <f t="shared" ref="F141:K141" si="14">F36</f>
        <v>4801</v>
      </c>
      <c r="G141" s="197">
        <f t="shared" si="14"/>
        <v>9218</v>
      </c>
      <c r="H141" s="197">
        <f t="shared" si="14"/>
        <v>478627</v>
      </c>
      <c r="I141" s="197">
        <f t="shared" si="14"/>
        <v>311107.55000000005</v>
      </c>
      <c r="J141" s="197">
        <f t="shared" si="14"/>
        <v>325000</v>
      </c>
      <c r="K141" s="197">
        <f t="shared" si="14"/>
        <v>464734.54999999993</v>
      </c>
    </row>
    <row r="142" spans="1:11" ht="18" customHeight="1">
      <c r="A142" s="151" t="s">
        <v>142</v>
      </c>
      <c r="B142" s="150" t="s">
        <v>65</v>
      </c>
      <c r="F142" s="197">
        <f t="shared" ref="F142:K142" si="15">F49</f>
        <v>34209</v>
      </c>
      <c r="G142" s="197">
        <f t="shared" si="15"/>
        <v>1573</v>
      </c>
      <c r="H142" s="197">
        <f t="shared" si="15"/>
        <v>1263180</v>
      </c>
      <c r="I142" s="197">
        <f t="shared" si="15"/>
        <v>821067</v>
      </c>
      <c r="J142" s="197">
        <f t="shared" si="15"/>
        <v>0</v>
      </c>
      <c r="K142" s="197">
        <f t="shared" si="15"/>
        <v>2084247</v>
      </c>
    </row>
    <row r="143" spans="1:11" ht="18" customHeight="1">
      <c r="A143" s="151" t="s">
        <v>144</v>
      </c>
      <c r="B143" s="150" t="s">
        <v>66</v>
      </c>
      <c r="F143" s="197">
        <f t="shared" ref="F143:K143" si="16">F64</f>
        <v>0</v>
      </c>
      <c r="G143" s="197">
        <f t="shared" si="16"/>
        <v>0</v>
      </c>
      <c r="H143" s="197">
        <f t="shared" si="16"/>
        <v>0</v>
      </c>
      <c r="I143" s="197">
        <f t="shared" si="16"/>
        <v>0</v>
      </c>
      <c r="J143" s="197">
        <f t="shared" si="16"/>
        <v>0</v>
      </c>
      <c r="K143" s="197">
        <f t="shared" si="16"/>
        <v>0</v>
      </c>
    </row>
    <row r="144" spans="1:11" ht="18" customHeight="1">
      <c r="A144" s="151" t="s">
        <v>146</v>
      </c>
      <c r="B144" s="150" t="s">
        <v>67</v>
      </c>
      <c r="F144" s="197">
        <f t="shared" ref="F144:K144" si="17">F74</f>
        <v>0</v>
      </c>
      <c r="G144" s="197">
        <f t="shared" si="17"/>
        <v>0</v>
      </c>
      <c r="H144" s="197">
        <f t="shared" si="17"/>
        <v>0</v>
      </c>
      <c r="I144" s="197">
        <f t="shared" si="17"/>
        <v>0</v>
      </c>
      <c r="J144" s="197">
        <f t="shared" si="17"/>
        <v>0</v>
      </c>
      <c r="K144" s="197">
        <f t="shared" si="17"/>
        <v>0</v>
      </c>
    </row>
    <row r="145" spans="1:11" ht="18" customHeight="1">
      <c r="A145" s="151" t="s">
        <v>148</v>
      </c>
      <c r="B145" s="150" t="s">
        <v>68</v>
      </c>
      <c r="F145" s="197">
        <f t="shared" ref="F145:K145" si="18">F82</f>
        <v>62</v>
      </c>
      <c r="G145" s="197">
        <f t="shared" si="18"/>
        <v>494</v>
      </c>
      <c r="H145" s="197">
        <f t="shared" si="18"/>
        <v>350401</v>
      </c>
      <c r="I145" s="197">
        <f t="shared" si="18"/>
        <v>34562.450000000004</v>
      </c>
      <c r="J145" s="197">
        <f t="shared" si="18"/>
        <v>0</v>
      </c>
      <c r="K145" s="197">
        <f t="shared" si="18"/>
        <v>384963.45</v>
      </c>
    </row>
    <row r="146" spans="1:11" ht="18" customHeight="1">
      <c r="A146" s="151" t="s">
        <v>150</v>
      </c>
      <c r="B146" s="150" t="s">
        <v>69</v>
      </c>
      <c r="F146" s="197">
        <f t="shared" ref="F146:K146" si="19">F98</f>
        <v>13460</v>
      </c>
      <c r="G146" s="197">
        <f t="shared" si="19"/>
        <v>64777</v>
      </c>
      <c r="H146" s="197">
        <f t="shared" si="19"/>
        <v>558949</v>
      </c>
      <c r="I146" s="197">
        <f t="shared" si="19"/>
        <v>363316.85000000003</v>
      </c>
      <c r="J146" s="197">
        <f t="shared" si="19"/>
        <v>0</v>
      </c>
      <c r="K146" s="197">
        <f t="shared" si="19"/>
        <v>922265.85000000009</v>
      </c>
    </row>
    <row r="147" spans="1:11" ht="18" customHeight="1">
      <c r="A147" s="151" t="s">
        <v>153</v>
      </c>
      <c r="B147" s="150" t="s">
        <v>61</v>
      </c>
      <c r="F147" s="162">
        <f t="shared" ref="F147:K147" si="20">F108</f>
        <v>162</v>
      </c>
      <c r="G147" s="162">
        <f t="shared" si="20"/>
        <v>0</v>
      </c>
      <c r="H147" s="162">
        <f t="shared" si="20"/>
        <v>66533</v>
      </c>
      <c r="I147" s="162">
        <f t="shared" si="20"/>
        <v>43246.45</v>
      </c>
      <c r="J147" s="162">
        <f t="shared" si="20"/>
        <v>0</v>
      </c>
      <c r="K147" s="162">
        <f t="shared" si="20"/>
        <v>109779.45</v>
      </c>
    </row>
    <row r="148" spans="1:11" ht="18" customHeight="1">
      <c r="A148" s="151" t="s">
        <v>155</v>
      </c>
      <c r="B148" s="150" t="s">
        <v>70</v>
      </c>
      <c r="F148" s="198" t="s">
        <v>73</v>
      </c>
      <c r="G148" s="198" t="s">
        <v>73</v>
      </c>
      <c r="H148" s="199" t="s">
        <v>73</v>
      </c>
      <c r="I148" s="199" t="s">
        <v>73</v>
      </c>
      <c r="J148" s="199" t="s">
        <v>73</v>
      </c>
      <c r="K148" s="200">
        <f>F111</f>
        <v>10947888</v>
      </c>
    </row>
    <row r="149" spans="1:11" ht="18" customHeight="1">
      <c r="A149" s="151" t="s">
        <v>163</v>
      </c>
      <c r="B149" s="150" t="s">
        <v>71</v>
      </c>
      <c r="F149" s="162">
        <f t="shared" ref="F149:K149" si="21">F137</f>
        <v>0</v>
      </c>
      <c r="G149" s="162">
        <f t="shared" si="21"/>
        <v>0</v>
      </c>
      <c r="H149" s="162">
        <f t="shared" si="21"/>
        <v>0</v>
      </c>
      <c r="I149" s="162">
        <f t="shared" si="21"/>
        <v>0</v>
      </c>
      <c r="J149" s="162">
        <f t="shared" si="21"/>
        <v>0</v>
      </c>
      <c r="K149" s="162">
        <f t="shared" si="21"/>
        <v>0</v>
      </c>
    </row>
    <row r="150" spans="1:11" ht="18" customHeight="1">
      <c r="A150" s="151" t="s">
        <v>185</v>
      </c>
      <c r="B150" s="150" t="s">
        <v>186</v>
      </c>
      <c r="F150" s="198" t="s">
        <v>73</v>
      </c>
      <c r="G150" s="198" t="s">
        <v>73</v>
      </c>
      <c r="H150" s="162">
        <f>H18</f>
        <v>5358663</v>
      </c>
      <c r="I150" s="162">
        <f>I18</f>
        <v>0</v>
      </c>
      <c r="J150" s="162">
        <f>J18</f>
        <v>4582327</v>
      </c>
      <c r="K150" s="162">
        <f>K18</f>
        <v>776336</v>
      </c>
    </row>
    <row r="151" spans="1:11" ht="18" customHeight="1">
      <c r="B151" s="150"/>
      <c r="F151" s="174"/>
      <c r="G151" s="174"/>
      <c r="H151" s="174"/>
      <c r="I151" s="174"/>
      <c r="J151" s="174"/>
      <c r="K151" s="174"/>
    </row>
    <row r="152" spans="1:11" ht="18" customHeight="1">
      <c r="A152" s="154" t="s">
        <v>165</v>
      </c>
      <c r="B152" s="150" t="s">
        <v>26</v>
      </c>
      <c r="F152" s="201">
        <f t="shared" ref="F152:K152" si="22">SUM(F141:F150)</f>
        <v>52694</v>
      </c>
      <c r="G152" s="201">
        <f t="shared" si="22"/>
        <v>76062</v>
      </c>
      <c r="H152" s="201">
        <f t="shared" si="22"/>
        <v>8076353</v>
      </c>
      <c r="I152" s="201">
        <f t="shared" si="22"/>
        <v>1573300.3</v>
      </c>
      <c r="J152" s="201">
        <f t="shared" si="22"/>
        <v>4907327</v>
      </c>
      <c r="K152" s="201">
        <f t="shared" si="22"/>
        <v>15690214.300000001</v>
      </c>
    </row>
    <row r="154" spans="1:11" ht="18" customHeight="1">
      <c r="A154" s="154" t="s">
        <v>168</v>
      </c>
      <c r="B154" s="150" t="s">
        <v>28</v>
      </c>
      <c r="F154" s="53">
        <f>K152/F121</f>
        <v>8.8793831112184196E-2</v>
      </c>
    </row>
    <row r="155" spans="1:11" ht="18" customHeight="1">
      <c r="A155" s="154" t="s">
        <v>169</v>
      </c>
      <c r="B155" s="150" t="s">
        <v>72</v>
      </c>
      <c r="F155" s="53">
        <f>K152/F127</f>
        <v>1.0703347175412299</v>
      </c>
      <c r="G155" s="150"/>
    </row>
    <row r="156" spans="1:11" ht="18" customHeight="1">
      <c r="G156" s="150"/>
    </row>
  </sheetData>
  <sheetProtection algorithmName="SHA-512" hashValue="iVvdvBFvLJrCQayOzWBOnlmmkvSOlg0vsuWfxw4ykvUWsRMIU69Eos4F9LU4n3blGdfrud4L5z60Zw6vfmvLvQ==" saltValue="dNfDTr1s26G+Dg2uXX89nw==" spinCount="100000" sheet="1" objects="1" scenarios="1"/>
  <mergeCells count="34">
    <mergeCell ref="B41:C41"/>
    <mergeCell ref="D2:H2"/>
    <mergeCell ref="C5:G5"/>
    <mergeCell ref="C6:G6"/>
    <mergeCell ref="C7:G7"/>
    <mergeCell ref="C9:G9"/>
    <mergeCell ref="C10:G10"/>
    <mergeCell ref="C11:G11"/>
    <mergeCell ref="B13:H13"/>
    <mergeCell ref="B30:D30"/>
    <mergeCell ref="B31:D31"/>
    <mergeCell ref="B34:D34"/>
    <mergeCell ref="B90:C90"/>
    <mergeCell ref="B44:D44"/>
    <mergeCell ref="B45:D45"/>
    <mergeCell ref="B46:D46"/>
    <mergeCell ref="B47:D47"/>
    <mergeCell ref="B52:C52"/>
    <mergeCell ref="B53:D53"/>
    <mergeCell ref="B55:D55"/>
    <mergeCell ref="B56:D56"/>
    <mergeCell ref="B57:D57"/>
    <mergeCell ref="B59:D59"/>
    <mergeCell ref="B62:D62"/>
    <mergeCell ref="B106:D106"/>
    <mergeCell ref="B133:D133"/>
    <mergeCell ref="B134:D134"/>
    <mergeCell ref="B135:D135"/>
    <mergeCell ref="B94:D94"/>
    <mergeCell ref="B95:D95"/>
    <mergeCell ref="B96:D96"/>
    <mergeCell ref="B103:C103"/>
    <mergeCell ref="B104:D104"/>
    <mergeCell ref="B105:D105"/>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K156"/>
  <sheetViews>
    <sheetView showGridLines="0" zoomScaleNormal="100" zoomScaleSheetLayoutView="80" workbookViewId="0">
      <selection activeCell="K18" sqref="K18"/>
    </sheetView>
  </sheetViews>
  <sheetFormatPr defaultRowHeight="18" customHeight="1"/>
  <cols>
    <col min="1" max="1" width="8.28515625" style="7" customWidth="1"/>
    <col min="2" max="2" width="55.42578125" bestFit="1" customWidth="1"/>
    <col min="3" max="3" width="9.5703125" customWidth="1"/>
    <col min="5" max="5" width="12.42578125" customWidth="1"/>
    <col min="6" max="6" width="18.5703125" customWidth="1"/>
    <col min="7" max="7" width="23.5703125" customWidth="1"/>
    <col min="8" max="8" width="17.140625" customWidth="1"/>
    <col min="9" max="9" width="21.140625" customWidth="1"/>
    <col min="10" max="10" width="19.85546875" customWidth="1"/>
    <col min="11" max="11" width="17.5703125" customWidth="1"/>
  </cols>
  <sheetData>
    <row r="1" spans="1:11" ht="18" customHeight="1">
      <c r="C1" s="3"/>
      <c r="D1" s="2"/>
      <c r="E1" s="3"/>
      <c r="F1" s="3"/>
      <c r="G1" s="3"/>
      <c r="H1" s="3"/>
      <c r="I1" s="3"/>
      <c r="J1" s="3"/>
      <c r="K1" s="3"/>
    </row>
    <row r="2" spans="1:11" ht="18" customHeight="1">
      <c r="D2" s="940" t="s">
        <v>713</v>
      </c>
      <c r="E2" s="941"/>
      <c r="F2" s="941"/>
      <c r="G2" s="941"/>
      <c r="H2" s="941"/>
    </row>
    <row r="3" spans="1:11" ht="18" customHeight="1">
      <c r="B3" s="1" t="s">
        <v>0</v>
      </c>
    </row>
    <row r="5" spans="1:11" ht="18" customHeight="1">
      <c r="B5" s="4" t="s">
        <v>40</v>
      </c>
      <c r="C5" s="942" t="s">
        <v>478</v>
      </c>
      <c r="D5" s="943"/>
      <c r="E5" s="943"/>
      <c r="F5" s="943"/>
      <c r="G5" s="944"/>
    </row>
    <row r="6" spans="1:11" ht="18" customHeight="1">
      <c r="B6" s="4" t="s">
        <v>3</v>
      </c>
      <c r="C6" s="945" t="s">
        <v>479</v>
      </c>
      <c r="D6" s="946"/>
      <c r="E6" s="946"/>
      <c r="F6" s="946"/>
      <c r="G6" s="947"/>
    </row>
    <row r="7" spans="1:11" ht="18" customHeight="1">
      <c r="B7" s="4" t="s">
        <v>4</v>
      </c>
      <c r="C7" s="948">
        <v>645</v>
      </c>
      <c r="D7" s="949"/>
      <c r="E7" s="949"/>
      <c r="F7" s="949"/>
      <c r="G7" s="950"/>
    </row>
    <row r="9" spans="1:11" ht="18" customHeight="1">
      <c r="B9" s="4" t="s">
        <v>1</v>
      </c>
      <c r="C9" s="942" t="s">
        <v>876</v>
      </c>
      <c r="D9" s="943"/>
      <c r="E9" s="943"/>
      <c r="F9" s="943"/>
      <c r="G9" s="944"/>
    </row>
    <row r="10" spans="1:11" ht="18" customHeight="1">
      <c r="B10" s="4" t="s">
        <v>2</v>
      </c>
      <c r="C10" s="951" t="s">
        <v>480</v>
      </c>
      <c r="D10" s="952"/>
      <c r="E10" s="952"/>
      <c r="F10" s="952"/>
      <c r="G10" s="953"/>
    </row>
    <row r="11" spans="1:11" ht="18" customHeight="1">
      <c r="B11" s="4" t="s">
        <v>32</v>
      </c>
      <c r="C11" s="942" t="s">
        <v>481</v>
      </c>
      <c r="D11" s="954"/>
      <c r="E11" s="954"/>
      <c r="F11" s="954"/>
      <c r="G11" s="954"/>
    </row>
    <row r="12" spans="1:11" ht="18" customHeight="1">
      <c r="B12" s="4"/>
      <c r="C12" s="4"/>
      <c r="D12" s="4"/>
      <c r="E12" s="4"/>
      <c r="F12" s="4"/>
      <c r="G12" s="4"/>
    </row>
    <row r="13" spans="1:11" ht="24.6" customHeight="1">
      <c r="B13" s="955"/>
      <c r="C13" s="956"/>
      <c r="D13" s="956"/>
      <c r="E13" s="956"/>
      <c r="F13" s="956"/>
      <c r="G13" s="956"/>
      <c r="H13" s="957"/>
      <c r="I13" s="3"/>
    </row>
    <row r="14" spans="1:11" ht="18" customHeight="1">
      <c r="B14" s="6"/>
    </row>
    <row r="15" spans="1:11" ht="18" customHeight="1">
      <c r="B15" s="6"/>
    </row>
    <row r="16" spans="1:11" ht="45" customHeight="1">
      <c r="A16" s="2" t="s">
        <v>181</v>
      </c>
      <c r="B16" s="3"/>
      <c r="C16" s="3"/>
      <c r="D16" s="3"/>
      <c r="E16" s="3"/>
      <c r="F16" s="8" t="s">
        <v>9</v>
      </c>
      <c r="G16" s="8" t="s">
        <v>37</v>
      </c>
      <c r="H16" s="8" t="s">
        <v>29</v>
      </c>
      <c r="I16" s="8" t="s">
        <v>30</v>
      </c>
      <c r="J16" s="8" t="s">
        <v>33</v>
      </c>
      <c r="K16" s="8" t="s">
        <v>34</v>
      </c>
    </row>
    <row r="17" spans="1:11" ht="18" customHeight="1">
      <c r="A17" s="5" t="s">
        <v>184</v>
      </c>
      <c r="B17" s="1" t="s">
        <v>182</v>
      </c>
    </row>
    <row r="18" spans="1:11" ht="18" customHeight="1">
      <c r="A18" s="4" t="s">
        <v>185</v>
      </c>
      <c r="B18" s="257" t="s">
        <v>183</v>
      </c>
      <c r="F18" s="13" t="s">
        <v>73</v>
      </c>
      <c r="G18" s="13" t="s">
        <v>73</v>
      </c>
      <c r="H18" s="14">
        <v>3045184</v>
      </c>
      <c r="I18" s="40">
        <v>0</v>
      </c>
      <c r="J18" s="14">
        <v>2604013</v>
      </c>
      <c r="K18" s="15">
        <f>(H18+I18)-J18</f>
        <v>441171</v>
      </c>
    </row>
    <row r="19" spans="1:11" ht="45" customHeight="1">
      <c r="A19" s="2" t="s">
        <v>8</v>
      </c>
      <c r="B19" s="3"/>
      <c r="C19" s="3"/>
      <c r="D19" s="3"/>
      <c r="E19" s="3"/>
      <c r="F19" s="8" t="s">
        <v>9</v>
      </c>
      <c r="G19" s="8" t="s">
        <v>37</v>
      </c>
      <c r="H19" s="8" t="s">
        <v>29</v>
      </c>
      <c r="I19" s="8" t="s">
        <v>30</v>
      </c>
      <c r="J19" s="8" t="s">
        <v>33</v>
      </c>
      <c r="K19" s="8" t="s">
        <v>34</v>
      </c>
    </row>
    <row r="20" spans="1:11" ht="18" customHeight="1">
      <c r="A20" s="5" t="s">
        <v>74</v>
      </c>
      <c r="B20" s="1" t="s">
        <v>41</v>
      </c>
    </row>
    <row r="21" spans="1:11" ht="18" customHeight="1">
      <c r="A21" s="4" t="s">
        <v>75</v>
      </c>
      <c r="B21" s="257" t="s">
        <v>42</v>
      </c>
      <c r="F21" s="13">
        <v>308</v>
      </c>
      <c r="G21" s="13">
        <v>1400</v>
      </c>
      <c r="H21" s="14"/>
      <c r="I21" s="40">
        <f t="shared" ref="I21:I34" si="0">H21*F$114</f>
        <v>0</v>
      </c>
      <c r="J21" s="14"/>
      <c r="K21" s="15">
        <f t="shared" ref="K21:K34" si="1">(H21+I21)-J21</f>
        <v>0</v>
      </c>
    </row>
    <row r="22" spans="1:11" ht="18" customHeight="1">
      <c r="A22" s="4" t="s">
        <v>76</v>
      </c>
      <c r="B22" t="s">
        <v>6</v>
      </c>
      <c r="F22" s="13"/>
      <c r="G22" s="13"/>
      <c r="H22" s="14"/>
      <c r="I22" s="40">
        <f t="shared" si="0"/>
        <v>0</v>
      </c>
      <c r="J22" s="14"/>
      <c r="K22" s="15">
        <f t="shared" si="1"/>
        <v>0</v>
      </c>
    </row>
    <row r="23" spans="1:11" ht="18" customHeight="1">
      <c r="A23" s="4" t="s">
        <v>77</v>
      </c>
      <c r="B23" t="s">
        <v>43</v>
      </c>
      <c r="F23" s="13"/>
      <c r="G23" s="13"/>
      <c r="H23" s="14"/>
      <c r="I23" s="40">
        <f t="shared" si="0"/>
        <v>0</v>
      </c>
      <c r="J23" s="14"/>
      <c r="K23" s="15">
        <f t="shared" si="1"/>
        <v>0</v>
      </c>
    </row>
    <row r="24" spans="1:11" ht="18" customHeight="1">
      <c r="A24" s="4" t="s">
        <v>78</v>
      </c>
      <c r="B24" t="s">
        <v>44</v>
      </c>
      <c r="F24" s="13"/>
      <c r="G24" s="13"/>
      <c r="H24" s="14"/>
      <c r="I24" s="40">
        <f t="shared" si="0"/>
        <v>0</v>
      </c>
      <c r="J24" s="14"/>
      <c r="K24" s="15">
        <f t="shared" si="1"/>
        <v>0</v>
      </c>
    </row>
    <row r="25" spans="1:11" ht="18" customHeight="1">
      <c r="A25" s="4" t="s">
        <v>79</v>
      </c>
      <c r="B25" t="s">
        <v>5</v>
      </c>
      <c r="F25" s="13">
        <v>1339</v>
      </c>
      <c r="G25" s="13">
        <v>789</v>
      </c>
      <c r="H25" s="14"/>
      <c r="I25" s="40">
        <f t="shared" si="0"/>
        <v>0</v>
      </c>
      <c r="J25" s="14"/>
      <c r="K25" s="15">
        <f t="shared" si="1"/>
        <v>0</v>
      </c>
    </row>
    <row r="26" spans="1:11" ht="18" customHeight="1">
      <c r="A26" s="4" t="s">
        <v>80</v>
      </c>
      <c r="B26" t="s">
        <v>45</v>
      </c>
      <c r="F26" s="13"/>
      <c r="G26" s="13"/>
      <c r="H26" s="14"/>
      <c r="I26" s="40">
        <f t="shared" si="0"/>
        <v>0</v>
      </c>
      <c r="J26" s="14"/>
      <c r="K26" s="15">
        <f t="shared" si="1"/>
        <v>0</v>
      </c>
    </row>
    <row r="27" spans="1:11" ht="18" customHeight="1">
      <c r="A27" s="4" t="s">
        <v>81</v>
      </c>
      <c r="B27" t="s">
        <v>46</v>
      </c>
      <c r="F27" s="13"/>
      <c r="G27" s="13"/>
      <c r="H27" s="14"/>
      <c r="I27" s="40">
        <f t="shared" si="0"/>
        <v>0</v>
      </c>
      <c r="J27" s="14"/>
      <c r="K27" s="15">
        <f t="shared" si="1"/>
        <v>0</v>
      </c>
    </row>
    <row r="28" spans="1:11" ht="18" customHeight="1">
      <c r="A28" s="4" t="s">
        <v>82</v>
      </c>
      <c r="B28" t="s">
        <v>47</v>
      </c>
      <c r="F28" s="13"/>
      <c r="G28" s="13"/>
      <c r="H28" s="14"/>
      <c r="I28" s="40">
        <f t="shared" si="0"/>
        <v>0</v>
      </c>
      <c r="J28" s="14"/>
      <c r="K28" s="15">
        <f t="shared" si="1"/>
        <v>0</v>
      </c>
    </row>
    <row r="29" spans="1:11" ht="18" customHeight="1">
      <c r="A29" s="4" t="s">
        <v>83</v>
      </c>
      <c r="B29" t="s">
        <v>48</v>
      </c>
      <c r="F29" s="13"/>
      <c r="G29" s="13"/>
      <c r="H29" s="14">
        <v>194708</v>
      </c>
      <c r="I29" s="40">
        <f t="shared" si="0"/>
        <v>144453.8652</v>
      </c>
      <c r="J29" s="14"/>
      <c r="K29" s="15">
        <f t="shared" si="1"/>
        <v>339161.8652</v>
      </c>
    </row>
    <row r="30" spans="1:11" ht="18" customHeight="1">
      <c r="A30" s="4" t="s">
        <v>84</v>
      </c>
      <c r="B30" s="893"/>
      <c r="C30" s="894"/>
      <c r="D30" s="895"/>
      <c r="F30" s="13"/>
      <c r="G30" s="13"/>
      <c r="H30" s="14"/>
      <c r="I30" s="40">
        <f t="shared" si="0"/>
        <v>0</v>
      </c>
      <c r="J30" s="14"/>
      <c r="K30" s="15">
        <f t="shared" si="1"/>
        <v>0</v>
      </c>
    </row>
    <row r="31" spans="1:11" ht="18" customHeight="1">
      <c r="A31" s="4" t="s">
        <v>133</v>
      </c>
      <c r="B31" s="893"/>
      <c r="C31" s="894"/>
      <c r="D31" s="895"/>
      <c r="F31" s="13"/>
      <c r="G31" s="13"/>
      <c r="H31" s="14"/>
      <c r="I31" s="40">
        <f t="shared" si="0"/>
        <v>0</v>
      </c>
      <c r="J31" s="14"/>
      <c r="K31" s="15">
        <f t="shared" si="1"/>
        <v>0</v>
      </c>
    </row>
    <row r="32" spans="1:11" ht="18" customHeight="1">
      <c r="A32" s="4" t="s">
        <v>134</v>
      </c>
      <c r="B32" s="601"/>
      <c r="C32" s="602"/>
      <c r="D32" s="603"/>
      <c r="F32" s="13"/>
      <c r="G32" s="258" t="s">
        <v>85</v>
      </c>
      <c r="H32" s="14"/>
      <c r="I32" s="40">
        <f t="shared" si="0"/>
        <v>0</v>
      </c>
      <c r="J32" s="14"/>
      <c r="K32" s="15">
        <f t="shared" si="1"/>
        <v>0</v>
      </c>
    </row>
    <row r="33" spans="1:11" ht="18" customHeight="1">
      <c r="A33" s="4" t="s">
        <v>135</v>
      </c>
      <c r="B33" s="601"/>
      <c r="C33" s="602"/>
      <c r="D33" s="603"/>
      <c r="F33" s="13"/>
      <c r="G33" s="258" t="s">
        <v>85</v>
      </c>
      <c r="H33" s="14"/>
      <c r="I33" s="40">
        <f t="shared" si="0"/>
        <v>0</v>
      </c>
      <c r="J33" s="14"/>
      <c r="K33" s="15">
        <f t="shared" si="1"/>
        <v>0</v>
      </c>
    </row>
    <row r="34" spans="1:11" ht="18" customHeight="1">
      <c r="A34" s="4" t="s">
        <v>136</v>
      </c>
      <c r="B34" s="893"/>
      <c r="C34" s="894"/>
      <c r="D34" s="895"/>
      <c r="F34" s="13"/>
      <c r="G34" s="258" t="s">
        <v>85</v>
      </c>
      <c r="H34" s="14"/>
      <c r="I34" s="40">
        <f t="shared" si="0"/>
        <v>0</v>
      </c>
      <c r="J34" s="14"/>
      <c r="K34" s="15">
        <f t="shared" si="1"/>
        <v>0</v>
      </c>
    </row>
    <row r="35" spans="1:11" ht="18" customHeight="1">
      <c r="K35" s="35"/>
    </row>
    <row r="36" spans="1:11" ht="18" customHeight="1">
      <c r="A36" s="5" t="s">
        <v>137</v>
      </c>
      <c r="B36" s="1" t="s">
        <v>138</v>
      </c>
      <c r="E36" s="1" t="s">
        <v>7</v>
      </c>
      <c r="F36" s="17">
        <f t="shared" ref="F36:K36" si="2">SUM(F21:F34)</f>
        <v>1647</v>
      </c>
      <c r="G36" s="17">
        <f t="shared" si="2"/>
        <v>2189</v>
      </c>
      <c r="H36" s="17">
        <f t="shared" si="2"/>
        <v>194708</v>
      </c>
      <c r="I36" s="15">
        <f t="shared" si="2"/>
        <v>144453.8652</v>
      </c>
      <c r="J36" s="15">
        <f t="shared" si="2"/>
        <v>0</v>
      </c>
      <c r="K36" s="15">
        <f t="shared" si="2"/>
        <v>339161.8652</v>
      </c>
    </row>
    <row r="37" spans="1:11" ht="18" customHeight="1" thickBot="1">
      <c r="B37" s="1"/>
      <c r="F37" s="18"/>
      <c r="G37" s="18"/>
      <c r="H37" s="19"/>
      <c r="I37" s="19"/>
      <c r="J37" s="19"/>
      <c r="K37" s="36"/>
    </row>
    <row r="38" spans="1:11" ht="42.75" customHeight="1">
      <c r="F38" s="8" t="s">
        <v>9</v>
      </c>
      <c r="G38" s="8" t="s">
        <v>37</v>
      </c>
      <c r="H38" s="8" t="s">
        <v>29</v>
      </c>
      <c r="I38" s="8" t="s">
        <v>30</v>
      </c>
      <c r="J38" s="8" t="s">
        <v>33</v>
      </c>
      <c r="K38" s="8" t="s">
        <v>34</v>
      </c>
    </row>
    <row r="39" spans="1:11" ht="18.75" customHeight="1">
      <c r="A39" s="5" t="s">
        <v>86</v>
      </c>
      <c r="B39" s="1" t="s">
        <v>49</v>
      </c>
    </row>
    <row r="40" spans="1:11" ht="18" customHeight="1">
      <c r="A40" s="4" t="s">
        <v>87</v>
      </c>
      <c r="B40" t="s">
        <v>31</v>
      </c>
      <c r="F40" s="13"/>
      <c r="G40" s="13"/>
      <c r="H40" s="14"/>
      <c r="I40" s="40">
        <v>0</v>
      </c>
      <c r="J40" s="14"/>
      <c r="K40" s="15">
        <f t="shared" ref="K40:K47" si="3">(H40+I40)-J40</f>
        <v>0</v>
      </c>
    </row>
    <row r="41" spans="1:11" ht="18" customHeight="1">
      <c r="A41" s="4" t="s">
        <v>88</v>
      </c>
      <c r="B41" s="931" t="s">
        <v>50</v>
      </c>
      <c r="C41" s="939"/>
      <c r="F41" s="13">
        <v>325</v>
      </c>
      <c r="G41" s="13">
        <v>150</v>
      </c>
      <c r="H41" s="14">
        <v>13406</v>
      </c>
      <c r="I41" s="40">
        <v>0</v>
      </c>
      <c r="J41" s="14"/>
      <c r="K41" s="15">
        <f t="shared" si="3"/>
        <v>13406</v>
      </c>
    </row>
    <row r="42" spans="1:11" ht="18" customHeight="1">
      <c r="A42" s="4" t="s">
        <v>89</v>
      </c>
      <c r="B42" s="257" t="s">
        <v>11</v>
      </c>
      <c r="F42" s="13"/>
      <c r="G42" s="13"/>
      <c r="H42" s="14"/>
      <c r="I42" s="40">
        <v>0</v>
      </c>
      <c r="J42" s="14"/>
      <c r="K42" s="15">
        <f t="shared" si="3"/>
        <v>0</v>
      </c>
    </row>
    <row r="43" spans="1:11" ht="18" customHeight="1">
      <c r="A43" s="4" t="s">
        <v>90</v>
      </c>
      <c r="B43" s="259" t="s">
        <v>10</v>
      </c>
      <c r="C43" s="9"/>
      <c r="D43" s="9"/>
      <c r="F43" s="13"/>
      <c r="G43" s="13"/>
      <c r="H43" s="14"/>
      <c r="I43" s="40">
        <v>0</v>
      </c>
      <c r="J43" s="14"/>
      <c r="K43" s="15">
        <f t="shared" si="3"/>
        <v>0</v>
      </c>
    </row>
    <row r="44" spans="1:11" ht="18" customHeight="1">
      <c r="A44" s="4" t="s">
        <v>91</v>
      </c>
      <c r="B44" s="893"/>
      <c r="C44" s="894"/>
      <c r="D44" s="895"/>
      <c r="F44" s="43"/>
      <c r="G44" s="43"/>
      <c r="H44" s="43"/>
      <c r="I44" s="44">
        <v>0</v>
      </c>
      <c r="J44" s="43"/>
      <c r="K44" s="45">
        <f t="shared" si="3"/>
        <v>0</v>
      </c>
    </row>
    <row r="45" spans="1:11" ht="18" customHeight="1">
      <c r="A45" s="4" t="s">
        <v>139</v>
      </c>
      <c r="B45" s="893"/>
      <c r="C45" s="894"/>
      <c r="D45" s="895"/>
      <c r="F45" s="13"/>
      <c r="G45" s="13"/>
      <c r="H45" s="14"/>
      <c r="I45" s="40">
        <v>0</v>
      </c>
      <c r="J45" s="14"/>
      <c r="K45" s="15">
        <f t="shared" si="3"/>
        <v>0</v>
      </c>
    </row>
    <row r="46" spans="1:11" ht="18" customHeight="1">
      <c r="A46" s="4" t="s">
        <v>140</v>
      </c>
      <c r="B46" s="893"/>
      <c r="C46" s="894"/>
      <c r="D46" s="895"/>
      <c r="F46" s="13"/>
      <c r="G46" s="13"/>
      <c r="H46" s="14"/>
      <c r="I46" s="40">
        <v>0</v>
      </c>
      <c r="J46" s="14"/>
      <c r="K46" s="15">
        <f t="shared" si="3"/>
        <v>0</v>
      </c>
    </row>
    <row r="47" spans="1:11" ht="18" customHeight="1">
      <c r="A47" s="4" t="s">
        <v>141</v>
      </c>
      <c r="B47" s="893"/>
      <c r="C47" s="894"/>
      <c r="D47" s="895"/>
      <c r="F47" s="13"/>
      <c r="G47" s="13"/>
      <c r="H47" s="14"/>
      <c r="I47" s="40">
        <v>0</v>
      </c>
      <c r="J47" s="14"/>
      <c r="K47" s="15">
        <f t="shared" si="3"/>
        <v>0</v>
      </c>
    </row>
    <row r="49" spans="1:11" ht="18" customHeight="1">
      <c r="A49" s="5" t="s">
        <v>142</v>
      </c>
      <c r="B49" s="1" t="s">
        <v>143</v>
      </c>
      <c r="E49" s="1" t="s">
        <v>7</v>
      </c>
      <c r="F49" s="22">
        <f t="shared" ref="F49:K49" si="4">SUM(F40:F47)</f>
        <v>325</v>
      </c>
      <c r="G49" s="22">
        <f t="shared" si="4"/>
        <v>150</v>
      </c>
      <c r="H49" s="15">
        <f t="shared" si="4"/>
        <v>13406</v>
      </c>
      <c r="I49" s="15">
        <f t="shared" si="4"/>
        <v>0</v>
      </c>
      <c r="J49" s="15">
        <f t="shared" si="4"/>
        <v>0</v>
      </c>
      <c r="K49" s="15">
        <f t="shared" si="4"/>
        <v>13406</v>
      </c>
    </row>
    <row r="50" spans="1:11" ht="18" customHeight="1" thickBot="1">
      <c r="G50" s="23"/>
      <c r="H50" s="23"/>
      <c r="I50" s="23"/>
      <c r="J50" s="23"/>
      <c r="K50" s="23"/>
    </row>
    <row r="51" spans="1:11" ht="42.75" customHeight="1">
      <c r="F51" s="8" t="s">
        <v>9</v>
      </c>
      <c r="G51" s="8" t="s">
        <v>37</v>
      </c>
      <c r="H51" s="8" t="s">
        <v>29</v>
      </c>
      <c r="I51" s="8" t="s">
        <v>30</v>
      </c>
      <c r="J51" s="8" t="s">
        <v>33</v>
      </c>
      <c r="K51" s="8" t="s">
        <v>34</v>
      </c>
    </row>
    <row r="52" spans="1:11" ht="18" customHeight="1">
      <c r="A52" s="5" t="s">
        <v>92</v>
      </c>
      <c r="B52" s="935" t="s">
        <v>38</v>
      </c>
      <c r="C52" s="936"/>
    </row>
    <row r="53" spans="1:11" ht="18" customHeight="1">
      <c r="A53" s="4" t="s">
        <v>51</v>
      </c>
      <c r="B53" s="937" t="s">
        <v>877</v>
      </c>
      <c r="C53" s="938"/>
      <c r="D53" s="934"/>
      <c r="F53" s="13"/>
      <c r="G53" s="13"/>
      <c r="H53" s="14">
        <v>583500</v>
      </c>
      <c r="I53" s="40">
        <f t="shared" ref="I53:I62" si="5">H53*F$114</f>
        <v>432898.65</v>
      </c>
      <c r="J53" s="14"/>
      <c r="K53" s="15">
        <f t="shared" ref="K53:K62" si="6">(H53+I53)-J53</f>
        <v>1016398.65</v>
      </c>
    </row>
    <row r="54" spans="1:11" ht="18" customHeight="1">
      <c r="A54" s="4" t="s">
        <v>93</v>
      </c>
      <c r="B54" s="604" t="s">
        <v>482</v>
      </c>
      <c r="C54" s="605"/>
      <c r="D54" s="606"/>
      <c r="F54" s="13">
        <v>13140</v>
      </c>
      <c r="G54" s="13"/>
      <c r="H54" s="14">
        <v>5589371</v>
      </c>
      <c r="I54" s="40">
        <f t="shared" si="5"/>
        <v>4146754.3448999999</v>
      </c>
      <c r="J54" s="14"/>
      <c r="K54" s="15">
        <f t="shared" si="6"/>
        <v>9736125.3449000008</v>
      </c>
    </row>
    <row r="55" spans="1:11" ht="18" customHeight="1">
      <c r="A55" s="4" t="s">
        <v>94</v>
      </c>
      <c r="B55" s="604" t="s">
        <v>483</v>
      </c>
      <c r="C55" s="604"/>
      <c r="D55" s="604"/>
      <c r="F55" s="13">
        <v>2288</v>
      </c>
      <c r="G55" s="13"/>
      <c r="H55" s="14">
        <v>1671227</v>
      </c>
      <c r="I55" s="40">
        <f t="shared" si="5"/>
        <v>1239883.3112999999</v>
      </c>
      <c r="J55" s="14">
        <v>138192</v>
      </c>
      <c r="K55" s="15">
        <f t="shared" si="6"/>
        <v>2772918.3113000002</v>
      </c>
    </row>
    <row r="56" spans="1:11" ht="18" customHeight="1">
      <c r="A56" s="4" t="s">
        <v>95</v>
      </c>
      <c r="B56" s="604" t="s">
        <v>484</v>
      </c>
      <c r="C56" s="604"/>
      <c r="D56" s="604"/>
      <c r="F56" s="13"/>
      <c r="G56" s="13"/>
      <c r="H56" s="14">
        <v>271834</v>
      </c>
      <c r="I56" s="40">
        <f t="shared" si="5"/>
        <v>201673.6446</v>
      </c>
      <c r="J56" s="14"/>
      <c r="K56" s="15">
        <f t="shared" si="6"/>
        <v>473507.6446</v>
      </c>
    </row>
    <row r="57" spans="1:11" ht="18" customHeight="1">
      <c r="A57" s="4" t="s">
        <v>96</v>
      </c>
      <c r="B57" s="608" t="s">
        <v>881</v>
      </c>
      <c r="C57" s="604"/>
      <c r="D57" s="604"/>
      <c r="F57" s="13"/>
      <c r="G57" s="13"/>
      <c r="H57" s="14">
        <v>11638886</v>
      </c>
      <c r="I57" s="40">
        <f t="shared" si="5"/>
        <v>8634889.5233999994</v>
      </c>
      <c r="J57" s="14">
        <v>334675</v>
      </c>
      <c r="K57" s="15">
        <f t="shared" si="6"/>
        <v>19939100.523400001</v>
      </c>
    </row>
    <row r="58" spans="1:11" ht="18" customHeight="1">
      <c r="A58" s="4" t="s">
        <v>97</v>
      </c>
      <c r="B58" s="604" t="s">
        <v>878</v>
      </c>
      <c r="C58" s="604"/>
      <c r="D58" s="604"/>
      <c r="F58" s="13">
        <v>6843</v>
      </c>
      <c r="G58" s="13">
        <v>2923</v>
      </c>
      <c r="H58" s="14">
        <v>717616</v>
      </c>
      <c r="I58" s="40">
        <f t="shared" si="5"/>
        <v>532399.31039999996</v>
      </c>
      <c r="J58" s="14">
        <v>87612</v>
      </c>
      <c r="K58" s="15">
        <f t="shared" si="6"/>
        <v>1162403.3103999998</v>
      </c>
    </row>
    <row r="59" spans="1:11" ht="18" customHeight="1">
      <c r="A59" s="4" t="s">
        <v>98</v>
      </c>
      <c r="B59" s="974" t="s">
        <v>882</v>
      </c>
      <c r="C59" s="933"/>
      <c r="D59" s="934"/>
      <c r="F59" s="13"/>
      <c r="G59" s="13"/>
      <c r="H59" s="14">
        <v>173250</v>
      </c>
      <c r="I59" s="40">
        <f t="shared" si="5"/>
        <v>128534.175</v>
      </c>
      <c r="J59" s="14"/>
      <c r="K59" s="15">
        <f t="shared" si="6"/>
        <v>301784.17499999999</v>
      </c>
    </row>
    <row r="60" spans="1:11" ht="18" customHeight="1">
      <c r="A60" s="4" t="s">
        <v>99</v>
      </c>
      <c r="B60" s="608" t="s">
        <v>880</v>
      </c>
      <c r="C60" s="605"/>
      <c r="D60" s="606"/>
      <c r="F60" s="13"/>
      <c r="G60" s="13"/>
      <c r="H60" s="14">
        <v>66438</v>
      </c>
      <c r="I60" s="40">
        <f t="shared" si="5"/>
        <v>49290.352200000001</v>
      </c>
      <c r="J60" s="14"/>
      <c r="K60" s="15">
        <f t="shared" si="6"/>
        <v>115728.35219999999</v>
      </c>
    </row>
    <row r="61" spans="1:11" ht="18" customHeight="1">
      <c r="A61" s="4" t="s">
        <v>100</v>
      </c>
      <c r="B61" s="604"/>
      <c r="C61" s="605"/>
      <c r="D61" s="606"/>
      <c r="F61" s="13"/>
      <c r="G61" s="13"/>
      <c r="H61" s="14"/>
      <c r="I61" s="40">
        <f t="shared" si="5"/>
        <v>0</v>
      </c>
      <c r="J61" s="14"/>
      <c r="K61" s="15">
        <f t="shared" si="6"/>
        <v>0</v>
      </c>
    </row>
    <row r="62" spans="1:11" ht="18" customHeight="1">
      <c r="A62" s="4" t="s">
        <v>101</v>
      </c>
      <c r="B62" s="932" t="s">
        <v>535</v>
      </c>
      <c r="C62" s="933"/>
      <c r="D62" s="934"/>
      <c r="F62" s="13">
        <v>15184</v>
      </c>
      <c r="G62" s="13"/>
      <c r="H62" s="14">
        <v>1216041</v>
      </c>
      <c r="I62" s="40">
        <f t="shared" si="5"/>
        <v>902180.81790000002</v>
      </c>
      <c r="J62" s="14"/>
      <c r="K62" s="15">
        <f t="shared" si="6"/>
        <v>2118221.8179000001</v>
      </c>
    </row>
    <row r="63" spans="1:11" ht="18" customHeight="1">
      <c r="A63" s="4"/>
      <c r="I63" s="37"/>
    </row>
    <row r="64" spans="1:11" ht="18" customHeight="1">
      <c r="A64" s="4" t="s">
        <v>144</v>
      </c>
      <c r="B64" s="1" t="s">
        <v>145</v>
      </c>
      <c r="E64" s="1" t="s">
        <v>7</v>
      </c>
      <c r="F64" s="17">
        <f t="shared" ref="F64:K64" si="7">SUM(F53:F62)</f>
        <v>37455</v>
      </c>
      <c r="G64" s="17">
        <f t="shared" si="7"/>
        <v>2923</v>
      </c>
      <c r="H64" s="15">
        <f t="shared" si="7"/>
        <v>21928163</v>
      </c>
      <c r="I64" s="15">
        <f t="shared" si="7"/>
        <v>16268504.129699999</v>
      </c>
      <c r="J64" s="15">
        <f t="shared" si="7"/>
        <v>560479</v>
      </c>
      <c r="K64" s="15">
        <f t="shared" si="7"/>
        <v>37636188.129700005</v>
      </c>
    </row>
    <row r="65" spans="1:11" ht="18" customHeight="1">
      <c r="F65" s="38"/>
      <c r="G65" s="38"/>
      <c r="H65" s="38"/>
      <c r="I65" s="38"/>
      <c r="J65" s="38"/>
      <c r="K65" s="38"/>
    </row>
    <row r="66" spans="1:11" ht="42.75" customHeight="1">
      <c r="F66" s="46" t="s">
        <v>9</v>
      </c>
      <c r="G66" s="46" t="s">
        <v>37</v>
      </c>
      <c r="H66" s="46" t="s">
        <v>29</v>
      </c>
      <c r="I66" s="46" t="s">
        <v>30</v>
      </c>
      <c r="J66" s="46" t="s">
        <v>33</v>
      </c>
      <c r="K66" s="46" t="s">
        <v>34</v>
      </c>
    </row>
    <row r="67" spans="1:11" ht="18" customHeight="1">
      <c r="A67" s="5" t="s">
        <v>102</v>
      </c>
      <c r="B67" s="1" t="s">
        <v>12</v>
      </c>
      <c r="F67" s="47"/>
      <c r="G67" s="47"/>
      <c r="H67" s="47"/>
      <c r="I67" s="48"/>
      <c r="J67" s="47"/>
      <c r="K67" s="49"/>
    </row>
    <row r="68" spans="1:11" ht="18" customHeight="1">
      <c r="A68" s="4" t="s">
        <v>103</v>
      </c>
      <c r="B68" t="s">
        <v>52</v>
      </c>
      <c r="F68" s="41"/>
      <c r="G68" s="41"/>
      <c r="H68" s="41"/>
      <c r="I68" s="40">
        <v>0</v>
      </c>
      <c r="J68" s="41"/>
      <c r="K68" s="15">
        <f>(H68+I68)-J68</f>
        <v>0</v>
      </c>
    </row>
    <row r="69" spans="1:11" ht="18" customHeight="1">
      <c r="A69" s="4" t="s">
        <v>104</v>
      </c>
      <c r="B69" s="257" t="s">
        <v>53</v>
      </c>
      <c r="F69" s="41"/>
      <c r="G69" s="41"/>
      <c r="H69" s="41"/>
      <c r="I69" s="40">
        <v>0</v>
      </c>
      <c r="J69" s="41"/>
      <c r="K69" s="15">
        <f>(H69+I69)-J69</f>
        <v>0</v>
      </c>
    </row>
    <row r="70" spans="1:11" ht="18" customHeight="1">
      <c r="A70" s="4" t="s">
        <v>178</v>
      </c>
      <c r="B70" s="604"/>
      <c r="C70" s="605"/>
      <c r="D70" s="606"/>
      <c r="E70" s="1"/>
      <c r="F70" s="26"/>
      <c r="G70" s="26"/>
      <c r="H70" s="27"/>
      <c r="I70" s="40">
        <v>0</v>
      </c>
      <c r="J70" s="27"/>
      <c r="K70" s="15">
        <f>(H70+I70)-J70</f>
        <v>0</v>
      </c>
    </row>
    <row r="71" spans="1:11" ht="18" customHeight="1">
      <c r="A71" s="4" t="s">
        <v>179</v>
      </c>
      <c r="B71" s="604"/>
      <c r="C71" s="605"/>
      <c r="D71" s="606"/>
      <c r="E71" s="1"/>
      <c r="F71" s="26"/>
      <c r="G71" s="26"/>
      <c r="H71" s="27"/>
      <c r="I71" s="40">
        <v>0</v>
      </c>
      <c r="J71" s="27"/>
      <c r="K71" s="15">
        <f>(H71+I71)-J71</f>
        <v>0</v>
      </c>
    </row>
    <row r="72" spans="1:11" ht="18" customHeight="1">
      <c r="A72" s="4" t="s">
        <v>180</v>
      </c>
      <c r="B72" s="609"/>
      <c r="C72" s="607"/>
      <c r="D72" s="25"/>
      <c r="E72" s="1"/>
      <c r="F72" s="13"/>
      <c r="G72" s="13"/>
      <c r="H72" s="14"/>
      <c r="I72" s="40">
        <v>0</v>
      </c>
      <c r="J72" s="14"/>
      <c r="K72" s="15">
        <f>(H72+I72)-J72</f>
        <v>0</v>
      </c>
    </row>
    <row r="73" spans="1:11" ht="18" customHeight="1">
      <c r="A73" s="4"/>
      <c r="B73" s="257"/>
      <c r="E73" s="1"/>
      <c r="F73" s="50"/>
      <c r="G73" s="50"/>
      <c r="H73" s="51"/>
      <c r="I73" s="48"/>
      <c r="J73" s="51"/>
      <c r="K73" s="49"/>
    </row>
    <row r="74" spans="1:11" ht="18" customHeight="1">
      <c r="A74" s="5" t="s">
        <v>146</v>
      </c>
      <c r="B74" s="1" t="s">
        <v>147</v>
      </c>
      <c r="E74" s="1" t="s">
        <v>7</v>
      </c>
      <c r="F74" s="20">
        <f t="shared" ref="F74:K74" si="8">SUM(F68:F72)</f>
        <v>0</v>
      </c>
      <c r="G74" s="20">
        <f t="shared" si="8"/>
        <v>0</v>
      </c>
      <c r="H74" s="20">
        <f t="shared" si="8"/>
        <v>0</v>
      </c>
      <c r="I74" s="42">
        <f t="shared" si="8"/>
        <v>0</v>
      </c>
      <c r="J74" s="20">
        <f t="shared" si="8"/>
        <v>0</v>
      </c>
      <c r="K74" s="16">
        <f t="shared" si="8"/>
        <v>0</v>
      </c>
    </row>
    <row r="75" spans="1:11" ht="42.75" customHeight="1">
      <c r="F75" s="8" t="s">
        <v>9</v>
      </c>
      <c r="G75" s="8" t="s">
        <v>37</v>
      </c>
      <c r="H75" s="8" t="s">
        <v>29</v>
      </c>
      <c r="I75" s="8" t="s">
        <v>30</v>
      </c>
      <c r="J75" s="8" t="s">
        <v>33</v>
      </c>
      <c r="K75" s="8" t="s">
        <v>34</v>
      </c>
    </row>
    <row r="76" spans="1:11" ht="18" customHeight="1">
      <c r="A76" s="5" t="s">
        <v>105</v>
      </c>
      <c r="B76" s="1" t="s">
        <v>106</v>
      </c>
    </row>
    <row r="77" spans="1:11" ht="18" customHeight="1">
      <c r="A77" s="4" t="s">
        <v>107</v>
      </c>
      <c r="B77" s="257" t="s">
        <v>54</v>
      </c>
      <c r="F77" s="13"/>
      <c r="G77" s="13"/>
      <c r="H77" s="14"/>
      <c r="I77" s="40">
        <v>0</v>
      </c>
      <c r="J77" s="14"/>
      <c r="K77" s="15">
        <f>(H77+I77)-J77</f>
        <v>0</v>
      </c>
    </row>
    <row r="78" spans="1:11" ht="18" customHeight="1">
      <c r="A78" s="4" t="s">
        <v>108</v>
      </c>
      <c r="B78" s="257" t="s">
        <v>55</v>
      </c>
      <c r="F78" s="13"/>
      <c r="G78" s="13"/>
      <c r="H78" s="14"/>
      <c r="I78" s="40">
        <v>0</v>
      </c>
      <c r="J78" s="14"/>
      <c r="K78" s="15">
        <f>(H78+I78)-J78</f>
        <v>0</v>
      </c>
    </row>
    <row r="79" spans="1:11" ht="18" customHeight="1">
      <c r="A79" s="4" t="s">
        <v>109</v>
      </c>
      <c r="B79" s="257" t="s">
        <v>13</v>
      </c>
      <c r="F79" s="13"/>
      <c r="G79" s="13"/>
      <c r="H79" s="14"/>
      <c r="I79" s="40">
        <v>0</v>
      </c>
      <c r="J79" s="14"/>
      <c r="K79" s="15">
        <f>(H79+I79)-J79</f>
        <v>0</v>
      </c>
    </row>
    <row r="80" spans="1:11" ht="18" customHeight="1">
      <c r="A80" s="4" t="s">
        <v>110</v>
      </c>
      <c r="B80" s="257" t="s">
        <v>56</v>
      </c>
      <c r="F80" s="13"/>
      <c r="G80" s="13"/>
      <c r="H80" s="14"/>
      <c r="I80" s="40">
        <v>0</v>
      </c>
      <c r="J80" s="14"/>
      <c r="K80" s="15">
        <f>(H80+I80)-J80</f>
        <v>0</v>
      </c>
    </row>
    <row r="81" spans="1:11" ht="18" customHeight="1">
      <c r="A81" s="4"/>
      <c r="K81" s="31"/>
    </row>
    <row r="82" spans="1:11" ht="18" customHeight="1">
      <c r="A82" s="4" t="s">
        <v>148</v>
      </c>
      <c r="B82" s="1" t="s">
        <v>149</v>
      </c>
      <c r="E82" s="1" t="s">
        <v>7</v>
      </c>
      <c r="F82" s="20">
        <f t="shared" ref="F82:K82" si="9">SUM(F77:F80)</f>
        <v>0</v>
      </c>
      <c r="G82" s="20">
        <f t="shared" si="9"/>
        <v>0</v>
      </c>
      <c r="H82" s="16">
        <f t="shared" si="9"/>
        <v>0</v>
      </c>
      <c r="I82" s="16">
        <f t="shared" si="9"/>
        <v>0</v>
      </c>
      <c r="J82" s="16">
        <f t="shared" si="9"/>
        <v>0</v>
      </c>
      <c r="K82" s="16">
        <f t="shared" si="9"/>
        <v>0</v>
      </c>
    </row>
    <row r="83" spans="1:11" ht="18" customHeight="1" thickBot="1">
      <c r="A83" s="4"/>
      <c r="F83" s="23"/>
      <c r="G83" s="23"/>
      <c r="H83" s="23"/>
      <c r="I83" s="23"/>
      <c r="J83" s="23"/>
      <c r="K83" s="23"/>
    </row>
    <row r="84" spans="1:11" ht="42.75" customHeight="1">
      <c r="F84" s="8" t="s">
        <v>9</v>
      </c>
      <c r="G84" s="8" t="s">
        <v>37</v>
      </c>
      <c r="H84" s="8" t="s">
        <v>29</v>
      </c>
      <c r="I84" s="8" t="s">
        <v>30</v>
      </c>
      <c r="J84" s="8" t="s">
        <v>33</v>
      </c>
      <c r="K84" s="8" t="s">
        <v>34</v>
      </c>
    </row>
    <row r="85" spans="1:11" ht="18" customHeight="1">
      <c r="A85" s="5" t="s">
        <v>111</v>
      </c>
      <c r="B85" s="1" t="s">
        <v>57</v>
      </c>
    </row>
    <row r="86" spans="1:11" ht="18" customHeight="1">
      <c r="A86" s="4" t="s">
        <v>112</v>
      </c>
      <c r="B86" s="257" t="s">
        <v>113</v>
      </c>
      <c r="F86" s="13"/>
      <c r="G86" s="13"/>
      <c r="H86" s="14"/>
      <c r="I86" s="40">
        <f t="shared" ref="I86:I96" si="10">H86*F$114</f>
        <v>0</v>
      </c>
      <c r="J86" s="14"/>
      <c r="K86" s="15">
        <f t="shared" ref="K86:K96" si="11">(H86+I86)-J86</f>
        <v>0</v>
      </c>
    </row>
    <row r="87" spans="1:11" ht="18" customHeight="1">
      <c r="A87" s="4" t="s">
        <v>114</v>
      </c>
      <c r="B87" s="257" t="s">
        <v>14</v>
      </c>
      <c r="F87" s="13"/>
      <c r="G87" s="13"/>
      <c r="H87" s="14"/>
      <c r="I87" s="40">
        <f t="shared" si="10"/>
        <v>0</v>
      </c>
      <c r="J87" s="14"/>
      <c r="K87" s="15">
        <f t="shared" si="11"/>
        <v>0</v>
      </c>
    </row>
    <row r="88" spans="1:11" ht="18" customHeight="1">
      <c r="A88" s="4" t="s">
        <v>115</v>
      </c>
      <c r="B88" s="257" t="s">
        <v>116</v>
      </c>
      <c r="F88" s="13"/>
      <c r="G88" s="13"/>
      <c r="H88" s="14">
        <v>5100</v>
      </c>
      <c r="I88" s="40">
        <f t="shared" si="10"/>
        <v>3783.69</v>
      </c>
      <c r="J88" s="14"/>
      <c r="K88" s="15">
        <f t="shared" si="11"/>
        <v>8883.69</v>
      </c>
    </row>
    <row r="89" spans="1:11" ht="18" customHeight="1">
      <c r="A89" s="4" t="s">
        <v>117</v>
      </c>
      <c r="B89" s="257" t="s">
        <v>58</v>
      </c>
      <c r="F89" s="13"/>
      <c r="G89" s="13"/>
      <c r="H89" s="14"/>
      <c r="I89" s="40">
        <f t="shared" si="10"/>
        <v>0</v>
      </c>
      <c r="J89" s="14"/>
      <c r="K89" s="15">
        <f t="shared" si="11"/>
        <v>0</v>
      </c>
    </row>
    <row r="90" spans="1:11" ht="18" customHeight="1">
      <c r="A90" s="4" t="s">
        <v>118</v>
      </c>
      <c r="B90" s="931" t="s">
        <v>59</v>
      </c>
      <c r="C90" s="939"/>
      <c r="F90" s="13"/>
      <c r="G90" s="13"/>
      <c r="H90" s="14"/>
      <c r="I90" s="40">
        <f t="shared" si="10"/>
        <v>0</v>
      </c>
      <c r="J90" s="14"/>
      <c r="K90" s="15">
        <f t="shared" si="11"/>
        <v>0</v>
      </c>
    </row>
    <row r="91" spans="1:11" ht="18" customHeight="1">
      <c r="A91" s="4" t="s">
        <v>119</v>
      </c>
      <c r="B91" s="257" t="s">
        <v>60</v>
      </c>
      <c r="F91" s="13">
        <v>82</v>
      </c>
      <c r="G91" s="13"/>
      <c r="H91" s="14">
        <v>47776</v>
      </c>
      <c r="I91" s="40">
        <f t="shared" si="10"/>
        <v>35445.0144</v>
      </c>
      <c r="J91" s="14"/>
      <c r="K91" s="15">
        <f t="shared" si="11"/>
        <v>83221.0144</v>
      </c>
    </row>
    <row r="92" spans="1:11" ht="18" customHeight="1">
      <c r="A92" s="4" t="s">
        <v>120</v>
      </c>
      <c r="B92" s="257" t="s">
        <v>121</v>
      </c>
      <c r="F92" s="29"/>
      <c r="G92" s="29"/>
      <c r="H92" s="30"/>
      <c r="I92" s="40">
        <f t="shared" si="10"/>
        <v>0</v>
      </c>
      <c r="J92" s="30"/>
      <c r="K92" s="15">
        <f t="shared" si="11"/>
        <v>0</v>
      </c>
    </row>
    <row r="93" spans="1:11" ht="18" customHeight="1">
      <c r="A93" s="4" t="s">
        <v>122</v>
      </c>
      <c r="B93" s="257" t="s">
        <v>123</v>
      </c>
      <c r="F93" s="13"/>
      <c r="G93" s="13"/>
      <c r="H93" s="14"/>
      <c r="I93" s="40">
        <f t="shared" si="10"/>
        <v>0</v>
      </c>
      <c r="J93" s="14"/>
      <c r="K93" s="15">
        <f t="shared" si="11"/>
        <v>0</v>
      </c>
    </row>
    <row r="94" spans="1:11" ht="18" customHeight="1">
      <c r="A94" s="4" t="s">
        <v>124</v>
      </c>
      <c r="B94" s="932"/>
      <c r="C94" s="933"/>
      <c r="D94" s="934"/>
      <c r="F94" s="13"/>
      <c r="G94" s="13"/>
      <c r="H94" s="14"/>
      <c r="I94" s="40">
        <f t="shared" si="10"/>
        <v>0</v>
      </c>
      <c r="J94" s="14"/>
      <c r="K94" s="15">
        <f t="shared" si="11"/>
        <v>0</v>
      </c>
    </row>
    <row r="95" spans="1:11" ht="18" customHeight="1">
      <c r="A95" s="4" t="s">
        <v>125</v>
      </c>
      <c r="B95" s="932"/>
      <c r="C95" s="933"/>
      <c r="D95" s="934"/>
      <c r="F95" s="13"/>
      <c r="G95" s="13"/>
      <c r="H95" s="14"/>
      <c r="I95" s="40">
        <f t="shared" si="10"/>
        <v>0</v>
      </c>
      <c r="J95" s="14"/>
      <c r="K95" s="15">
        <f t="shared" si="11"/>
        <v>0</v>
      </c>
    </row>
    <row r="96" spans="1:11" ht="18" customHeight="1">
      <c r="A96" s="4" t="s">
        <v>126</v>
      </c>
      <c r="B96" s="932"/>
      <c r="C96" s="933"/>
      <c r="D96" s="934"/>
      <c r="F96" s="13"/>
      <c r="G96" s="13"/>
      <c r="H96" s="14"/>
      <c r="I96" s="40">
        <f t="shared" si="10"/>
        <v>0</v>
      </c>
      <c r="J96" s="14"/>
      <c r="K96" s="15">
        <f t="shared" si="11"/>
        <v>0</v>
      </c>
    </row>
    <row r="97" spans="1:11" ht="18" customHeight="1">
      <c r="A97" s="4"/>
      <c r="B97" s="257"/>
    </row>
    <row r="98" spans="1:11" ht="18" customHeight="1">
      <c r="A98" s="5" t="s">
        <v>150</v>
      </c>
      <c r="B98" s="1" t="s">
        <v>151</v>
      </c>
      <c r="E98" s="1" t="s">
        <v>7</v>
      </c>
      <c r="F98" s="17">
        <f t="shared" ref="F98:K98" si="12">SUM(F86:F96)</f>
        <v>82</v>
      </c>
      <c r="G98" s="17">
        <f t="shared" si="12"/>
        <v>0</v>
      </c>
      <c r="H98" s="17">
        <f t="shared" si="12"/>
        <v>52876</v>
      </c>
      <c r="I98" s="17">
        <f t="shared" si="12"/>
        <v>39228.704400000002</v>
      </c>
      <c r="J98" s="17">
        <f t="shared" si="12"/>
        <v>0</v>
      </c>
      <c r="K98" s="17">
        <f t="shared" si="12"/>
        <v>92104.704400000002</v>
      </c>
    </row>
    <row r="99" spans="1:11" ht="18" customHeight="1" thickBot="1">
      <c r="B99" s="1"/>
      <c r="F99" s="23"/>
      <c r="G99" s="23"/>
      <c r="H99" s="23"/>
      <c r="I99" s="23"/>
      <c r="J99" s="23"/>
      <c r="K99" s="23"/>
    </row>
    <row r="100" spans="1:11" ht="42.75" customHeight="1">
      <c r="F100" s="8" t="s">
        <v>9</v>
      </c>
      <c r="G100" s="8" t="s">
        <v>37</v>
      </c>
      <c r="H100" s="8" t="s">
        <v>29</v>
      </c>
      <c r="I100" s="8" t="s">
        <v>30</v>
      </c>
      <c r="J100" s="8" t="s">
        <v>33</v>
      </c>
      <c r="K100" s="8" t="s">
        <v>34</v>
      </c>
    </row>
    <row r="101" spans="1:11" ht="18" customHeight="1">
      <c r="A101" s="5" t="s">
        <v>130</v>
      </c>
      <c r="B101" s="1" t="s">
        <v>63</v>
      </c>
    </row>
    <row r="102" spans="1:11" ht="18" customHeight="1">
      <c r="A102" s="4" t="s">
        <v>131</v>
      </c>
      <c r="B102" s="257" t="s">
        <v>152</v>
      </c>
      <c r="F102" s="13">
        <v>800</v>
      </c>
      <c r="G102" s="13"/>
      <c r="H102" s="14">
        <v>83030</v>
      </c>
      <c r="I102" s="40">
        <f>H102*F$114</f>
        <v>61599.957000000002</v>
      </c>
      <c r="J102" s="14"/>
      <c r="K102" s="15">
        <f>(H102+I102)-J102</f>
        <v>144629.95699999999</v>
      </c>
    </row>
    <row r="103" spans="1:11" ht="18" customHeight="1">
      <c r="A103" s="4" t="s">
        <v>132</v>
      </c>
      <c r="B103" s="931" t="s">
        <v>62</v>
      </c>
      <c r="C103" s="931"/>
      <c r="F103" s="13"/>
      <c r="G103" s="13"/>
      <c r="H103" s="14"/>
      <c r="I103" s="40">
        <f>H103*F$114</f>
        <v>0</v>
      </c>
      <c r="J103" s="14"/>
      <c r="K103" s="15">
        <f>(H103+I103)-J103</f>
        <v>0</v>
      </c>
    </row>
    <row r="104" spans="1:11" ht="18" customHeight="1">
      <c r="A104" s="4" t="s">
        <v>128</v>
      </c>
      <c r="B104" s="932"/>
      <c r="C104" s="933"/>
      <c r="D104" s="934"/>
      <c r="F104" s="13"/>
      <c r="G104" s="13"/>
      <c r="H104" s="14"/>
      <c r="I104" s="40">
        <f>H104*F$114</f>
        <v>0</v>
      </c>
      <c r="J104" s="14"/>
      <c r="K104" s="15">
        <f>(H104+I104)-J104</f>
        <v>0</v>
      </c>
    </row>
    <row r="105" spans="1:11" ht="18" customHeight="1">
      <c r="A105" s="4" t="s">
        <v>127</v>
      </c>
      <c r="B105" s="932"/>
      <c r="C105" s="933"/>
      <c r="D105" s="934"/>
      <c r="F105" s="13"/>
      <c r="G105" s="13"/>
      <c r="H105" s="14"/>
      <c r="I105" s="40">
        <f>H105*F$114</f>
        <v>0</v>
      </c>
      <c r="J105" s="14"/>
      <c r="K105" s="15">
        <f>(H105+I105)-J105</f>
        <v>0</v>
      </c>
    </row>
    <row r="106" spans="1:11" ht="18" customHeight="1">
      <c r="A106" s="4" t="s">
        <v>129</v>
      </c>
      <c r="B106" s="932"/>
      <c r="C106" s="933"/>
      <c r="D106" s="934"/>
      <c r="F106" s="13"/>
      <c r="G106" s="13"/>
      <c r="H106" s="14"/>
      <c r="I106" s="40">
        <f>H106*F$114</f>
        <v>0</v>
      </c>
      <c r="J106" s="14"/>
      <c r="K106" s="15">
        <f>(H106+I106)-J106</f>
        <v>0</v>
      </c>
    </row>
    <row r="107" spans="1:11" ht="18" customHeight="1">
      <c r="B107" s="1"/>
    </row>
    <row r="108" spans="1:11" s="9" customFormat="1" ht="18" customHeight="1">
      <c r="A108" s="5" t="s">
        <v>153</v>
      </c>
      <c r="B108" s="52" t="s">
        <v>154</v>
      </c>
      <c r="C108"/>
      <c r="D108"/>
      <c r="E108" s="1" t="s">
        <v>7</v>
      </c>
      <c r="F108" s="17">
        <f t="shared" ref="F108:K108" si="13">SUM(F102:F106)</f>
        <v>800</v>
      </c>
      <c r="G108" s="17">
        <f t="shared" si="13"/>
        <v>0</v>
      </c>
      <c r="H108" s="15">
        <f t="shared" si="13"/>
        <v>83030</v>
      </c>
      <c r="I108" s="15">
        <f t="shared" si="13"/>
        <v>61599.957000000002</v>
      </c>
      <c r="J108" s="15">
        <f t="shared" si="13"/>
        <v>0</v>
      </c>
      <c r="K108" s="15">
        <f t="shared" si="13"/>
        <v>144629.95699999999</v>
      </c>
    </row>
    <row r="109" spans="1:11" s="9" customFormat="1" ht="18" customHeight="1" thickBot="1">
      <c r="A109" s="10"/>
      <c r="B109" s="11"/>
      <c r="C109" s="12"/>
      <c r="D109" s="12"/>
      <c r="E109" s="12"/>
      <c r="F109" s="23"/>
      <c r="G109" s="23"/>
      <c r="H109" s="23"/>
      <c r="I109" s="23"/>
      <c r="J109" s="23"/>
      <c r="K109" s="23"/>
    </row>
    <row r="110" spans="1:11" s="9" customFormat="1" ht="18" customHeight="1">
      <c r="A110" s="5" t="s">
        <v>156</v>
      </c>
      <c r="B110" s="1" t="s">
        <v>39</v>
      </c>
      <c r="C110"/>
      <c r="D110"/>
      <c r="E110"/>
      <c r="F110"/>
      <c r="G110"/>
      <c r="H110"/>
      <c r="I110"/>
      <c r="J110"/>
      <c r="K110"/>
    </row>
    <row r="111" spans="1:11" ht="18" customHeight="1">
      <c r="A111" s="5" t="s">
        <v>155</v>
      </c>
      <c r="B111" s="1" t="s">
        <v>164</v>
      </c>
      <c r="E111" s="1" t="s">
        <v>7</v>
      </c>
      <c r="F111" s="14">
        <v>4726000</v>
      </c>
    </row>
    <row r="112" spans="1:11" ht="18" customHeight="1">
      <c r="B112" s="1"/>
      <c r="E112" s="1"/>
      <c r="F112" s="21"/>
    </row>
    <row r="113" spans="1:6" ht="18" customHeight="1">
      <c r="A113" s="5"/>
      <c r="B113" s="1" t="s">
        <v>15</v>
      </c>
    </row>
    <row r="114" spans="1:6" ht="18" customHeight="1">
      <c r="A114" s="4" t="s">
        <v>171</v>
      </c>
      <c r="B114" s="257" t="s">
        <v>35</v>
      </c>
      <c r="F114" s="24">
        <v>0.7419</v>
      </c>
    </row>
    <row r="115" spans="1:6" ht="18" customHeight="1">
      <c r="A115" s="4"/>
      <c r="B115" s="1"/>
    </row>
    <row r="116" spans="1:6" ht="18" customHeight="1">
      <c r="A116" s="4" t="s">
        <v>170</v>
      </c>
      <c r="B116" s="1" t="s">
        <v>16</v>
      </c>
    </row>
    <row r="117" spans="1:6" ht="18" customHeight="1">
      <c r="A117" s="4" t="s">
        <v>172</v>
      </c>
      <c r="B117" s="257" t="s">
        <v>17</v>
      </c>
      <c r="F117" s="14">
        <v>90359100</v>
      </c>
    </row>
    <row r="118" spans="1:6" ht="18" customHeight="1">
      <c r="A118" s="4" t="s">
        <v>173</v>
      </c>
      <c r="B118" t="s">
        <v>18</v>
      </c>
      <c r="F118" s="14">
        <v>1509300</v>
      </c>
    </row>
    <row r="119" spans="1:6" ht="18" customHeight="1">
      <c r="A119" s="4" t="s">
        <v>174</v>
      </c>
      <c r="B119" s="1" t="s">
        <v>19</v>
      </c>
      <c r="F119" s="16">
        <f>SUM(F117:F118)</f>
        <v>91868400</v>
      </c>
    </row>
    <row r="120" spans="1:6" ht="18" customHeight="1">
      <c r="A120" s="4"/>
      <c r="B120" s="1"/>
    </row>
    <row r="121" spans="1:6" ht="18" customHeight="1">
      <c r="A121" s="4" t="s">
        <v>167</v>
      </c>
      <c r="B121" s="1" t="s">
        <v>36</v>
      </c>
      <c r="F121" s="14">
        <v>96291500</v>
      </c>
    </row>
    <row r="122" spans="1:6" ht="18" customHeight="1">
      <c r="A122" s="4"/>
    </row>
    <row r="123" spans="1:6" ht="18" customHeight="1">
      <c r="A123" s="4" t="s">
        <v>175</v>
      </c>
      <c r="B123" s="1" t="s">
        <v>20</v>
      </c>
      <c r="F123" s="14">
        <v>-4423100</v>
      </c>
    </row>
    <row r="124" spans="1:6" ht="18" customHeight="1">
      <c r="A124" s="4"/>
    </row>
    <row r="125" spans="1:6" ht="18" customHeight="1">
      <c r="A125" s="4" t="s">
        <v>176</v>
      </c>
      <c r="B125" s="1" t="s">
        <v>21</v>
      </c>
      <c r="F125" s="14"/>
    </row>
    <row r="126" spans="1:6" ht="18" customHeight="1">
      <c r="A126" s="4"/>
    </row>
    <row r="127" spans="1:6" ht="18" customHeight="1">
      <c r="A127" s="4" t="s">
        <v>177</v>
      </c>
      <c r="B127" s="1" t="s">
        <v>22</v>
      </c>
      <c r="F127" s="14">
        <v>-4423100</v>
      </c>
    </row>
    <row r="128" spans="1:6" ht="18" customHeight="1">
      <c r="A128" s="4"/>
    </row>
    <row r="129" spans="1:11" ht="42.75" customHeight="1">
      <c r="F129" s="8" t="s">
        <v>9</v>
      </c>
      <c r="G129" s="8" t="s">
        <v>37</v>
      </c>
      <c r="H129" s="8" t="s">
        <v>29</v>
      </c>
      <c r="I129" s="8" t="s">
        <v>30</v>
      </c>
      <c r="J129" s="8" t="s">
        <v>33</v>
      </c>
      <c r="K129" s="8" t="s">
        <v>34</v>
      </c>
    </row>
    <row r="130" spans="1:11" ht="18" customHeight="1">
      <c r="A130" s="5" t="s">
        <v>157</v>
      </c>
      <c r="B130" s="1" t="s">
        <v>23</v>
      </c>
    </row>
    <row r="131" spans="1:11" ht="18" customHeight="1">
      <c r="A131" s="4" t="s">
        <v>158</v>
      </c>
      <c r="B131" t="s">
        <v>24</v>
      </c>
      <c r="F131" s="13"/>
      <c r="G131" s="13"/>
      <c r="H131" s="14"/>
      <c r="I131" s="40">
        <v>0</v>
      </c>
      <c r="J131" s="14"/>
      <c r="K131" s="15">
        <f>(H131+I131)-J131</f>
        <v>0</v>
      </c>
    </row>
    <row r="132" spans="1:11" ht="18" customHeight="1">
      <c r="A132" s="4" t="s">
        <v>159</v>
      </c>
      <c r="B132" t="s">
        <v>25</v>
      </c>
      <c r="F132" s="13"/>
      <c r="G132" s="13"/>
      <c r="H132" s="14"/>
      <c r="I132" s="40">
        <v>0</v>
      </c>
      <c r="J132" s="14"/>
      <c r="K132" s="15">
        <f>(H132+I132)-J132</f>
        <v>0</v>
      </c>
    </row>
    <row r="133" spans="1:11" ht="18" customHeight="1">
      <c r="A133" s="4" t="s">
        <v>160</v>
      </c>
      <c r="B133" s="893"/>
      <c r="C133" s="894"/>
      <c r="D133" s="895"/>
      <c r="F133" s="13"/>
      <c r="G133" s="13"/>
      <c r="H133" s="14"/>
      <c r="I133" s="40">
        <v>0</v>
      </c>
      <c r="J133" s="14"/>
      <c r="K133" s="15">
        <f>(H133+I133)-J133</f>
        <v>0</v>
      </c>
    </row>
    <row r="134" spans="1:11" ht="18" customHeight="1">
      <c r="A134" s="4" t="s">
        <v>161</v>
      </c>
      <c r="B134" s="893"/>
      <c r="C134" s="894"/>
      <c r="D134" s="895"/>
      <c r="F134" s="13"/>
      <c r="G134" s="13"/>
      <c r="H134" s="14"/>
      <c r="I134" s="40">
        <v>0</v>
      </c>
      <c r="J134" s="14"/>
      <c r="K134" s="15">
        <f>(H134+I134)-J134</f>
        <v>0</v>
      </c>
    </row>
    <row r="135" spans="1:11" ht="18" customHeight="1">
      <c r="A135" s="4" t="s">
        <v>162</v>
      </c>
      <c r="B135" s="893"/>
      <c r="C135" s="894"/>
      <c r="D135" s="895"/>
      <c r="F135" s="13"/>
      <c r="G135" s="13"/>
      <c r="H135" s="14"/>
      <c r="I135" s="40">
        <v>0</v>
      </c>
      <c r="J135" s="14"/>
      <c r="K135" s="15">
        <f>(H135+I135)-J135</f>
        <v>0</v>
      </c>
    </row>
    <row r="136" spans="1:11" ht="18" customHeight="1">
      <c r="A136" s="5"/>
    </row>
    <row r="137" spans="1:11" ht="18" customHeight="1">
      <c r="A137" s="5" t="s">
        <v>163</v>
      </c>
      <c r="B137" s="1" t="s">
        <v>27</v>
      </c>
      <c r="F137" s="17">
        <f t="shared" ref="F137:K137" si="14">SUM(F131:F135)</f>
        <v>0</v>
      </c>
      <c r="G137" s="17">
        <f t="shared" si="14"/>
        <v>0</v>
      </c>
      <c r="H137" s="15">
        <f t="shared" si="14"/>
        <v>0</v>
      </c>
      <c r="I137" s="15">
        <f t="shared" si="14"/>
        <v>0</v>
      </c>
      <c r="J137" s="15">
        <f t="shared" si="14"/>
        <v>0</v>
      </c>
      <c r="K137" s="15">
        <f t="shared" si="14"/>
        <v>0</v>
      </c>
    </row>
    <row r="138" spans="1:11" ht="18" customHeight="1">
      <c r="A138"/>
    </row>
    <row r="139" spans="1:11" ht="42.75" customHeight="1">
      <c r="F139" s="8" t="s">
        <v>9</v>
      </c>
      <c r="G139" s="8" t="s">
        <v>37</v>
      </c>
      <c r="H139" s="8" t="s">
        <v>29</v>
      </c>
      <c r="I139" s="8" t="s">
        <v>30</v>
      </c>
      <c r="J139" s="8" t="s">
        <v>33</v>
      </c>
      <c r="K139" s="8" t="s">
        <v>34</v>
      </c>
    </row>
    <row r="140" spans="1:11" ht="18" customHeight="1">
      <c r="A140" s="5" t="s">
        <v>166</v>
      </c>
      <c r="B140" s="1" t="s">
        <v>26</v>
      </c>
    </row>
    <row r="141" spans="1:11" ht="18" customHeight="1">
      <c r="A141" s="4" t="s">
        <v>137</v>
      </c>
      <c r="B141" s="1" t="s">
        <v>64</v>
      </c>
      <c r="F141" s="32">
        <f t="shared" ref="F141:K141" si="15">F36</f>
        <v>1647</v>
      </c>
      <c r="G141" s="32">
        <f t="shared" si="15"/>
        <v>2189</v>
      </c>
      <c r="H141" s="32">
        <f t="shared" si="15"/>
        <v>194708</v>
      </c>
      <c r="I141" s="32">
        <f t="shared" si="15"/>
        <v>144453.8652</v>
      </c>
      <c r="J141" s="32">
        <f t="shared" si="15"/>
        <v>0</v>
      </c>
      <c r="K141" s="32">
        <f t="shared" si="15"/>
        <v>339161.8652</v>
      </c>
    </row>
    <row r="142" spans="1:11" ht="18" customHeight="1">
      <c r="A142" s="4" t="s">
        <v>142</v>
      </c>
      <c r="B142" s="1" t="s">
        <v>65</v>
      </c>
      <c r="F142" s="32">
        <f t="shared" ref="F142:K142" si="16">F49</f>
        <v>325</v>
      </c>
      <c r="G142" s="32">
        <f t="shared" si="16"/>
        <v>150</v>
      </c>
      <c r="H142" s="32">
        <f t="shared" si="16"/>
        <v>13406</v>
      </c>
      <c r="I142" s="32">
        <f t="shared" si="16"/>
        <v>0</v>
      </c>
      <c r="J142" s="32">
        <f t="shared" si="16"/>
        <v>0</v>
      </c>
      <c r="K142" s="32">
        <f t="shared" si="16"/>
        <v>13406</v>
      </c>
    </row>
    <row r="143" spans="1:11" ht="18" customHeight="1">
      <c r="A143" s="4" t="s">
        <v>144</v>
      </c>
      <c r="B143" s="1" t="s">
        <v>66</v>
      </c>
      <c r="F143" s="32">
        <f t="shared" ref="F143:K143" si="17">F64</f>
        <v>37455</v>
      </c>
      <c r="G143" s="32">
        <f t="shared" si="17"/>
        <v>2923</v>
      </c>
      <c r="H143" s="32">
        <f t="shared" si="17"/>
        <v>21928163</v>
      </c>
      <c r="I143" s="32">
        <f t="shared" si="17"/>
        <v>16268504.129699999</v>
      </c>
      <c r="J143" s="32">
        <f t="shared" si="17"/>
        <v>560479</v>
      </c>
      <c r="K143" s="32">
        <f t="shared" si="17"/>
        <v>37636188.129700005</v>
      </c>
    </row>
    <row r="144" spans="1:11" ht="18" customHeight="1">
      <c r="A144" s="4" t="s">
        <v>146</v>
      </c>
      <c r="B144" s="1" t="s">
        <v>67</v>
      </c>
      <c r="F144" s="32">
        <f t="shared" ref="F144:K144" si="18">F74</f>
        <v>0</v>
      </c>
      <c r="G144" s="32">
        <f t="shared" si="18"/>
        <v>0</v>
      </c>
      <c r="H144" s="32">
        <f t="shared" si="18"/>
        <v>0</v>
      </c>
      <c r="I144" s="32">
        <f t="shared" si="18"/>
        <v>0</v>
      </c>
      <c r="J144" s="32">
        <f t="shared" si="18"/>
        <v>0</v>
      </c>
      <c r="K144" s="32">
        <f t="shared" si="18"/>
        <v>0</v>
      </c>
    </row>
    <row r="145" spans="1:11" ht="18" customHeight="1">
      <c r="A145" s="4" t="s">
        <v>148</v>
      </c>
      <c r="B145" s="1" t="s">
        <v>68</v>
      </c>
      <c r="F145" s="32">
        <f t="shared" ref="F145:K145" si="19">F82</f>
        <v>0</v>
      </c>
      <c r="G145" s="32">
        <f t="shared" si="19"/>
        <v>0</v>
      </c>
      <c r="H145" s="32">
        <f t="shared" si="19"/>
        <v>0</v>
      </c>
      <c r="I145" s="32">
        <f t="shared" si="19"/>
        <v>0</v>
      </c>
      <c r="J145" s="32">
        <f t="shared" si="19"/>
        <v>0</v>
      </c>
      <c r="K145" s="32">
        <f t="shared" si="19"/>
        <v>0</v>
      </c>
    </row>
    <row r="146" spans="1:11" ht="18" customHeight="1">
      <c r="A146" s="4" t="s">
        <v>150</v>
      </c>
      <c r="B146" s="1" t="s">
        <v>69</v>
      </c>
      <c r="F146" s="32">
        <f t="shared" ref="F146:K146" si="20">F98</f>
        <v>82</v>
      </c>
      <c r="G146" s="32">
        <f t="shared" si="20"/>
        <v>0</v>
      </c>
      <c r="H146" s="32">
        <f t="shared" si="20"/>
        <v>52876</v>
      </c>
      <c r="I146" s="32">
        <f t="shared" si="20"/>
        <v>39228.704400000002</v>
      </c>
      <c r="J146" s="32">
        <f t="shared" si="20"/>
        <v>0</v>
      </c>
      <c r="K146" s="32">
        <f t="shared" si="20"/>
        <v>92104.704400000002</v>
      </c>
    </row>
    <row r="147" spans="1:11" ht="18" customHeight="1">
      <c r="A147" s="4" t="s">
        <v>153</v>
      </c>
      <c r="B147" s="1" t="s">
        <v>61</v>
      </c>
      <c r="F147" s="17">
        <f t="shared" ref="F147:K147" si="21">F108</f>
        <v>800</v>
      </c>
      <c r="G147" s="17">
        <f t="shared" si="21"/>
        <v>0</v>
      </c>
      <c r="H147" s="17">
        <f t="shared" si="21"/>
        <v>83030</v>
      </c>
      <c r="I147" s="17">
        <f t="shared" si="21"/>
        <v>61599.957000000002</v>
      </c>
      <c r="J147" s="17">
        <f t="shared" si="21"/>
        <v>0</v>
      </c>
      <c r="K147" s="17">
        <f t="shared" si="21"/>
        <v>144629.95699999999</v>
      </c>
    </row>
    <row r="148" spans="1:11" ht="18" customHeight="1">
      <c r="A148" s="4" t="s">
        <v>155</v>
      </c>
      <c r="B148" s="1" t="s">
        <v>70</v>
      </c>
      <c r="F148" s="33" t="s">
        <v>73</v>
      </c>
      <c r="G148" s="33" t="s">
        <v>73</v>
      </c>
      <c r="H148" s="34" t="s">
        <v>73</v>
      </c>
      <c r="I148" s="34" t="s">
        <v>73</v>
      </c>
      <c r="J148" s="34" t="s">
        <v>73</v>
      </c>
      <c r="K148" s="28">
        <f>F111</f>
        <v>4726000</v>
      </c>
    </row>
    <row r="149" spans="1:11" ht="18" customHeight="1">
      <c r="A149" s="4" t="s">
        <v>163</v>
      </c>
      <c r="B149" s="1" t="s">
        <v>71</v>
      </c>
      <c r="F149" s="17">
        <f t="shared" ref="F149:K149" si="22">F137</f>
        <v>0</v>
      </c>
      <c r="G149" s="17">
        <f t="shared" si="22"/>
        <v>0</v>
      </c>
      <c r="H149" s="17">
        <f t="shared" si="22"/>
        <v>0</v>
      </c>
      <c r="I149" s="17">
        <f t="shared" si="22"/>
        <v>0</v>
      </c>
      <c r="J149" s="17">
        <f t="shared" si="22"/>
        <v>0</v>
      </c>
      <c r="K149" s="17">
        <f t="shared" si="22"/>
        <v>0</v>
      </c>
    </row>
    <row r="150" spans="1:11" ht="18" customHeight="1">
      <c r="A150" s="4" t="s">
        <v>185</v>
      </c>
      <c r="B150" s="1" t="s">
        <v>186</v>
      </c>
      <c r="F150" s="33" t="s">
        <v>73</v>
      </c>
      <c r="G150" s="33" t="s">
        <v>73</v>
      </c>
      <c r="H150" s="17">
        <f>H18</f>
        <v>3045184</v>
      </c>
      <c r="I150" s="17">
        <f>I18</f>
        <v>0</v>
      </c>
      <c r="J150" s="17">
        <f>J18</f>
        <v>2604013</v>
      </c>
      <c r="K150" s="17">
        <f>K18</f>
        <v>441171</v>
      </c>
    </row>
    <row r="151" spans="1:11" ht="18" customHeight="1">
      <c r="B151" s="1"/>
      <c r="F151" s="38"/>
      <c r="G151" s="38"/>
      <c r="H151" s="38"/>
      <c r="I151" s="38"/>
      <c r="J151" s="38"/>
      <c r="K151" s="38"/>
    </row>
    <row r="152" spans="1:11" ht="18" customHeight="1">
      <c r="A152" s="5" t="s">
        <v>165</v>
      </c>
      <c r="B152" s="1" t="s">
        <v>26</v>
      </c>
      <c r="F152" s="39">
        <f t="shared" ref="F152:K152" si="23">SUM(F141:F150)</f>
        <v>40309</v>
      </c>
      <c r="G152" s="39">
        <f t="shared" si="23"/>
        <v>5262</v>
      </c>
      <c r="H152" s="39">
        <f t="shared" si="23"/>
        <v>25317367</v>
      </c>
      <c r="I152" s="39">
        <f t="shared" si="23"/>
        <v>16513786.656299999</v>
      </c>
      <c r="J152" s="39">
        <f t="shared" si="23"/>
        <v>3164492</v>
      </c>
      <c r="K152" s="39">
        <f t="shared" si="23"/>
        <v>43392661.656300008</v>
      </c>
    </row>
    <row r="154" spans="1:11" ht="18" customHeight="1">
      <c r="A154" s="5" t="s">
        <v>168</v>
      </c>
      <c r="B154" s="1" t="s">
        <v>28</v>
      </c>
      <c r="F154" s="53">
        <f>K152/F121</f>
        <v>0.45063854708151818</v>
      </c>
    </row>
    <row r="155" spans="1:11" ht="18" customHeight="1">
      <c r="A155" s="5" t="s">
        <v>169</v>
      </c>
      <c r="B155" s="1" t="s">
        <v>72</v>
      </c>
      <c r="F155" s="53">
        <f>K152/F127</f>
        <v>-9.810463624222832</v>
      </c>
      <c r="G155" s="1"/>
    </row>
    <row r="156" spans="1:11" ht="18" customHeight="1">
      <c r="G156" s="1"/>
    </row>
  </sheetData>
  <sheetProtection algorithmName="SHA-512" hashValue="iVvdvBFvLJrCQayOzWBOnlmmkvSOlg0vsuWfxw4ykvUWsRMIU69Eos4F9LU4n3blGdfrud4L5z60Zw6vfmvLvQ==" saltValue="dNfDTr1s26G+Dg2uXX89nw==" spinCount="100000" sheet="1" objects="1" scenarios="1"/>
  <mergeCells count="31">
    <mergeCell ref="B41:C41"/>
    <mergeCell ref="D2:H2"/>
    <mergeCell ref="C5:G5"/>
    <mergeCell ref="C6:G6"/>
    <mergeCell ref="C7:G7"/>
    <mergeCell ref="C9:G9"/>
    <mergeCell ref="C10:G10"/>
    <mergeCell ref="C11:G11"/>
    <mergeCell ref="B13:H13"/>
    <mergeCell ref="B30:D30"/>
    <mergeCell ref="B31:D31"/>
    <mergeCell ref="B34:D34"/>
    <mergeCell ref="B96:D96"/>
    <mergeCell ref="B44:D44"/>
    <mergeCell ref="B45:D45"/>
    <mergeCell ref="B46:D46"/>
    <mergeCell ref="B47:D47"/>
    <mergeCell ref="B52:C52"/>
    <mergeCell ref="B53:D53"/>
    <mergeCell ref="B59:D59"/>
    <mergeCell ref="B62:D62"/>
    <mergeCell ref="B90:C90"/>
    <mergeCell ref="B94:D94"/>
    <mergeCell ref="B95:D95"/>
    <mergeCell ref="B135:D135"/>
    <mergeCell ref="B103:C103"/>
    <mergeCell ref="B104:D104"/>
    <mergeCell ref="B105:D105"/>
    <mergeCell ref="B106:D106"/>
    <mergeCell ref="B133:D133"/>
    <mergeCell ref="B134:D134"/>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K156"/>
  <sheetViews>
    <sheetView showGridLines="0" zoomScaleNormal="100" zoomScaleSheetLayoutView="70" workbookViewId="0">
      <selection activeCell="K19" sqref="K19"/>
    </sheetView>
  </sheetViews>
  <sheetFormatPr defaultRowHeight="18" customHeight="1"/>
  <cols>
    <col min="1" max="1" width="8.28515625" style="146" customWidth="1"/>
    <col min="2" max="2" width="55.42578125" style="147" bestFit="1" customWidth="1"/>
    <col min="3" max="3" width="9.5703125" style="147" customWidth="1"/>
    <col min="4" max="4" width="9.140625" style="147"/>
    <col min="5" max="5" width="12.42578125" style="147" customWidth="1"/>
    <col min="6" max="6" width="18.5703125" style="147" customWidth="1"/>
    <col min="7" max="7" width="23.5703125" style="147" customWidth="1"/>
    <col min="8" max="8" width="17.140625" style="147" customWidth="1"/>
    <col min="9" max="9" width="21.140625" style="147" customWidth="1"/>
    <col min="10" max="10" width="19.85546875" style="147" customWidth="1"/>
    <col min="11" max="11" width="17.5703125" style="147" customWidth="1"/>
    <col min="12" max="256" width="9.140625" style="147"/>
    <col min="257" max="257" width="8.28515625" style="147" customWidth="1"/>
    <col min="258" max="258" width="55.42578125" style="147" bestFit="1" customWidth="1"/>
    <col min="259" max="259" width="9.5703125" style="147" customWidth="1"/>
    <col min="260" max="260" width="9.140625" style="147"/>
    <col min="261" max="261" width="12.42578125" style="147" customWidth="1"/>
    <col min="262" max="262" width="18.5703125" style="147" customWidth="1"/>
    <col min="263" max="263" width="23.5703125" style="147" customWidth="1"/>
    <col min="264" max="264" width="17.140625" style="147" customWidth="1"/>
    <col min="265" max="265" width="21.140625" style="147" customWidth="1"/>
    <col min="266" max="266" width="19.85546875" style="147" customWidth="1"/>
    <col min="267" max="267" width="17.5703125" style="147" customWidth="1"/>
    <col min="268" max="512" width="9.140625" style="147"/>
    <col min="513" max="513" width="8.28515625" style="147" customWidth="1"/>
    <col min="514" max="514" width="55.42578125" style="147" bestFit="1" customWidth="1"/>
    <col min="515" max="515" width="9.5703125" style="147" customWidth="1"/>
    <col min="516" max="516" width="9.140625" style="147"/>
    <col min="517" max="517" width="12.42578125" style="147" customWidth="1"/>
    <col min="518" max="518" width="18.5703125" style="147" customWidth="1"/>
    <col min="519" max="519" width="23.5703125" style="147" customWidth="1"/>
    <col min="520" max="520" width="17.140625" style="147" customWidth="1"/>
    <col min="521" max="521" width="21.140625" style="147" customWidth="1"/>
    <col min="522" max="522" width="19.85546875" style="147" customWidth="1"/>
    <col min="523" max="523" width="17.5703125" style="147" customWidth="1"/>
    <col min="524" max="768" width="9.140625" style="147"/>
    <col min="769" max="769" width="8.28515625" style="147" customWidth="1"/>
    <col min="770" max="770" width="55.42578125" style="147" bestFit="1" customWidth="1"/>
    <col min="771" max="771" width="9.5703125" style="147" customWidth="1"/>
    <col min="772" max="772" width="9.140625" style="147"/>
    <col min="773" max="773" width="12.42578125" style="147" customWidth="1"/>
    <col min="774" max="774" width="18.5703125" style="147" customWidth="1"/>
    <col min="775" max="775" width="23.5703125" style="147" customWidth="1"/>
    <col min="776" max="776" width="17.140625" style="147" customWidth="1"/>
    <col min="777" max="777" width="21.140625" style="147" customWidth="1"/>
    <col min="778" max="778" width="19.85546875" style="147" customWidth="1"/>
    <col min="779" max="779" width="17.5703125" style="147" customWidth="1"/>
    <col min="780" max="1024" width="9.140625" style="147"/>
    <col min="1025" max="1025" width="8.28515625" style="147" customWidth="1"/>
    <col min="1026" max="1026" width="55.42578125" style="147" bestFit="1" customWidth="1"/>
    <col min="1027" max="1027" width="9.5703125" style="147" customWidth="1"/>
    <col min="1028" max="1028" width="9.140625" style="147"/>
    <col min="1029" max="1029" width="12.42578125" style="147" customWidth="1"/>
    <col min="1030" max="1030" width="18.5703125" style="147" customWidth="1"/>
    <col min="1031" max="1031" width="23.5703125" style="147" customWidth="1"/>
    <col min="1032" max="1032" width="17.140625" style="147" customWidth="1"/>
    <col min="1033" max="1033" width="21.140625" style="147" customWidth="1"/>
    <col min="1034" max="1034" width="19.85546875" style="147" customWidth="1"/>
    <col min="1035" max="1035" width="17.5703125" style="147" customWidth="1"/>
    <col min="1036" max="1280" width="9.140625" style="147"/>
    <col min="1281" max="1281" width="8.28515625" style="147" customWidth="1"/>
    <col min="1282" max="1282" width="55.42578125" style="147" bestFit="1" customWidth="1"/>
    <col min="1283" max="1283" width="9.5703125" style="147" customWidth="1"/>
    <col min="1284" max="1284" width="9.140625" style="147"/>
    <col min="1285" max="1285" width="12.42578125" style="147" customWidth="1"/>
    <col min="1286" max="1286" width="18.5703125" style="147" customWidth="1"/>
    <col min="1287" max="1287" width="23.5703125" style="147" customWidth="1"/>
    <col min="1288" max="1288" width="17.140625" style="147" customWidth="1"/>
    <col min="1289" max="1289" width="21.140625" style="147" customWidth="1"/>
    <col min="1290" max="1290" width="19.85546875" style="147" customWidth="1"/>
    <col min="1291" max="1291" width="17.5703125" style="147" customWidth="1"/>
    <col min="1292" max="1536" width="9.140625" style="147"/>
    <col min="1537" max="1537" width="8.28515625" style="147" customWidth="1"/>
    <col min="1538" max="1538" width="55.42578125" style="147" bestFit="1" customWidth="1"/>
    <col min="1539" max="1539" width="9.5703125" style="147" customWidth="1"/>
    <col min="1540" max="1540" width="9.140625" style="147"/>
    <col min="1541" max="1541" width="12.42578125" style="147" customWidth="1"/>
    <col min="1542" max="1542" width="18.5703125" style="147" customWidth="1"/>
    <col min="1543" max="1543" width="23.5703125" style="147" customWidth="1"/>
    <col min="1544" max="1544" width="17.140625" style="147" customWidth="1"/>
    <col min="1545" max="1545" width="21.140625" style="147" customWidth="1"/>
    <col min="1546" max="1546" width="19.85546875" style="147" customWidth="1"/>
    <col min="1547" max="1547" width="17.5703125" style="147" customWidth="1"/>
    <col min="1548" max="1792" width="9.140625" style="147"/>
    <col min="1793" max="1793" width="8.28515625" style="147" customWidth="1"/>
    <col min="1794" max="1794" width="55.42578125" style="147" bestFit="1" customWidth="1"/>
    <col min="1795" max="1795" width="9.5703125" style="147" customWidth="1"/>
    <col min="1796" max="1796" width="9.140625" style="147"/>
    <col min="1797" max="1797" width="12.42578125" style="147" customWidth="1"/>
    <col min="1798" max="1798" width="18.5703125" style="147" customWidth="1"/>
    <col min="1799" max="1799" width="23.5703125" style="147" customWidth="1"/>
    <col min="1800" max="1800" width="17.140625" style="147" customWidth="1"/>
    <col min="1801" max="1801" width="21.140625" style="147" customWidth="1"/>
    <col min="1802" max="1802" width="19.85546875" style="147" customWidth="1"/>
    <col min="1803" max="1803" width="17.5703125" style="147" customWidth="1"/>
    <col min="1804" max="2048" width="9.140625" style="147"/>
    <col min="2049" max="2049" width="8.28515625" style="147" customWidth="1"/>
    <col min="2050" max="2050" width="55.42578125" style="147" bestFit="1" customWidth="1"/>
    <col min="2051" max="2051" width="9.5703125" style="147" customWidth="1"/>
    <col min="2052" max="2052" width="9.140625" style="147"/>
    <col min="2053" max="2053" width="12.42578125" style="147" customWidth="1"/>
    <col min="2054" max="2054" width="18.5703125" style="147" customWidth="1"/>
    <col min="2055" max="2055" width="23.5703125" style="147" customWidth="1"/>
    <col min="2056" max="2056" width="17.140625" style="147" customWidth="1"/>
    <col min="2057" max="2057" width="21.140625" style="147" customWidth="1"/>
    <col min="2058" max="2058" width="19.85546875" style="147" customWidth="1"/>
    <col min="2059" max="2059" width="17.5703125" style="147" customWidth="1"/>
    <col min="2060" max="2304" width="9.140625" style="147"/>
    <col min="2305" max="2305" width="8.28515625" style="147" customWidth="1"/>
    <col min="2306" max="2306" width="55.42578125" style="147" bestFit="1" customWidth="1"/>
    <col min="2307" max="2307" width="9.5703125" style="147" customWidth="1"/>
    <col min="2308" max="2308" width="9.140625" style="147"/>
    <col min="2309" max="2309" width="12.42578125" style="147" customWidth="1"/>
    <col min="2310" max="2310" width="18.5703125" style="147" customWidth="1"/>
    <col min="2311" max="2311" width="23.5703125" style="147" customWidth="1"/>
    <col min="2312" max="2312" width="17.140625" style="147" customWidth="1"/>
    <col min="2313" max="2313" width="21.140625" style="147" customWidth="1"/>
    <col min="2314" max="2314" width="19.85546875" style="147" customWidth="1"/>
    <col min="2315" max="2315" width="17.5703125" style="147" customWidth="1"/>
    <col min="2316" max="2560" width="9.140625" style="147"/>
    <col min="2561" max="2561" width="8.28515625" style="147" customWidth="1"/>
    <col min="2562" max="2562" width="55.42578125" style="147" bestFit="1" customWidth="1"/>
    <col min="2563" max="2563" width="9.5703125" style="147" customWidth="1"/>
    <col min="2564" max="2564" width="9.140625" style="147"/>
    <col min="2565" max="2565" width="12.42578125" style="147" customWidth="1"/>
    <col min="2566" max="2566" width="18.5703125" style="147" customWidth="1"/>
    <col min="2567" max="2567" width="23.5703125" style="147" customWidth="1"/>
    <col min="2568" max="2568" width="17.140625" style="147" customWidth="1"/>
    <col min="2569" max="2569" width="21.140625" style="147" customWidth="1"/>
    <col min="2570" max="2570" width="19.85546875" style="147" customWidth="1"/>
    <col min="2571" max="2571" width="17.5703125" style="147" customWidth="1"/>
    <col min="2572" max="2816" width="9.140625" style="147"/>
    <col min="2817" max="2817" width="8.28515625" style="147" customWidth="1"/>
    <col min="2818" max="2818" width="55.42578125" style="147" bestFit="1" customWidth="1"/>
    <col min="2819" max="2819" width="9.5703125" style="147" customWidth="1"/>
    <col min="2820" max="2820" width="9.140625" style="147"/>
    <col min="2821" max="2821" width="12.42578125" style="147" customWidth="1"/>
    <col min="2822" max="2822" width="18.5703125" style="147" customWidth="1"/>
    <col min="2823" max="2823" width="23.5703125" style="147" customWidth="1"/>
    <col min="2824" max="2824" width="17.140625" style="147" customWidth="1"/>
    <col min="2825" max="2825" width="21.140625" style="147" customWidth="1"/>
    <col min="2826" max="2826" width="19.85546875" style="147" customWidth="1"/>
    <col min="2827" max="2827" width="17.5703125" style="147" customWidth="1"/>
    <col min="2828" max="3072" width="9.140625" style="147"/>
    <col min="3073" max="3073" width="8.28515625" style="147" customWidth="1"/>
    <col min="3074" max="3074" width="55.42578125" style="147" bestFit="1" customWidth="1"/>
    <col min="3075" max="3075" width="9.5703125" style="147" customWidth="1"/>
    <col min="3076" max="3076" width="9.140625" style="147"/>
    <col min="3077" max="3077" width="12.42578125" style="147" customWidth="1"/>
    <col min="3078" max="3078" width="18.5703125" style="147" customWidth="1"/>
    <col min="3079" max="3079" width="23.5703125" style="147" customWidth="1"/>
    <col min="3080" max="3080" width="17.140625" style="147" customWidth="1"/>
    <col min="3081" max="3081" width="21.140625" style="147" customWidth="1"/>
    <col min="3082" max="3082" width="19.85546875" style="147" customWidth="1"/>
    <col min="3083" max="3083" width="17.5703125" style="147" customWidth="1"/>
    <col min="3084" max="3328" width="9.140625" style="147"/>
    <col min="3329" max="3329" width="8.28515625" style="147" customWidth="1"/>
    <col min="3330" max="3330" width="55.42578125" style="147" bestFit="1" customWidth="1"/>
    <col min="3331" max="3331" width="9.5703125" style="147" customWidth="1"/>
    <col min="3332" max="3332" width="9.140625" style="147"/>
    <col min="3333" max="3333" width="12.42578125" style="147" customWidth="1"/>
    <col min="3334" max="3334" width="18.5703125" style="147" customWidth="1"/>
    <col min="3335" max="3335" width="23.5703125" style="147" customWidth="1"/>
    <col min="3336" max="3336" width="17.140625" style="147" customWidth="1"/>
    <col min="3337" max="3337" width="21.140625" style="147" customWidth="1"/>
    <col min="3338" max="3338" width="19.85546875" style="147" customWidth="1"/>
    <col min="3339" max="3339" width="17.5703125" style="147" customWidth="1"/>
    <col min="3340" max="3584" width="9.140625" style="147"/>
    <col min="3585" max="3585" width="8.28515625" style="147" customWidth="1"/>
    <col min="3586" max="3586" width="55.42578125" style="147" bestFit="1" customWidth="1"/>
    <col min="3587" max="3587" width="9.5703125" style="147" customWidth="1"/>
    <col min="3588" max="3588" width="9.140625" style="147"/>
    <col min="3589" max="3589" width="12.42578125" style="147" customWidth="1"/>
    <col min="3590" max="3590" width="18.5703125" style="147" customWidth="1"/>
    <col min="3591" max="3591" width="23.5703125" style="147" customWidth="1"/>
    <col min="3592" max="3592" width="17.140625" style="147" customWidth="1"/>
    <col min="3593" max="3593" width="21.140625" style="147" customWidth="1"/>
    <col min="3594" max="3594" width="19.85546875" style="147" customWidth="1"/>
    <col min="3595" max="3595" width="17.5703125" style="147" customWidth="1"/>
    <col min="3596" max="3840" width="9.140625" style="147"/>
    <col min="3841" max="3841" width="8.28515625" style="147" customWidth="1"/>
    <col min="3842" max="3842" width="55.42578125" style="147" bestFit="1" customWidth="1"/>
    <col min="3843" max="3843" width="9.5703125" style="147" customWidth="1"/>
    <col min="3844" max="3844" width="9.140625" style="147"/>
    <col min="3845" max="3845" width="12.42578125" style="147" customWidth="1"/>
    <col min="3846" max="3846" width="18.5703125" style="147" customWidth="1"/>
    <col min="3847" max="3847" width="23.5703125" style="147" customWidth="1"/>
    <col min="3848" max="3848" width="17.140625" style="147" customWidth="1"/>
    <col min="3849" max="3849" width="21.140625" style="147" customWidth="1"/>
    <col min="3850" max="3850" width="19.85546875" style="147" customWidth="1"/>
    <col min="3851" max="3851" width="17.5703125" style="147" customWidth="1"/>
    <col min="3852" max="4096" width="9.140625" style="147"/>
    <col min="4097" max="4097" width="8.28515625" style="147" customWidth="1"/>
    <col min="4098" max="4098" width="55.42578125" style="147" bestFit="1" customWidth="1"/>
    <col min="4099" max="4099" width="9.5703125" style="147" customWidth="1"/>
    <col min="4100" max="4100" width="9.140625" style="147"/>
    <col min="4101" max="4101" width="12.42578125" style="147" customWidth="1"/>
    <col min="4102" max="4102" width="18.5703125" style="147" customWidth="1"/>
    <col min="4103" max="4103" width="23.5703125" style="147" customWidth="1"/>
    <col min="4104" max="4104" width="17.140625" style="147" customWidth="1"/>
    <col min="4105" max="4105" width="21.140625" style="147" customWidth="1"/>
    <col min="4106" max="4106" width="19.85546875" style="147" customWidth="1"/>
    <col min="4107" max="4107" width="17.5703125" style="147" customWidth="1"/>
    <col min="4108" max="4352" width="9.140625" style="147"/>
    <col min="4353" max="4353" width="8.28515625" style="147" customWidth="1"/>
    <col min="4354" max="4354" width="55.42578125" style="147" bestFit="1" customWidth="1"/>
    <col min="4355" max="4355" width="9.5703125" style="147" customWidth="1"/>
    <col min="4356" max="4356" width="9.140625" style="147"/>
    <col min="4357" max="4357" width="12.42578125" style="147" customWidth="1"/>
    <col min="4358" max="4358" width="18.5703125" style="147" customWidth="1"/>
    <col min="4359" max="4359" width="23.5703125" style="147" customWidth="1"/>
    <col min="4360" max="4360" width="17.140625" style="147" customWidth="1"/>
    <col min="4361" max="4361" width="21.140625" style="147" customWidth="1"/>
    <col min="4362" max="4362" width="19.85546875" style="147" customWidth="1"/>
    <col min="4363" max="4363" width="17.5703125" style="147" customWidth="1"/>
    <col min="4364" max="4608" width="9.140625" style="147"/>
    <col min="4609" max="4609" width="8.28515625" style="147" customWidth="1"/>
    <col min="4610" max="4610" width="55.42578125" style="147" bestFit="1" customWidth="1"/>
    <col min="4611" max="4611" width="9.5703125" style="147" customWidth="1"/>
    <col min="4612" max="4612" width="9.140625" style="147"/>
    <col min="4613" max="4613" width="12.42578125" style="147" customWidth="1"/>
    <col min="4614" max="4614" width="18.5703125" style="147" customWidth="1"/>
    <col min="4615" max="4615" width="23.5703125" style="147" customWidth="1"/>
    <col min="4616" max="4616" width="17.140625" style="147" customWidth="1"/>
    <col min="4617" max="4617" width="21.140625" style="147" customWidth="1"/>
    <col min="4618" max="4618" width="19.85546875" style="147" customWidth="1"/>
    <col min="4619" max="4619" width="17.5703125" style="147" customWidth="1"/>
    <col min="4620" max="4864" width="9.140625" style="147"/>
    <col min="4865" max="4865" width="8.28515625" style="147" customWidth="1"/>
    <col min="4866" max="4866" width="55.42578125" style="147" bestFit="1" customWidth="1"/>
    <col min="4867" max="4867" width="9.5703125" style="147" customWidth="1"/>
    <col min="4868" max="4868" width="9.140625" style="147"/>
    <col min="4869" max="4869" width="12.42578125" style="147" customWidth="1"/>
    <col min="4870" max="4870" width="18.5703125" style="147" customWidth="1"/>
    <col min="4871" max="4871" width="23.5703125" style="147" customWidth="1"/>
    <col min="4872" max="4872" width="17.140625" style="147" customWidth="1"/>
    <col min="4873" max="4873" width="21.140625" style="147" customWidth="1"/>
    <col min="4874" max="4874" width="19.85546875" style="147" customWidth="1"/>
    <col min="4875" max="4875" width="17.5703125" style="147" customWidth="1"/>
    <col min="4876" max="5120" width="9.140625" style="147"/>
    <col min="5121" max="5121" width="8.28515625" style="147" customWidth="1"/>
    <col min="5122" max="5122" width="55.42578125" style="147" bestFit="1" customWidth="1"/>
    <col min="5123" max="5123" width="9.5703125" style="147" customWidth="1"/>
    <col min="5124" max="5124" width="9.140625" style="147"/>
    <col min="5125" max="5125" width="12.42578125" style="147" customWidth="1"/>
    <col min="5126" max="5126" width="18.5703125" style="147" customWidth="1"/>
    <col min="5127" max="5127" width="23.5703125" style="147" customWidth="1"/>
    <col min="5128" max="5128" width="17.140625" style="147" customWidth="1"/>
    <col min="5129" max="5129" width="21.140625" style="147" customWidth="1"/>
    <col min="5130" max="5130" width="19.85546875" style="147" customWidth="1"/>
    <col min="5131" max="5131" width="17.5703125" style="147" customWidth="1"/>
    <col min="5132" max="5376" width="9.140625" style="147"/>
    <col min="5377" max="5377" width="8.28515625" style="147" customWidth="1"/>
    <col min="5378" max="5378" width="55.42578125" style="147" bestFit="1" customWidth="1"/>
    <col min="5379" max="5379" width="9.5703125" style="147" customWidth="1"/>
    <col min="5380" max="5380" width="9.140625" style="147"/>
    <col min="5381" max="5381" width="12.42578125" style="147" customWidth="1"/>
    <col min="5382" max="5382" width="18.5703125" style="147" customWidth="1"/>
    <col min="5383" max="5383" width="23.5703125" style="147" customWidth="1"/>
    <col min="5384" max="5384" width="17.140625" style="147" customWidth="1"/>
    <col min="5385" max="5385" width="21.140625" style="147" customWidth="1"/>
    <col min="5386" max="5386" width="19.85546875" style="147" customWidth="1"/>
    <col min="5387" max="5387" width="17.5703125" style="147" customWidth="1"/>
    <col min="5388" max="5632" width="9.140625" style="147"/>
    <col min="5633" max="5633" width="8.28515625" style="147" customWidth="1"/>
    <col min="5634" max="5634" width="55.42578125" style="147" bestFit="1" customWidth="1"/>
    <col min="5635" max="5635" width="9.5703125" style="147" customWidth="1"/>
    <col min="5636" max="5636" width="9.140625" style="147"/>
    <col min="5637" max="5637" width="12.42578125" style="147" customWidth="1"/>
    <col min="5638" max="5638" width="18.5703125" style="147" customWidth="1"/>
    <col min="5639" max="5639" width="23.5703125" style="147" customWidth="1"/>
    <col min="5640" max="5640" width="17.140625" style="147" customWidth="1"/>
    <col min="5641" max="5641" width="21.140625" style="147" customWidth="1"/>
    <col min="5642" max="5642" width="19.85546875" style="147" customWidth="1"/>
    <col min="5643" max="5643" width="17.5703125" style="147" customWidth="1"/>
    <col min="5644" max="5888" width="9.140625" style="147"/>
    <col min="5889" max="5889" width="8.28515625" style="147" customWidth="1"/>
    <col min="5890" max="5890" width="55.42578125" style="147" bestFit="1" customWidth="1"/>
    <col min="5891" max="5891" width="9.5703125" style="147" customWidth="1"/>
    <col min="5892" max="5892" width="9.140625" style="147"/>
    <col min="5893" max="5893" width="12.42578125" style="147" customWidth="1"/>
    <col min="5894" max="5894" width="18.5703125" style="147" customWidth="1"/>
    <col min="5895" max="5895" width="23.5703125" style="147" customWidth="1"/>
    <col min="5896" max="5896" width="17.140625" style="147" customWidth="1"/>
    <col min="5897" max="5897" width="21.140625" style="147" customWidth="1"/>
    <col min="5898" max="5898" width="19.85546875" style="147" customWidth="1"/>
    <col min="5899" max="5899" width="17.5703125" style="147" customWidth="1"/>
    <col min="5900" max="6144" width="9.140625" style="147"/>
    <col min="6145" max="6145" width="8.28515625" style="147" customWidth="1"/>
    <col min="6146" max="6146" width="55.42578125" style="147" bestFit="1" customWidth="1"/>
    <col min="6147" max="6147" width="9.5703125" style="147" customWidth="1"/>
    <col min="6148" max="6148" width="9.140625" style="147"/>
    <col min="6149" max="6149" width="12.42578125" style="147" customWidth="1"/>
    <col min="6150" max="6150" width="18.5703125" style="147" customWidth="1"/>
    <col min="6151" max="6151" width="23.5703125" style="147" customWidth="1"/>
    <col min="6152" max="6152" width="17.140625" style="147" customWidth="1"/>
    <col min="6153" max="6153" width="21.140625" style="147" customWidth="1"/>
    <col min="6154" max="6154" width="19.85546875" style="147" customWidth="1"/>
    <col min="6155" max="6155" width="17.5703125" style="147" customWidth="1"/>
    <col min="6156" max="6400" width="9.140625" style="147"/>
    <col min="6401" max="6401" width="8.28515625" style="147" customWidth="1"/>
    <col min="6402" max="6402" width="55.42578125" style="147" bestFit="1" customWidth="1"/>
    <col min="6403" max="6403" width="9.5703125" style="147" customWidth="1"/>
    <col min="6404" max="6404" width="9.140625" style="147"/>
    <col min="6405" max="6405" width="12.42578125" style="147" customWidth="1"/>
    <col min="6406" max="6406" width="18.5703125" style="147" customWidth="1"/>
    <col min="6407" max="6407" width="23.5703125" style="147" customWidth="1"/>
    <col min="6408" max="6408" width="17.140625" style="147" customWidth="1"/>
    <col min="6409" max="6409" width="21.140625" style="147" customWidth="1"/>
    <col min="6410" max="6410" width="19.85546875" style="147" customWidth="1"/>
    <col min="6411" max="6411" width="17.5703125" style="147" customWidth="1"/>
    <col min="6412" max="6656" width="9.140625" style="147"/>
    <col min="6657" max="6657" width="8.28515625" style="147" customWidth="1"/>
    <col min="6658" max="6658" width="55.42578125" style="147" bestFit="1" customWidth="1"/>
    <col min="6659" max="6659" width="9.5703125" style="147" customWidth="1"/>
    <col min="6660" max="6660" width="9.140625" style="147"/>
    <col min="6661" max="6661" width="12.42578125" style="147" customWidth="1"/>
    <col min="6662" max="6662" width="18.5703125" style="147" customWidth="1"/>
    <col min="6663" max="6663" width="23.5703125" style="147" customWidth="1"/>
    <col min="6664" max="6664" width="17.140625" style="147" customWidth="1"/>
    <col min="6665" max="6665" width="21.140625" style="147" customWidth="1"/>
    <col min="6666" max="6666" width="19.85546875" style="147" customWidth="1"/>
    <col min="6667" max="6667" width="17.5703125" style="147" customWidth="1"/>
    <col min="6668" max="6912" width="9.140625" style="147"/>
    <col min="6913" max="6913" width="8.28515625" style="147" customWidth="1"/>
    <col min="6914" max="6914" width="55.42578125" style="147" bestFit="1" customWidth="1"/>
    <col min="6915" max="6915" width="9.5703125" style="147" customWidth="1"/>
    <col min="6916" max="6916" width="9.140625" style="147"/>
    <col min="6917" max="6917" width="12.42578125" style="147" customWidth="1"/>
    <col min="6918" max="6918" width="18.5703125" style="147" customWidth="1"/>
    <col min="6919" max="6919" width="23.5703125" style="147" customWidth="1"/>
    <col min="6920" max="6920" width="17.140625" style="147" customWidth="1"/>
    <col min="6921" max="6921" width="21.140625" style="147" customWidth="1"/>
    <col min="6922" max="6922" width="19.85546875" style="147" customWidth="1"/>
    <col min="6923" max="6923" width="17.5703125" style="147" customWidth="1"/>
    <col min="6924" max="7168" width="9.140625" style="147"/>
    <col min="7169" max="7169" width="8.28515625" style="147" customWidth="1"/>
    <col min="7170" max="7170" width="55.42578125" style="147" bestFit="1" customWidth="1"/>
    <col min="7171" max="7171" width="9.5703125" style="147" customWidth="1"/>
    <col min="7172" max="7172" width="9.140625" style="147"/>
    <col min="7173" max="7173" width="12.42578125" style="147" customWidth="1"/>
    <col min="7174" max="7174" width="18.5703125" style="147" customWidth="1"/>
    <col min="7175" max="7175" width="23.5703125" style="147" customWidth="1"/>
    <col min="7176" max="7176" width="17.140625" style="147" customWidth="1"/>
    <col min="7177" max="7177" width="21.140625" style="147" customWidth="1"/>
    <col min="7178" max="7178" width="19.85546875" style="147" customWidth="1"/>
    <col min="7179" max="7179" width="17.5703125" style="147" customWidth="1"/>
    <col min="7180" max="7424" width="9.140625" style="147"/>
    <col min="7425" max="7425" width="8.28515625" style="147" customWidth="1"/>
    <col min="7426" max="7426" width="55.42578125" style="147" bestFit="1" customWidth="1"/>
    <col min="7427" max="7427" width="9.5703125" style="147" customWidth="1"/>
    <col min="7428" max="7428" width="9.140625" style="147"/>
    <col min="7429" max="7429" width="12.42578125" style="147" customWidth="1"/>
    <col min="7430" max="7430" width="18.5703125" style="147" customWidth="1"/>
    <col min="7431" max="7431" width="23.5703125" style="147" customWidth="1"/>
    <col min="7432" max="7432" width="17.140625" style="147" customWidth="1"/>
    <col min="7433" max="7433" width="21.140625" style="147" customWidth="1"/>
    <col min="7434" max="7434" width="19.85546875" style="147" customWidth="1"/>
    <col min="7435" max="7435" width="17.5703125" style="147" customWidth="1"/>
    <col min="7436" max="7680" width="9.140625" style="147"/>
    <col min="7681" max="7681" width="8.28515625" style="147" customWidth="1"/>
    <col min="7682" max="7682" width="55.42578125" style="147" bestFit="1" customWidth="1"/>
    <col min="7683" max="7683" width="9.5703125" style="147" customWidth="1"/>
    <col min="7684" max="7684" width="9.140625" style="147"/>
    <col min="7685" max="7685" width="12.42578125" style="147" customWidth="1"/>
    <col min="7686" max="7686" width="18.5703125" style="147" customWidth="1"/>
    <col min="7687" max="7687" width="23.5703125" style="147" customWidth="1"/>
    <col min="7688" max="7688" width="17.140625" style="147" customWidth="1"/>
    <col min="7689" max="7689" width="21.140625" style="147" customWidth="1"/>
    <col min="7690" max="7690" width="19.85546875" style="147" customWidth="1"/>
    <col min="7691" max="7691" width="17.5703125" style="147" customWidth="1"/>
    <col min="7692" max="7936" width="9.140625" style="147"/>
    <col min="7937" max="7937" width="8.28515625" style="147" customWidth="1"/>
    <col min="7938" max="7938" width="55.42578125" style="147" bestFit="1" customWidth="1"/>
    <col min="7939" max="7939" width="9.5703125" style="147" customWidth="1"/>
    <col min="7940" max="7940" width="9.140625" style="147"/>
    <col min="7941" max="7941" width="12.42578125" style="147" customWidth="1"/>
    <col min="7942" max="7942" width="18.5703125" style="147" customWidth="1"/>
    <col min="7943" max="7943" width="23.5703125" style="147" customWidth="1"/>
    <col min="7944" max="7944" width="17.140625" style="147" customWidth="1"/>
    <col min="7945" max="7945" width="21.140625" style="147" customWidth="1"/>
    <col min="7946" max="7946" width="19.85546875" style="147" customWidth="1"/>
    <col min="7947" max="7947" width="17.5703125" style="147" customWidth="1"/>
    <col min="7948" max="8192" width="9.140625" style="147"/>
    <col min="8193" max="8193" width="8.28515625" style="147" customWidth="1"/>
    <col min="8194" max="8194" width="55.42578125" style="147" bestFit="1" customWidth="1"/>
    <col min="8195" max="8195" width="9.5703125" style="147" customWidth="1"/>
    <col min="8196" max="8196" width="9.140625" style="147"/>
    <col min="8197" max="8197" width="12.42578125" style="147" customWidth="1"/>
    <col min="8198" max="8198" width="18.5703125" style="147" customWidth="1"/>
    <col min="8199" max="8199" width="23.5703125" style="147" customWidth="1"/>
    <col min="8200" max="8200" width="17.140625" style="147" customWidth="1"/>
    <col min="8201" max="8201" width="21.140625" style="147" customWidth="1"/>
    <col min="8202" max="8202" width="19.85546875" style="147" customWidth="1"/>
    <col min="8203" max="8203" width="17.5703125" style="147" customWidth="1"/>
    <col min="8204" max="8448" width="9.140625" style="147"/>
    <col min="8449" max="8449" width="8.28515625" style="147" customWidth="1"/>
    <col min="8450" max="8450" width="55.42578125" style="147" bestFit="1" customWidth="1"/>
    <col min="8451" max="8451" width="9.5703125" style="147" customWidth="1"/>
    <col min="8452" max="8452" width="9.140625" style="147"/>
    <col min="8453" max="8453" width="12.42578125" style="147" customWidth="1"/>
    <col min="8454" max="8454" width="18.5703125" style="147" customWidth="1"/>
    <col min="8455" max="8455" width="23.5703125" style="147" customWidth="1"/>
    <col min="8456" max="8456" width="17.140625" style="147" customWidth="1"/>
    <col min="8457" max="8457" width="21.140625" style="147" customWidth="1"/>
    <col min="8458" max="8458" width="19.85546875" style="147" customWidth="1"/>
    <col min="8459" max="8459" width="17.5703125" style="147" customWidth="1"/>
    <col min="8460" max="8704" width="9.140625" style="147"/>
    <col min="8705" max="8705" width="8.28515625" style="147" customWidth="1"/>
    <col min="8706" max="8706" width="55.42578125" style="147" bestFit="1" customWidth="1"/>
    <col min="8707" max="8707" width="9.5703125" style="147" customWidth="1"/>
    <col min="8708" max="8708" width="9.140625" style="147"/>
    <col min="8709" max="8709" width="12.42578125" style="147" customWidth="1"/>
    <col min="8710" max="8710" width="18.5703125" style="147" customWidth="1"/>
    <col min="8711" max="8711" width="23.5703125" style="147" customWidth="1"/>
    <col min="8712" max="8712" width="17.140625" style="147" customWidth="1"/>
    <col min="8713" max="8713" width="21.140625" style="147" customWidth="1"/>
    <col min="8714" max="8714" width="19.85546875" style="147" customWidth="1"/>
    <col min="8715" max="8715" width="17.5703125" style="147" customWidth="1"/>
    <col min="8716" max="8960" width="9.140625" style="147"/>
    <col min="8961" max="8961" width="8.28515625" style="147" customWidth="1"/>
    <col min="8962" max="8962" width="55.42578125" style="147" bestFit="1" customWidth="1"/>
    <col min="8963" max="8963" width="9.5703125" style="147" customWidth="1"/>
    <col min="8964" max="8964" width="9.140625" style="147"/>
    <col min="8965" max="8965" width="12.42578125" style="147" customWidth="1"/>
    <col min="8966" max="8966" width="18.5703125" style="147" customWidth="1"/>
    <col min="8967" max="8967" width="23.5703125" style="147" customWidth="1"/>
    <col min="8968" max="8968" width="17.140625" style="147" customWidth="1"/>
    <col min="8969" max="8969" width="21.140625" style="147" customWidth="1"/>
    <col min="8970" max="8970" width="19.85546875" style="147" customWidth="1"/>
    <col min="8971" max="8971" width="17.5703125" style="147" customWidth="1"/>
    <col min="8972" max="9216" width="9.140625" style="147"/>
    <col min="9217" max="9217" width="8.28515625" style="147" customWidth="1"/>
    <col min="9218" max="9218" width="55.42578125" style="147" bestFit="1" customWidth="1"/>
    <col min="9219" max="9219" width="9.5703125" style="147" customWidth="1"/>
    <col min="9220" max="9220" width="9.140625" style="147"/>
    <col min="9221" max="9221" width="12.42578125" style="147" customWidth="1"/>
    <col min="9222" max="9222" width="18.5703125" style="147" customWidth="1"/>
    <col min="9223" max="9223" width="23.5703125" style="147" customWidth="1"/>
    <col min="9224" max="9224" width="17.140625" style="147" customWidth="1"/>
    <col min="9225" max="9225" width="21.140625" style="147" customWidth="1"/>
    <col min="9226" max="9226" width="19.85546875" style="147" customWidth="1"/>
    <col min="9227" max="9227" width="17.5703125" style="147" customWidth="1"/>
    <col min="9228" max="9472" width="9.140625" style="147"/>
    <col min="9473" max="9473" width="8.28515625" style="147" customWidth="1"/>
    <col min="9474" max="9474" width="55.42578125" style="147" bestFit="1" customWidth="1"/>
    <col min="9475" max="9475" width="9.5703125" style="147" customWidth="1"/>
    <col min="9476" max="9476" width="9.140625" style="147"/>
    <col min="9477" max="9477" width="12.42578125" style="147" customWidth="1"/>
    <col min="9478" max="9478" width="18.5703125" style="147" customWidth="1"/>
    <col min="9479" max="9479" width="23.5703125" style="147" customWidth="1"/>
    <col min="9480" max="9480" width="17.140625" style="147" customWidth="1"/>
    <col min="9481" max="9481" width="21.140625" style="147" customWidth="1"/>
    <col min="9482" max="9482" width="19.85546875" style="147" customWidth="1"/>
    <col min="9483" max="9483" width="17.5703125" style="147" customWidth="1"/>
    <col min="9484" max="9728" width="9.140625" style="147"/>
    <col min="9729" max="9729" width="8.28515625" style="147" customWidth="1"/>
    <col min="9730" max="9730" width="55.42578125" style="147" bestFit="1" customWidth="1"/>
    <col min="9731" max="9731" width="9.5703125" style="147" customWidth="1"/>
    <col min="9732" max="9732" width="9.140625" style="147"/>
    <col min="9733" max="9733" width="12.42578125" style="147" customWidth="1"/>
    <col min="9734" max="9734" width="18.5703125" style="147" customWidth="1"/>
    <col min="9735" max="9735" width="23.5703125" style="147" customWidth="1"/>
    <col min="9736" max="9736" width="17.140625" style="147" customWidth="1"/>
    <col min="9737" max="9737" width="21.140625" style="147" customWidth="1"/>
    <col min="9738" max="9738" width="19.85546875" style="147" customWidth="1"/>
    <col min="9739" max="9739" width="17.5703125" style="147" customWidth="1"/>
    <col min="9740" max="9984" width="9.140625" style="147"/>
    <col min="9985" max="9985" width="8.28515625" style="147" customWidth="1"/>
    <col min="9986" max="9986" width="55.42578125" style="147" bestFit="1" customWidth="1"/>
    <col min="9987" max="9987" width="9.5703125" style="147" customWidth="1"/>
    <col min="9988" max="9988" width="9.140625" style="147"/>
    <col min="9989" max="9989" width="12.42578125" style="147" customWidth="1"/>
    <col min="9990" max="9990" width="18.5703125" style="147" customWidth="1"/>
    <col min="9991" max="9991" width="23.5703125" style="147" customWidth="1"/>
    <col min="9992" max="9992" width="17.140625" style="147" customWidth="1"/>
    <col min="9993" max="9993" width="21.140625" style="147" customWidth="1"/>
    <col min="9994" max="9994" width="19.85546875" style="147" customWidth="1"/>
    <col min="9995" max="9995" width="17.5703125" style="147" customWidth="1"/>
    <col min="9996" max="10240" width="9.140625" style="147"/>
    <col min="10241" max="10241" width="8.28515625" style="147" customWidth="1"/>
    <col min="10242" max="10242" width="55.42578125" style="147" bestFit="1" customWidth="1"/>
    <col min="10243" max="10243" width="9.5703125" style="147" customWidth="1"/>
    <col min="10244" max="10244" width="9.140625" style="147"/>
    <col min="10245" max="10245" width="12.42578125" style="147" customWidth="1"/>
    <col min="10246" max="10246" width="18.5703125" style="147" customWidth="1"/>
    <col min="10247" max="10247" width="23.5703125" style="147" customWidth="1"/>
    <col min="10248" max="10248" width="17.140625" style="147" customWidth="1"/>
    <col min="10249" max="10249" width="21.140625" style="147" customWidth="1"/>
    <col min="10250" max="10250" width="19.85546875" style="147" customWidth="1"/>
    <col min="10251" max="10251" width="17.5703125" style="147" customWidth="1"/>
    <col min="10252" max="10496" width="9.140625" style="147"/>
    <col min="10497" max="10497" width="8.28515625" style="147" customWidth="1"/>
    <col min="10498" max="10498" width="55.42578125" style="147" bestFit="1" customWidth="1"/>
    <col min="10499" max="10499" width="9.5703125" style="147" customWidth="1"/>
    <col min="10500" max="10500" width="9.140625" style="147"/>
    <col min="10501" max="10501" width="12.42578125" style="147" customWidth="1"/>
    <col min="10502" max="10502" width="18.5703125" style="147" customWidth="1"/>
    <col min="10503" max="10503" width="23.5703125" style="147" customWidth="1"/>
    <col min="10504" max="10504" width="17.140625" style="147" customWidth="1"/>
    <col min="10505" max="10505" width="21.140625" style="147" customWidth="1"/>
    <col min="10506" max="10506" width="19.85546875" style="147" customWidth="1"/>
    <col min="10507" max="10507" width="17.5703125" style="147" customWidth="1"/>
    <col min="10508" max="10752" width="9.140625" style="147"/>
    <col min="10753" max="10753" width="8.28515625" style="147" customWidth="1"/>
    <col min="10754" max="10754" width="55.42578125" style="147" bestFit="1" customWidth="1"/>
    <col min="10755" max="10755" width="9.5703125" style="147" customWidth="1"/>
    <col min="10756" max="10756" width="9.140625" style="147"/>
    <col min="10757" max="10757" width="12.42578125" style="147" customWidth="1"/>
    <col min="10758" max="10758" width="18.5703125" style="147" customWidth="1"/>
    <col min="10759" max="10759" width="23.5703125" style="147" customWidth="1"/>
    <col min="10760" max="10760" width="17.140625" style="147" customWidth="1"/>
    <col min="10761" max="10761" width="21.140625" style="147" customWidth="1"/>
    <col min="10762" max="10762" width="19.85546875" style="147" customWidth="1"/>
    <col min="10763" max="10763" width="17.5703125" style="147" customWidth="1"/>
    <col min="10764" max="11008" width="9.140625" style="147"/>
    <col min="11009" max="11009" width="8.28515625" style="147" customWidth="1"/>
    <col min="11010" max="11010" width="55.42578125" style="147" bestFit="1" customWidth="1"/>
    <col min="11011" max="11011" width="9.5703125" style="147" customWidth="1"/>
    <col min="11012" max="11012" width="9.140625" style="147"/>
    <col min="11013" max="11013" width="12.42578125" style="147" customWidth="1"/>
    <col min="11014" max="11014" width="18.5703125" style="147" customWidth="1"/>
    <col min="11015" max="11015" width="23.5703125" style="147" customWidth="1"/>
    <col min="11016" max="11016" width="17.140625" style="147" customWidth="1"/>
    <col min="11017" max="11017" width="21.140625" style="147" customWidth="1"/>
    <col min="11018" max="11018" width="19.85546875" style="147" customWidth="1"/>
    <col min="11019" max="11019" width="17.5703125" style="147" customWidth="1"/>
    <col min="11020" max="11264" width="9.140625" style="147"/>
    <col min="11265" max="11265" width="8.28515625" style="147" customWidth="1"/>
    <col min="11266" max="11266" width="55.42578125" style="147" bestFit="1" customWidth="1"/>
    <col min="11267" max="11267" width="9.5703125" style="147" customWidth="1"/>
    <col min="11268" max="11268" width="9.140625" style="147"/>
    <col min="11269" max="11269" width="12.42578125" style="147" customWidth="1"/>
    <col min="11270" max="11270" width="18.5703125" style="147" customWidth="1"/>
    <col min="11271" max="11271" width="23.5703125" style="147" customWidth="1"/>
    <col min="11272" max="11272" width="17.140625" style="147" customWidth="1"/>
    <col min="11273" max="11273" width="21.140625" style="147" customWidth="1"/>
    <col min="11274" max="11274" width="19.85546875" style="147" customWidth="1"/>
    <col min="11275" max="11275" width="17.5703125" style="147" customWidth="1"/>
    <col min="11276" max="11520" width="9.140625" style="147"/>
    <col min="11521" max="11521" width="8.28515625" style="147" customWidth="1"/>
    <col min="11522" max="11522" width="55.42578125" style="147" bestFit="1" customWidth="1"/>
    <col min="11523" max="11523" width="9.5703125" style="147" customWidth="1"/>
    <col min="11524" max="11524" width="9.140625" style="147"/>
    <col min="11525" max="11525" width="12.42578125" style="147" customWidth="1"/>
    <col min="11526" max="11526" width="18.5703125" style="147" customWidth="1"/>
    <col min="11527" max="11527" width="23.5703125" style="147" customWidth="1"/>
    <col min="11528" max="11528" width="17.140625" style="147" customWidth="1"/>
    <col min="11529" max="11529" width="21.140625" style="147" customWidth="1"/>
    <col min="11530" max="11530" width="19.85546875" style="147" customWidth="1"/>
    <col min="11531" max="11531" width="17.5703125" style="147" customWidth="1"/>
    <col min="11532" max="11776" width="9.140625" style="147"/>
    <col min="11777" max="11777" width="8.28515625" style="147" customWidth="1"/>
    <col min="11778" max="11778" width="55.42578125" style="147" bestFit="1" customWidth="1"/>
    <col min="11779" max="11779" width="9.5703125" style="147" customWidth="1"/>
    <col min="11780" max="11780" width="9.140625" style="147"/>
    <col min="11781" max="11781" width="12.42578125" style="147" customWidth="1"/>
    <col min="11782" max="11782" width="18.5703125" style="147" customWidth="1"/>
    <col min="11783" max="11783" width="23.5703125" style="147" customWidth="1"/>
    <col min="11784" max="11784" width="17.140625" style="147" customWidth="1"/>
    <col min="11785" max="11785" width="21.140625" style="147" customWidth="1"/>
    <col min="11786" max="11786" width="19.85546875" style="147" customWidth="1"/>
    <col min="11787" max="11787" width="17.5703125" style="147" customWidth="1"/>
    <col min="11788" max="12032" width="9.140625" style="147"/>
    <col min="12033" max="12033" width="8.28515625" style="147" customWidth="1"/>
    <col min="12034" max="12034" width="55.42578125" style="147" bestFit="1" customWidth="1"/>
    <col min="12035" max="12035" width="9.5703125" style="147" customWidth="1"/>
    <col min="12036" max="12036" width="9.140625" style="147"/>
    <col min="12037" max="12037" width="12.42578125" style="147" customWidth="1"/>
    <col min="12038" max="12038" width="18.5703125" style="147" customWidth="1"/>
    <col min="12039" max="12039" width="23.5703125" style="147" customWidth="1"/>
    <col min="12040" max="12040" width="17.140625" style="147" customWidth="1"/>
    <col min="12041" max="12041" width="21.140625" style="147" customWidth="1"/>
    <col min="12042" max="12042" width="19.85546875" style="147" customWidth="1"/>
    <col min="12043" max="12043" width="17.5703125" style="147" customWidth="1"/>
    <col min="12044" max="12288" width="9.140625" style="147"/>
    <col min="12289" max="12289" width="8.28515625" style="147" customWidth="1"/>
    <col min="12290" max="12290" width="55.42578125" style="147" bestFit="1" customWidth="1"/>
    <col min="12291" max="12291" width="9.5703125" style="147" customWidth="1"/>
    <col min="12292" max="12292" width="9.140625" style="147"/>
    <col min="12293" max="12293" width="12.42578125" style="147" customWidth="1"/>
    <col min="12294" max="12294" width="18.5703125" style="147" customWidth="1"/>
    <col min="12295" max="12295" width="23.5703125" style="147" customWidth="1"/>
    <col min="12296" max="12296" width="17.140625" style="147" customWidth="1"/>
    <col min="12297" max="12297" width="21.140625" style="147" customWidth="1"/>
    <col min="12298" max="12298" width="19.85546875" style="147" customWidth="1"/>
    <col min="12299" max="12299" width="17.5703125" style="147" customWidth="1"/>
    <col min="12300" max="12544" width="9.140625" style="147"/>
    <col min="12545" max="12545" width="8.28515625" style="147" customWidth="1"/>
    <col min="12546" max="12546" width="55.42578125" style="147" bestFit="1" customWidth="1"/>
    <col min="12547" max="12547" width="9.5703125" style="147" customWidth="1"/>
    <col min="12548" max="12548" width="9.140625" style="147"/>
    <col min="12549" max="12549" width="12.42578125" style="147" customWidth="1"/>
    <col min="12550" max="12550" width="18.5703125" style="147" customWidth="1"/>
    <col min="12551" max="12551" width="23.5703125" style="147" customWidth="1"/>
    <col min="12552" max="12552" width="17.140625" style="147" customWidth="1"/>
    <col min="12553" max="12553" width="21.140625" style="147" customWidth="1"/>
    <col min="12554" max="12554" width="19.85546875" style="147" customWidth="1"/>
    <col min="12555" max="12555" width="17.5703125" style="147" customWidth="1"/>
    <col min="12556" max="12800" width="9.140625" style="147"/>
    <col min="12801" max="12801" width="8.28515625" style="147" customWidth="1"/>
    <col min="12802" max="12802" width="55.42578125" style="147" bestFit="1" customWidth="1"/>
    <col min="12803" max="12803" width="9.5703125" style="147" customWidth="1"/>
    <col min="12804" max="12804" width="9.140625" style="147"/>
    <col min="12805" max="12805" width="12.42578125" style="147" customWidth="1"/>
    <col min="12806" max="12806" width="18.5703125" style="147" customWidth="1"/>
    <col min="12807" max="12807" width="23.5703125" style="147" customWidth="1"/>
    <col min="12808" max="12808" width="17.140625" style="147" customWidth="1"/>
    <col min="12809" max="12809" width="21.140625" style="147" customWidth="1"/>
    <col min="12810" max="12810" width="19.85546875" style="147" customWidth="1"/>
    <col min="12811" max="12811" width="17.5703125" style="147" customWidth="1"/>
    <col min="12812" max="13056" width="9.140625" style="147"/>
    <col min="13057" max="13057" width="8.28515625" style="147" customWidth="1"/>
    <col min="13058" max="13058" width="55.42578125" style="147" bestFit="1" customWidth="1"/>
    <col min="13059" max="13059" width="9.5703125" style="147" customWidth="1"/>
    <col min="13060" max="13060" width="9.140625" style="147"/>
    <col min="13061" max="13061" width="12.42578125" style="147" customWidth="1"/>
    <col min="13062" max="13062" width="18.5703125" style="147" customWidth="1"/>
    <col min="13063" max="13063" width="23.5703125" style="147" customWidth="1"/>
    <col min="13064" max="13064" width="17.140625" style="147" customWidth="1"/>
    <col min="13065" max="13065" width="21.140625" style="147" customWidth="1"/>
    <col min="13066" max="13066" width="19.85546875" style="147" customWidth="1"/>
    <col min="13067" max="13067" width="17.5703125" style="147" customWidth="1"/>
    <col min="13068" max="13312" width="9.140625" style="147"/>
    <col min="13313" max="13313" width="8.28515625" style="147" customWidth="1"/>
    <col min="13314" max="13314" width="55.42578125" style="147" bestFit="1" customWidth="1"/>
    <col min="13315" max="13315" width="9.5703125" style="147" customWidth="1"/>
    <col min="13316" max="13316" width="9.140625" style="147"/>
    <col min="13317" max="13317" width="12.42578125" style="147" customWidth="1"/>
    <col min="13318" max="13318" width="18.5703125" style="147" customWidth="1"/>
    <col min="13319" max="13319" width="23.5703125" style="147" customWidth="1"/>
    <col min="13320" max="13320" width="17.140625" style="147" customWidth="1"/>
    <col min="13321" max="13321" width="21.140625" style="147" customWidth="1"/>
    <col min="13322" max="13322" width="19.85546875" style="147" customWidth="1"/>
    <col min="13323" max="13323" width="17.5703125" style="147" customWidth="1"/>
    <col min="13324" max="13568" width="9.140625" style="147"/>
    <col min="13569" max="13569" width="8.28515625" style="147" customWidth="1"/>
    <col min="13570" max="13570" width="55.42578125" style="147" bestFit="1" customWidth="1"/>
    <col min="13571" max="13571" width="9.5703125" style="147" customWidth="1"/>
    <col min="13572" max="13572" width="9.140625" style="147"/>
    <col min="13573" max="13573" width="12.42578125" style="147" customWidth="1"/>
    <col min="13574" max="13574" width="18.5703125" style="147" customWidth="1"/>
    <col min="13575" max="13575" width="23.5703125" style="147" customWidth="1"/>
    <col min="13576" max="13576" width="17.140625" style="147" customWidth="1"/>
    <col min="13577" max="13577" width="21.140625" style="147" customWidth="1"/>
    <col min="13578" max="13578" width="19.85546875" style="147" customWidth="1"/>
    <col min="13579" max="13579" width="17.5703125" style="147" customWidth="1"/>
    <col min="13580" max="13824" width="9.140625" style="147"/>
    <col min="13825" max="13825" width="8.28515625" style="147" customWidth="1"/>
    <col min="13826" max="13826" width="55.42578125" style="147" bestFit="1" customWidth="1"/>
    <col min="13827" max="13827" width="9.5703125" style="147" customWidth="1"/>
    <col min="13828" max="13828" width="9.140625" style="147"/>
    <col min="13829" max="13829" width="12.42578125" style="147" customWidth="1"/>
    <col min="13830" max="13830" width="18.5703125" style="147" customWidth="1"/>
    <col min="13831" max="13831" width="23.5703125" style="147" customWidth="1"/>
    <col min="13832" max="13832" width="17.140625" style="147" customWidth="1"/>
    <col min="13833" max="13833" width="21.140625" style="147" customWidth="1"/>
    <col min="13834" max="13834" width="19.85546875" style="147" customWidth="1"/>
    <col min="13835" max="13835" width="17.5703125" style="147" customWidth="1"/>
    <col min="13836" max="14080" width="9.140625" style="147"/>
    <col min="14081" max="14081" width="8.28515625" style="147" customWidth="1"/>
    <col min="14082" max="14082" width="55.42578125" style="147" bestFit="1" customWidth="1"/>
    <col min="14083" max="14083" width="9.5703125" style="147" customWidth="1"/>
    <col min="14084" max="14084" width="9.140625" style="147"/>
    <col min="14085" max="14085" width="12.42578125" style="147" customWidth="1"/>
    <col min="14086" max="14086" width="18.5703125" style="147" customWidth="1"/>
    <col min="14087" max="14087" width="23.5703125" style="147" customWidth="1"/>
    <col min="14088" max="14088" width="17.140625" style="147" customWidth="1"/>
    <col min="14089" max="14089" width="21.140625" style="147" customWidth="1"/>
    <col min="14090" max="14090" width="19.85546875" style="147" customWidth="1"/>
    <col min="14091" max="14091" width="17.5703125" style="147" customWidth="1"/>
    <col min="14092" max="14336" width="9.140625" style="147"/>
    <col min="14337" max="14337" width="8.28515625" style="147" customWidth="1"/>
    <col min="14338" max="14338" width="55.42578125" style="147" bestFit="1" customWidth="1"/>
    <col min="14339" max="14339" width="9.5703125" style="147" customWidth="1"/>
    <col min="14340" max="14340" width="9.140625" style="147"/>
    <col min="14341" max="14341" width="12.42578125" style="147" customWidth="1"/>
    <col min="14342" max="14342" width="18.5703125" style="147" customWidth="1"/>
    <col min="14343" max="14343" width="23.5703125" style="147" customWidth="1"/>
    <col min="14344" max="14344" width="17.140625" style="147" customWidth="1"/>
    <col min="14345" max="14345" width="21.140625" style="147" customWidth="1"/>
    <col min="14346" max="14346" width="19.85546875" style="147" customWidth="1"/>
    <col min="14347" max="14347" width="17.5703125" style="147" customWidth="1"/>
    <col min="14348" max="14592" width="9.140625" style="147"/>
    <col min="14593" max="14593" width="8.28515625" style="147" customWidth="1"/>
    <col min="14594" max="14594" width="55.42578125" style="147" bestFit="1" customWidth="1"/>
    <col min="14595" max="14595" width="9.5703125" style="147" customWidth="1"/>
    <col min="14596" max="14596" width="9.140625" style="147"/>
    <col min="14597" max="14597" width="12.42578125" style="147" customWidth="1"/>
    <col min="14598" max="14598" width="18.5703125" style="147" customWidth="1"/>
    <col min="14599" max="14599" width="23.5703125" style="147" customWidth="1"/>
    <col min="14600" max="14600" width="17.140625" style="147" customWidth="1"/>
    <col min="14601" max="14601" width="21.140625" style="147" customWidth="1"/>
    <col min="14602" max="14602" width="19.85546875" style="147" customWidth="1"/>
    <col min="14603" max="14603" width="17.5703125" style="147" customWidth="1"/>
    <col min="14604" max="14848" width="9.140625" style="147"/>
    <col min="14849" max="14849" width="8.28515625" style="147" customWidth="1"/>
    <col min="14850" max="14850" width="55.42578125" style="147" bestFit="1" customWidth="1"/>
    <col min="14851" max="14851" width="9.5703125" style="147" customWidth="1"/>
    <col min="14852" max="14852" width="9.140625" style="147"/>
    <col min="14853" max="14853" width="12.42578125" style="147" customWidth="1"/>
    <col min="14854" max="14854" width="18.5703125" style="147" customWidth="1"/>
    <col min="14855" max="14855" width="23.5703125" style="147" customWidth="1"/>
    <col min="14856" max="14856" width="17.140625" style="147" customWidth="1"/>
    <col min="14857" max="14857" width="21.140625" style="147" customWidth="1"/>
    <col min="14858" max="14858" width="19.85546875" style="147" customWidth="1"/>
    <col min="14859" max="14859" width="17.5703125" style="147" customWidth="1"/>
    <col min="14860" max="15104" width="9.140625" style="147"/>
    <col min="15105" max="15105" width="8.28515625" style="147" customWidth="1"/>
    <col min="15106" max="15106" width="55.42578125" style="147" bestFit="1" customWidth="1"/>
    <col min="15107" max="15107" width="9.5703125" style="147" customWidth="1"/>
    <col min="15108" max="15108" width="9.140625" style="147"/>
    <col min="15109" max="15109" width="12.42578125" style="147" customWidth="1"/>
    <col min="15110" max="15110" width="18.5703125" style="147" customWidth="1"/>
    <col min="15111" max="15111" width="23.5703125" style="147" customWidth="1"/>
    <col min="15112" max="15112" width="17.140625" style="147" customWidth="1"/>
    <col min="15113" max="15113" width="21.140625" style="147" customWidth="1"/>
    <col min="15114" max="15114" width="19.85546875" style="147" customWidth="1"/>
    <col min="15115" max="15115" width="17.5703125" style="147" customWidth="1"/>
    <col min="15116" max="15360" width="9.140625" style="147"/>
    <col min="15361" max="15361" width="8.28515625" style="147" customWidth="1"/>
    <col min="15362" max="15362" width="55.42578125" style="147" bestFit="1" customWidth="1"/>
    <col min="15363" max="15363" width="9.5703125" style="147" customWidth="1"/>
    <col min="15364" max="15364" width="9.140625" style="147"/>
    <col min="15365" max="15365" width="12.42578125" style="147" customWidth="1"/>
    <col min="15366" max="15366" width="18.5703125" style="147" customWidth="1"/>
    <col min="15367" max="15367" width="23.5703125" style="147" customWidth="1"/>
    <col min="15368" max="15368" width="17.140625" style="147" customWidth="1"/>
    <col min="15369" max="15369" width="21.140625" style="147" customWidth="1"/>
    <col min="15370" max="15370" width="19.85546875" style="147" customWidth="1"/>
    <col min="15371" max="15371" width="17.5703125" style="147" customWidth="1"/>
    <col min="15372" max="15616" width="9.140625" style="147"/>
    <col min="15617" max="15617" width="8.28515625" style="147" customWidth="1"/>
    <col min="15618" max="15618" width="55.42578125" style="147" bestFit="1" customWidth="1"/>
    <col min="15619" max="15619" width="9.5703125" style="147" customWidth="1"/>
    <col min="15620" max="15620" width="9.140625" style="147"/>
    <col min="15621" max="15621" width="12.42578125" style="147" customWidth="1"/>
    <col min="15622" max="15622" width="18.5703125" style="147" customWidth="1"/>
    <col min="15623" max="15623" width="23.5703125" style="147" customWidth="1"/>
    <col min="15624" max="15624" width="17.140625" style="147" customWidth="1"/>
    <col min="15625" max="15625" width="21.140625" style="147" customWidth="1"/>
    <col min="15626" max="15626" width="19.85546875" style="147" customWidth="1"/>
    <col min="15627" max="15627" width="17.5703125" style="147" customWidth="1"/>
    <col min="15628" max="15872" width="9.140625" style="147"/>
    <col min="15873" max="15873" width="8.28515625" style="147" customWidth="1"/>
    <col min="15874" max="15874" width="55.42578125" style="147" bestFit="1" customWidth="1"/>
    <col min="15875" max="15875" width="9.5703125" style="147" customWidth="1"/>
    <col min="15876" max="15876" width="9.140625" style="147"/>
    <col min="15877" max="15877" width="12.42578125" style="147" customWidth="1"/>
    <col min="15878" max="15878" width="18.5703125" style="147" customWidth="1"/>
    <col min="15879" max="15879" width="23.5703125" style="147" customWidth="1"/>
    <col min="15880" max="15880" width="17.140625" style="147" customWidth="1"/>
    <col min="15881" max="15881" width="21.140625" style="147" customWidth="1"/>
    <col min="15882" max="15882" width="19.85546875" style="147" customWidth="1"/>
    <col min="15883" max="15883" width="17.5703125" style="147" customWidth="1"/>
    <col min="15884" max="16128" width="9.140625" style="147"/>
    <col min="16129" max="16129" width="8.28515625" style="147" customWidth="1"/>
    <col min="16130" max="16130" width="55.42578125" style="147" bestFit="1" customWidth="1"/>
    <col min="16131" max="16131" width="9.5703125" style="147" customWidth="1"/>
    <col min="16132" max="16132" width="9.140625" style="147"/>
    <col min="16133" max="16133" width="12.42578125" style="147" customWidth="1"/>
    <col min="16134" max="16134" width="18.5703125" style="147" customWidth="1"/>
    <col min="16135" max="16135" width="23.5703125" style="147" customWidth="1"/>
    <col min="16136" max="16136" width="17.140625" style="147" customWidth="1"/>
    <col min="16137" max="16137" width="21.140625" style="147" customWidth="1"/>
    <col min="16138" max="16138" width="19.85546875" style="147" customWidth="1"/>
    <col min="16139" max="16139" width="17.5703125" style="147" customWidth="1"/>
    <col min="16140" max="16384" width="9.140625" style="147"/>
  </cols>
  <sheetData>
    <row r="1" spans="1:11" ht="18" customHeight="1">
      <c r="C1" s="148"/>
      <c r="D1" s="149"/>
      <c r="E1" s="148"/>
      <c r="F1" s="148"/>
      <c r="G1" s="148"/>
      <c r="H1" s="148"/>
      <c r="I1" s="148"/>
      <c r="J1" s="148"/>
      <c r="K1" s="148"/>
    </row>
    <row r="2" spans="1:11" ht="18" customHeight="1">
      <c r="D2" s="910" t="s">
        <v>713</v>
      </c>
      <c r="E2" s="911"/>
      <c r="F2" s="911"/>
      <c r="G2" s="911"/>
      <c r="H2" s="911"/>
    </row>
    <row r="3" spans="1:11" ht="18" customHeight="1">
      <c r="B3" s="150" t="s">
        <v>0</v>
      </c>
    </row>
    <row r="5" spans="1:11" ht="18" customHeight="1">
      <c r="B5" s="151" t="s">
        <v>40</v>
      </c>
      <c r="C5" s="912" t="s">
        <v>836</v>
      </c>
      <c r="D5" s="918"/>
      <c r="E5" s="918"/>
      <c r="F5" s="918"/>
      <c r="G5" s="919"/>
    </row>
    <row r="6" spans="1:11" ht="18" customHeight="1">
      <c r="B6" s="151" t="s">
        <v>3</v>
      </c>
      <c r="C6" s="929">
        <v>60</v>
      </c>
      <c r="D6" s="921"/>
      <c r="E6" s="921"/>
      <c r="F6" s="921"/>
      <c r="G6" s="922"/>
    </row>
    <row r="7" spans="1:11" ht="18" customHeight="1">
      <c r="B7" s="151" t="s">
        <v>4</v>
      </c>
      <c r="C7" s="930">
        <v>433</v>
      </c>
      <c r="D7" s="924"/>
      <c r="E7" s="924"/>
      <c r="F7" s="924"/>
      <c r="G7" s="925"/>
    </row>
    <row r="9" spans="1:11" ht="18" customHeight="1">
      <c r="B9" s="151" t="s">
        <v>1</v>
      </c>
      <c r="C9" s="912" t="s">
        <v>418</v>
      </c>
      <c r="D9" s="918"/>
      <c r="E9" s="918"/>
      <c r="F9" s="918"/>
      <c r="G9" s="919"/>
    </row>
    <row r="10" spans="1:11" ht="18" customHeight="1">
      <c r="B10" s="151" t="s">
        <v>2</v>
      </c>
      <c r="C10" s="926" t="s">
        <v>837</v>
      </c>
      <c r="D10" s="927"/>
      <c r="E10" s="927"/>
      <c r="F10" s="927"/>
      <c r="G10" s="928"/>
    </row>
    <row r="11" spans="1:11" ht="18" customHeight="1">
      <c r="B11" s="151" t="s">
        <v>32</v>
      </c>
      <c r="C11" s="912" t="s">
        <v>419</v>
      </c>
      <c r="D11" s="913"/>
      <c r="E11" s="913"/>
      <c r="F11" s="913"/>
      <c r="G11" s="913"/>
    </row>
    <row r="12" spans="1:11" ht="18" customHeight="1">
      <c r="B12" s="151"/>
      <c r="C12" s="151"/>
      <c r="D12" s="151"/>
      <c r="E12" s="151"/>
      <c r="F12" s="151"/>
      <c r="G12" s="151"/>
    </row>
    <row r="13" spans="1:11" ht="24.6" customHeight="1">
      <c r="B13" s="914"/>
      <c r="C13" s="915"/>
      <c r="D13" s="915"/>
      <c r="E13" s="915"/>
      <c r="F13" s="915"/>
      <c r="G13" s="915"/>
      <c r="H13" s="916"/>
      <c r="I13" s="148"/>
    </row>
    <row r="14" spans="1:11" ht="18" customHeight="1">
      <c r="B14" s="152"/>
    </row>
    <row r="15" spans="1:11" ht="18" customHeight="1">
      <c r="B15" s="152"/>
    </row>
    <row r="16" spans="1:11" ht="45" customHeight="1">
      <c r="A16" s="149" t="s">
        <v>181</v>
      </c>
      <c r="B16" s="148"/>
      <c r="C16" s="148"/>
      <c r="D16" s="148"/>
      <c r="E16" s="148"/>
      <c r="F16" s="153" t="s">
        <v>9</v>
      </c>
      <c r="G16" s="153" t="s">
        <v>37</v>
      </c>
      <c r="H16" s="153" t="s">
        <v>29</v>
      </c>
      <c r="I16" s="153" t="s">
        <v>30</v>
      </c>
      <c r="J16" s="153" t="s">
        <v>33</v>
      </c>
      <c r="K16" s="153" t="s">
        <v>34</v>
      </c>
    </row>
    <row r="17" spans="1:11" ht="18" customHeight="1">
      <c r="A17" s="154" t="s">
        <v>184</v>
      </c>
      <c r="B17" s="150" t="s">
        <v>182</v>
      </c>
    </row>
    <row r="18" spans="1:11" ht="18" customHeight="1">
      <c r="A18" s="151" t="s">
        <v>185</v>
      </c>
      <c r="B18" s="155" t="s">
        <v>183</v>
      </c>
      <c r="F18" s="156" t="s">
        <v>73</v>
      </c>
      <c r="G18" s="156" t="s">
        <v>73</v>
      </c>
      <c r="H18" s="157">
        <v>1148312</v>
      </c>
      <c r="I18" s="158">
        <v>0</v>
      </c>
      <c r="J18" s="157">
        <v>981950</v>
      </c>
      <c r="K18" s="159">
        <f>(H18+I18)-J18</f>
        <v>166362</v>
      </c>
    </row>
    <row r="19" spans="1:11" ht="45" customHeight="1">
      <c r="A19" s="149" t="s">
        <v>8</v>
      </c>
      <c r="B19" s="148"/>
      <c r="C19" s="148"/>
      <c r="D19" s="148"/>
      <c r="E19" s="148"/>
      <c r="F19" s="153" t="s">
        <v>9</v>
      </c>
      <c r="G19" s="153" t="s">
        <v>37</v>
      </c>
      <c r="H19" s="153" t="s">
        <v>29</v>
      </c>
      <c r="I19" s="153" t="s">
        <v>30</v>
      </c>
      <c r="J19" s="153" t="s">
        <v>33</v>
      </c>
      <c r="K19" s="153" t="s">
        <v>34</v>
      </c>
    </row>
    <row r="20" spans="1:11" ht="18" customHeight="1">
      <c r="A20" s="154" t="s">
        <v>74</v>
      </c>
      <c r="B20" s="150" t="s">
        <v>41</v>
      </c>
    </row>
    <row r="21" spans="1:11" ht="18" customHeight="1">
      <c r="A21" s="151" t="s">
        <v>75</v>
      </c>
      <c r="B21" s="155" t="s">
        <v>42</v>
      </c>
      <c r="F21" s="156">
        <v>131</v>
      </c>
      <c r="G21" s="156">
        <v>120</v>
      </c>
      <c r="H21" s="157">
        <f>+F21*45</f>
        <v>5895</v>
      </c>
      <c r="I21" s="158">
        <f>+H21*0.31</f>
        <v>1827.45</v>
      </c>
      <c r="J21" s="157"/>
      <c r="K21" s="159">
        <f t="shared" ref="K21:K34" si="0">(H21+I21)-J21</f>
        <v>7722.45</v>
      </c>
    </row>
    <row r="22" spans="1:11" ht="18" customHeight="1">
      <c r="A22" s="151" t="s">
        <v>76</v>
      </c>
      <c r="B22" s="147" t="s">
        <v>6</v>
      </c>
      <c r="F22" s="156"/>
      <c r="G22" s="156"/>
      <c r="H22" s="157"/>
      <c r="I22" s="158">
        <f t="shared" ref="I22:I34" si="1">H22*F$114</f>
        <v>0</v>
      </c>
      <c r="J22" s="157"/>
      <c r="K22" s="159">
        <f t="shared" si="0"/>
        <v>0</v>
      </c>
    </row>
    <row r="23" spans="1:11" ht="18" customHeight="1">
      <c r="A23" s="151" t="s">
        <v>77</v>
      </c>
      <c r="B23" s="147" t="s">
        <v>43</v>
      </c>
      <c r="F23" s="156"/>
      <c r="G23" s="156"/>
      <c r="H23" s="157"/>
      <c r="I23" s="158">
        <f t="shared" si="1"/>
        <v>0</v>
      </c>
      <c r="J23" s="157"/>
      <c r="K23" s="159">
        <f t="shared" si="0"/>
        <v>0</v>
      </c>
    </row>
    <row r="24" spans="1:11" ht="18" customHeight="1">
      <c r="A24" s="151" t="s">
        <v>78</v>
      </c>
      <c r="B24" s="147" t="s">
        <v>44</v>
      </c>
      <c r="F24" s="156"/>
      <c r="G24" s="156"/>
      <c r="H24" s="157"/>
      <c r="I24" s="158">
        <f t="shared" si="1"/>
        <v>0</v>
      </c>
      <c r="J24" s="157"/>
      <c r="K24" s="159">
        <f t="shared" si="0"/>
        <v>0</v>
      </c>
    </row>
    <row r="25" spans="1:11" ht="18" customHeight="1">
      <c r="A25" s="151" t="s">
        <v>79</v>
      </c>
      <c r="B25" s="147" t="s">
        <v>5</v>
      </c>
      <c r="F25" s="156">
        <v>595</v>
      </c>
      <c r="G25" s="156">
        <v>780</v>
      </c>
      <c r="H25" s="157">
        <v>18267.599999999999</v>
      </c>
      <c r="I25" s="158">
        <v>1180.55</v>
      </c>
      <c r="J25" s="157"/>
      <c r="K25" s="159">
        <f t="shared" si="0"/>
        <v>19448.149999999998</v>
      </c>
    </row>
    <row r="26" spans="1:11" ht="18" customHeight="1">
      <c r="A26" s="151" t="s">
        <v>80</v>
      </c>
      <c r="B26" s="147" t="s">
        <v>45</v>
      </c>
      <c r="F26" s="156"/>
      <c r="G26" s="156"/>
      <c r="H26" s="157"/>
      <c r="I26" s="158">
        <f t="shared" si="1"/>
        <v>0</v>
      </c>
      <c r="J26" s="157"/>
      <c r="K26" s="159">
        <f t="shared" si="0"/>
        <v>0</v>
      </c>
    </row>
    <row r="27" spans="1:11" ht="18" customHeight="1">
      <c r="A27" s="151" t="s">
        <v>81</v>
      </c>
      <c r="B27" s="147" t="s">
        <v>46</v>
      </c>
      <c r="F27" s="156">
        <v>40</v>
      </c>
      <c r="G27" s="156">
        <v>8</v>
      </c>
      <c r="H27" s="157">
        <f>+F27*52</f>
        <v>2080</v>
      </c>
      <c r="I27" s="158">
        <f t="shared" si="1"/>
        <v>0</v>
      </c>
      <c r="J27" s="157"/>
      <c r="K27" s="159">
        <f t="shared" si="0"/>
        <v>2080</v>
      </c>
    </row>
    <row r="28" spans="1:11" ht="18" customHeight="1">
      <c r="A28" s="151" t="s">
        <v>82</v>
      </c>
      <c r="B28" s="147" t="s">
        <v>47</v>
      </c>
      <c r="F28" s="156"/>
      <c r="G28" s="156"/>
      <c r="H28" s="157"/>
      <c r="I28" s="158">
        <f t="shared" si="1"/>
        <v>0</v>
      </c>
      <c r="J28" s="157"/>
      <c r="K28" s="159">
        <f t="shared" si="0"/>
        <v>0</v>
      </c>
    </row>
    <row r="29" spans="1:11" ht="18" customHeight="1">
      <c r="A29" s="151" t="s">
        <v>83</v>
      </c>
      <c r="B29" s="147" t="s">
        <v>48</v>
      </c>
      <c r="F29" s="156"/>
      <c r="G29" s="156"/>
      <c r="H29" s="157"/>
      <c r="I29" s="158">
        <f t="shared" si="1"/>
        <v>0</v>
      </c>
      <c r="J29" s="157"/>
      <c r="K29" s="159">
        <f t="shared" si="0"/>
        <v>0</v>
      </c>
    </row>
    <row r="30" spans="1:11" ht="18" customHeight="1">
      <c r="A30" s="151" t="s">
        <v>84</v>
      </c>
      <c r="B30" s="898" t="s">
        <v>838</v>
      </c>
      <c r="C30" s="899"/>
      <c r="D30" s="900"/>
      <c r="F30" s="156">
        <v>274</v>
      </c>
      <c r="G30" s="156">
        <v>488</v>
      </c>
      <c r="H30" s="157">
        <f>7955.3+9211.37</f>
        <v>17166.670000000002</v>
      </c>
      <c r="I30" s="158">
        <v>9211.3700000000008</v>
      </c>
      <c r="J30" s="157">
        <v>16026.38</v>
      </c>
      <c r="K30" s="159">
        <f t="shared" si="0"/>
        <v>10351.660000000002</v>
      </c>
    </row>
    <row r="31" spans="1:11" ht="18" customHeight="1">
      <c r="A31" s="151" t="s">
        <v>133</v>
      </c>
      <c r="B31" s="898" t="s">
        <v>839</v>
      </c>
      <c r="C31" s="899"/>
      <c r="D31" s="900"/>
      <c r="F31" s="156">
        <v>139.25</v>
      </c>
      <c r="G31" s="156">
        <v>30</v>
      </c>
      <c r="H31" s="157">
        <v>7101</v>
      </c>
      <c r="I31" s="158">
        <f>+H31*0.5</f>
        <v>3550.5</v>
      </c>
      <c r="J31" s="157">
        <v>8500</v>
      </c>
      <c r="K31" s="159">
        <f t="shared" si="0"/>
        <v>2151.5</v>
      </c>
    </row>
    <row r="32" spans="1:11" ht="18" customHeight="1">
      <c r="A32" s="151" t="s">
        <v>134</v>
      </c>
      <c r="B32" s="393" t="s">
        <v>840</v>
      </c>
      <c r="C32" s="394"/>
      <c r="D32" s="395"/>
      <c r="F32" s="156">
        <v>50</v>
      </c>
      <c r="G32" s="160" t="s">
        <v>85</v>
      </c>
      <c r="H32" s="157">
        <v>1635</v>
      </c>
      <c r="I32" s="158">
        <v>1000</v>
      </c>
      <c r="J32" s="157"/>
      <c r="K32" s="159">
        <f t="shared" si="0"/>
        <v>2635</v>
      </c>
    </row>
    <row r="33" spans="1:11" ht="18" customHeight="1">
      <c r="A33" s="151" t="s">
        <v>135</v>
      </c>
      <c r="B33" s="393"/>
      <c r="C33" s="394"/>
      <c r="D33" s="395"/>
      <c r="F33" s="156"/>
      <c r="G33" s="160" t="s">
        <v>85</v>
      </c>
      <c r="H33" s="157"/>
      <c r="I33" s="158">
        <f t="shared" si="1"/>
        <v>0</v>
      </c>
      <c r="J33" s="157"/>
      <c r="K33" s="159">
        <f t="shared" si="0"/>
        <v>0</v>
      </c>
    </row>
    <row r="34" spans="1:11" ht="18" customHeight="1">
      <c r="A34" s="151" t="s">
        <v>136</v>
      </c>
      <c r="B34" s="898"/>
      <c r="C34" s="899"/>
      <c r="D34" s="900"/>
      <c r="F34" s="156"/>
      <c r="G34" s="160" t="s">
        <v>85</v>
      </c>
      <c r="H34" s="157"/>
      <c r="I34" s="158">
        <f t="shared" si="1"/>
        <v>0</v>
      </c>
      <c r="J34" s="157"/>
      <c r="K34" s="159">
        <f t="shared" si="0"/>
        <v>0</v>
      </c>
    </row>
    <row r="35" spans="1:11" ht="18" customHeight="1">
      <c r="K35" s="161"/>
    </row>
    <row r="36" spans="1:11" ht="18" customHeight="1">
      <c r="A36" s="154" t="s">
        <v>137</v>
      </c>
      <c r="B36" s="150" t="s">
        <v>138</v>
      </c>
      <c r="E36" s="150" t="s">
        <v>7</v>
      </c>
      <c r="F36" s="162">
        <f t="shared" ref="F36:K36" si="2">SUM(F21:F34)</f>
        <v>1229.25</v>
      </c>
      <c r="G36" s="162">
        <f t="shared" si="2"/>
        <v>1426</v>
      </c>
      <c r="H36" s="162">
        <f t="shared" si="2"/>
        <v>52145.270000000004</v>
      </c>
      <c r="I36" s="159">
        <f t="shared" si="2"/>
        <v>16769.870000000003</v>
      </c>
      <c r="J36" s="159">
        <f t="shared" si="2"/>
        <v>24526.379999999997</v>
      </c>
      <c r="K36" s="159">
        <f t="shared" si="2"/>
        <v>44388.76</v>
      </c>
    </row>
    <row r="37" spans="1:11" ht="18" customHeight="1" thickBot="1">
      <c r="B37" s="150"/>
      <c r="F37" s="163"/>
      <c r="G37" s="163"/>
      <c r="H37" s="164"/>
      <c r="I37" s="164"/>
      <c r="J37" s="164"/>
      <c r="K37" s="165"/>
    </row>
    <row r="38" spans="1:11" ht="42.75" customHeight="1">
      <c r="F38" s="153" t="s">
        <v>9</v>
      </c>
      <c r="G38" s="153" t="s">
        <v>37</v>
      </c>
      <c r="H38" s="153" t="s">
        <v>29</v>
      </c>
      <c r="I38" s="153" t="s">
        <v>30</v>
      </c>
      <c r="J38" s="153" t="s">
        <v>33</v>
      </c>
      <c r="K38" s="153" t="s">
        <v>34</v>
      </c>
    </row>
    <row r="39" spans="1:11" ht="18.75" customHeight="1">
      <c r="A39" s="154" t="s">
        <v>86</v>
      </c>
      <c r="B39" s="150" t="s">
        <v>49</v>
      </c>
    </row>
    <row r="40" spans="1:11" ht="18" customHeight="1">
      <c r="A40" s="151" t="s">
        <v>87</v>
      </c>
      <c r="B40" s="147" t="s">
        <v>31</v>
      </c>
      <c r="F40" s="156">
        <v>534</v>
      </c>
      <c r="G40" s="156">
        <v>60</v>
      </c>
      <c r="H40" s="157">
        <f>534*52</f>
        <v>27768</v>
      </c>
      <c r="I40" s="158">
        <f>+H40*0.31</f>
        <v>8608.08</v>
      </c>
      <c r="J40" s="157"/>
      <c r="K40" s="159">
        <f t="shared" ref="K40:K47" si="3">(H40+I40)-J40</f>
        <v>36376.080000000002</v>
      </c>
    </row>
    <row r="41" spans="1:11" ht="18" customHeight="1">
      <c r="A41" s="151" t="s">
        <v>88</v>
      </c>
      <c r="B41" s="904" t="s">
        <v>50</v>
      </c>
      <c r="C41" s="907"/>
      <c r="F41" s="156">
        <v>1440</v>
      </c>
      <c r="G41" s="156">
        <v>240</v>
      </c>
      <c r="H41" s="157">
        <f>+F41*48</f>
        <v>69120</v>
      </c>
      <c r="I41" s="158">
        <f>+H41*0.31</f>
        <v>21427.200000000001</v>
      </c>
      <c r="J41" s="157"/>
      <c r="K41" s="159">
        <f t="shared" si="3"/>
        <v>90547.199999999997</v>
      </c>
    </row>
    <row r="42" spans="1:11" ht="18" customHeight="1">
      <c r="A42" s="151" t="s">
        <v>89</v>
      </c>
      <c r="B42" s="155" t="s">
        <v>11</v>
      </c>
      <c r="F42" s="156">
        <v>500</v>
      </c>
      <c r="G42" s="156">
        <v>1</v>
      </c>
      <c r="H42" s="157">
        <f>+F42*42</f>
        <v>21000</v>
      </c>
      <c r="I42" s="158">
        <f>+H42*0.31</f>
        <v>6510</v>
      </c>
      <c r="J42" s="157"/>
      <c r="K42" s="159">
        <f t="shared" si="3"/>
        <v>27510</v>
      </c>
    </row>
    <row r="43" spans="1:11" ht="18" customHeight="1">
      <c r="A43" s="151" t="s">
        <v>90</v>
      </c>
      <c r="B43" s="166" t="s">
        <v>10</v>
      </c>
      <c r="C43" s="167"/>
      <c r="D43" s="167"/>
      <c r="F43" s="156"/>
      <c r="G43" s="156"/>
      <c r="H43" s="157"/>
      <c r="I43" s="158">
        <v>0</v>
      </c>
      <c r="J43" s="157"/>
      <c r="K43" s="159">
        <f t="shared" si="3"/>
        <v>0</v>
      </c>
    </row>
    <row r="44" spans="1:11" ht="18" customHeight="1">
      <c r="A44" s="151" t="s">
        <v>91</v>
      </c>
      <c r="B44" s="898"/>
      <c r="C44" s="899"/>
      <c r="D44" s="900"/>
      <c r="F44" s="156"/>
      <c r="G44" s="156"/>
      <c r="H44" s="156"/>
      <c r="I44" s="158">
        <v>0</v>
      </c>
      <c r="J44" s="156"/>
      <c r="K44" s="187">
        <f t="shared" si="3"/>
        <v>0</v>
      </c>
    </row>
    <row r="45" spans="1:11" ht="18" customHeight="1">
      <c r="A45" s="151" t="s">
        <v>139</v>
      </c>
      <c r="B45" s="898"/>
      <c r="C45" s="899"/>
      <c r="D45" s="900"/>
      <c r="F45" s="156"/>
      <c r="G45" s="156"/>
      <c r="H45" s="157"/>
      <c r="I45" s="158">
        <v>0</v>
      </c>
      <c r="J45" s="157"/>
      <c r="K45" s="159">
        <f t="shared" si="3"/>
        <v>0</v>
      </c>
    </row>
    <row r="46" spans="1:11" ht="18" customHeight="1">
      <c r="A46" s="151" t="s">
        <v>140</v>
      </c>
      <c r="B46" s="898"/>
      <c r="C46" s="899"/>
      <c r="D46" s="900"/>
      <c r="F46" s="156"/>
      <c r="G46" s="156"/>
      <c r="H46" s="157"/>
      <c r="I46" s="158">
        <v>0</v>
      </c>
      <c r="J46" s="157"/>
      <c r="K46" s="159">
        <f t="shared" si="3"/>
        <v>0</v>
      </c>
    </row>
    <row r="47" spans="1:11" ht="18" customHeight="1">
      <c r="A47" s="151" t="s">
        <v>141</v>
      </c>
      <c r="B47" s="898"/>
      <c r="C47" s="899"/>
      <c r="D47" s="900"/>
      <c r="F47" s="156"/>
      <c r="G47" s="156"/>
      <c r="H47" s="157"/>
      <c r="I47" s="158">
        <v>0</v>
      </c>
      <c r="J47" s="157"/>
      <c r="K47" s="159">
        <f t="shared" si="3"/>
        <v>0</v>
      </c>
    </row>
    <row r="49" spans="1:11" ht="18" customHeight="1">
      <c r="A49" s="154" t="s">
        <v>142</v>
      </c>
      <c r="B49" s="150" t="s">
        <v>143</v>
      </c>
      <c r="E49" s="150" t="s">
        <v>7</v>
      </c>
      <c r="F49" s="171">
        <f t="shared" ref="F49:K49" si="4">SUM(F40:F47)</f>
        <v>2474</v>
      </c>
      <c r="G49" s="171">
        <f t="shared" si="4"/>
        <v>301</v>
      </c>
      <c r="H49" s="159">
        <f t="shared" si="4"/>
        <v>117888</v>
      </c>
      <c r="I49" s="159">
        <f t="shared" si="4"/>
        <v>36545.279999999999</v>
      </c>
      <c r="J49" s="159">
        <f t="shared" si="4"/>
        <v>0</v>
      </c>
      <c r="K49" s="159">
        <f t="shared" si="4"/>
        <v>154433.28</v>
      </c>
    </row>
    <row r="50" spans="1:11" ht="18" customHeight="1" thickBot="1">
      <c r="G50" s="172"/>
      <c r="H50" s="172"/>
      <c r="I50" s="172"/>
      <c r="J50" s="172"/>
      <c r="K50" s="172"/>
    </row>
    <row r="51" spans="1:11" ht="42.75" customHeight="1">
      <c r="F51" s="153" t="s">
        <v>9</v>
      </c>
      <c r="G51" s="153" t="s">
        <v>37</v>
      </c>
      <c r="H51" s="153" t="s">
        <v>29</v>
      </c>
      <c r="I51" s="153" t="s">
        <v>30</v>
      </c>
      <c r="J51" s="153" t="s">
        <v>33</v>
      </c>
      <c r="K51" s="153" t="s">
        <v>34</v>
      </c>
    </row>
    <row r="52" spans="1:11" ht="18" customHeight="1">
      <c r="A52" s="154" t="s">
        <v>92</v>
      </c>
      <c r="B52" s="905" t="s">
        <v>38</v>
      </c>
      <c r="C52" s="906"/>
    </row>
    <row r="53" spans="1:11" ht="18" customHeight="1">
      <c r="A53" s="151" t="s">
        <v>51</v>
      </c>
      <c r="B53" s="908" t="s">
        <v>841</v>
      </c>
      <c r="C53" s="909"/>
      <c r="D53" s="903"/>
      <c r="F53" s="156">
        <v>2</v>
      </c>
      <c r="G53" s="156"/>
      <c r="H53" s="157">
        <v>154.96</v>
      </c>
      <c r="I53" s="158">
        <v>0</v>
      </c>
      <c r="J53" s="157"/>
      <c r="K53" s="159">
        <f t="shared" ref="K53:K62" si="5">(H53+I53)-J53</f>
        <v>154.96</v>
      </c>
    </row>
    <row r="54" spans="1:11" ht="18" customHeight="1">
      <c r="A54" s="151" t="s">
        <v>93</v>
      </c>
      <c r="B54" s="396" t="s">
        <v>842</v>
      </c>
      <c r="C54" s="397"/>
      <c r="D54" s="392"/>
      <c r="F54" s="156">
        <v>109</v>
      </c>
      <c r="G54" s="156"/>
      <c r="H54" s="157">
        <v>8554.32</v>
      </c>
      <c r="I54" s="158">
        <v>361.83</v>
      </c>
      <c r="J54" s="157"/>
      <c r="K54" s="159">
        <f t="shared" si="5"/>
        <v>8916.15</v>
      </c>
    </row>
    <row r="55" spans="1:11" ht="18" customHeight="1">
      <c r="A55" s="151" t="s">
        <v>94</v>
      </c>
      <c r="B55" s="901" t="s">
        <v>843</v>
      </c>
      <c r="C55" s="902"/>
      <c r="D55" s="903"/>
      <c r="F55" s="156">
        <v>12</v>
      </c>
      <c r="G55" s="156">
        <v>50</v>
      </c>
      <c r="H55" s="157">
        <v>929.76</v>
      </c>
      <c r="I55" s="158">
        <v>0</v>
      </c>
      <c r="J55" s="157"/>
      <c r="K55" s="159">
        <f t="shared" si="5"/>
        <v>929.76</v>
      </c>
    </row>
    <row r="56" spans="1:11" ht="18" customHeight="1">
      <c r="A56" s="151" t="s">
        <v>95</v>
      </c>
      <c r="B56" s="901" t="s">
        <v>844</v>
      </c>
      <c r="C56" s="902"/>
      <c r="D56" s="903"/>
      <c r="F56" s="156">
        <v>2</v>
      </c>
      <c r="G56" s="156">
        <v>25</v>
      </c>
      <c r="H56" s="157">
        <v>154.96</v>
      </c>
      <c r="I56" s="158">
        <v>0</v>
      </c>
      <c r="J56" s="157"/>
      <c r="K56" s="159">
        <f t="shared" si="5"/>
        <v>154.96</v>
      </c>
    </row>
    <row r="57" spans="1:11" ht="18" customHeight="1">
      <c r="A57" s="151" t="s">
        <v>96</v>
      </c>
      <c r="B57" s="901" t="s">
        <v>845</v>
      </c>
      <c r="C57" s="902"/>
      <c r="D57" s="903"/>
      <c r="F57" s="156">
        <v>18</v>
      </c>
      <c r="G57" s="156"/>
      <c r="H57" s="157">
        <v>1394.64</v>
      </c>
      <c r="I57" s="158">
        <v>0</v>
      </c>
      <c r="J57" s="157"/>
      <c r="K57" s="159">
        <f t="shared" si="5"/>
        <v>1394.64</v>
      </c>
    </row>
    <row r="58" spans="1:11" ht="18" customHeight="1">
      <c r="A58" s="151" t="s">
        <v>97</v>
      </c>
      <c r="B58" s="396" t="s">
        <v>846</v>
      </c>
      <c r="C58" s="397"/>
      <c r="D58" s="392"/>
      <c r="F58" s="156">
        <v>12</v>
      </c>
      <c r="G58" s="156"/>
      <c r="H58" s="157">
        <v>929.76</v>
      </c>
      <c r="I58" s="158">
        <v>0</v>
      </c>
      <c r="J58" s="157"/>
      <c r="K58" s="159">
        <f t="shared" si="5"/>
        <v>929.76</v>
      </c>
    </row>
    <row r="59" spans="1:11" ht="18" customHeight="1">
      <c r="A59" s="151" t="s">
        <v>98</v>
      </c>
      <c r="B59" s="901"/>
      <c r="C59" s="902"/>
      <c r="D59" s="903"/>
      <c r="F59" s="156"/>
      <c r="G59" s="156"/>
      <c r="H59" s="157"/>
      <c r="I59" s="158">
        <v>0</v>
      </c>
      <c r="J59" s="157"/>
      <c r="K59" s="159">
        <f t="shared" si="5"/>
        <v>0</v>
      </c>
    </row>
    <row r="60" spans="1:11" ht="18" customHeight="1">
      <c r="A60" s="151" t="s">
        <v>99</v>
      </c>
      <c r="B60" s="396"/>
      <c r="C60" s="397"/>
      <c r="D60" s="392"/>
      <c r="F60" s="156"/>
      <c r="G60" s="156"/>
      <c r="H60" s="157"/>
      <c r="I60" s="158">
        <v>0</v>
      </c>
      <c r="J60" s="157"/>
      <c r="K60" s="159">
        <f t="shared" si="5"/>
        <v>0</v>
      </c>
    </row>
    <row r="61" spans="1:11" ht="18" customHeight="1">
      <c r="A61" s="151" t="s">
        <v>100</v>
      </c>
      <c r="B61" s="396"/>
      <c r="C61" s="397"/>
      <c r="D61" s="392"/>
      <c r="F61" s="156"/>
      <c r="G61" s="156"/>
      <c r="H61" s="157"/>
      <c r="I61" s="158">
        <v>0</v>
      </c>
      <c r="J61" s="157"/>
      <c r="K61" s="159">
        <f t="shared" si="5"/>
        <v>0</v>
      </c>
    </row>
    <row r="62" spans="1:11" ht="18" customHeight="1">
      <c r="A62" s="151" t="s">
        <v>101</v>
      </c>
      <c r="B62" s="901"/>
      <c r="C62" s="902"/>
      <c r="D62" s="903"/>
      <c r="F62" s="156"/>
      <c r="G62" s="156"/>
      <c r="H62" s="157"/>
      <c r="I62" s="158">
        <v>0</v>
      </c>
      <c r="J62" s="157"/>
      <c r="K62" s="159">
        <f t="shared" si="5"/>
        <v>0</v>
      </c>
    </row>
    <row r="63" spans="1:11" ht="18" customHeight="1">
      <c r="A63" s="151"/>
      <c r="I63" s="173"/>
    </row>
    <row r="64" spans="1:11" ht="18" customHeight="1">
      <c r="A64" s="151" t="s">
        <v>144</v>
      </c>
      <c r="B64" s="150" t="s">
        <v>145</v>
      </c>
      <c r="E64" s="150" t="s">
        <v>7</v>
      </c>
      <c r="F64" s="162">
        <f t="shared" ref="F64:K64" si="6">SUM(F53:F62)</f>
        <v>155</v>
      </c>
      <c r="G64" s="162">
        <f t="shared" si="6"/>
        <v>75</v>
      </c>
      <c r="H64" s="159">
        <f t="shared" si="6"/>
        <v>12118.399999999998</v>
      </c>
      <c r="I64" s="159">
        <f t="shared" si="6"/>
        <v>361.83</v>
      </c>
      <c r="J64" s="159">
        <f t="shared" si="6"/>
        <v>0</v>
      </c>
      <c r="K64" s="159">
        <f t="shared" si="6"/>
        <v>12480.229999999998</v>
      </c>
    </row>
    <row r="65" spans="1:11" ht="18" customHeight="1">
      <c r="F65" s="174"/>
      <c r="G65" s="174"/>
      <c r="H65" s="174"/>
      <c r="I65" s="174"/>
      <c r="J65" s="174"/>
      <c r="K65" s="174"/>
    </row>
    <row r="66" spans="1:11" ht="42.75" customHeight="1">
      <c r="F66" s="175" t="s">
        <v>9</v>
      </c>
      <c r="G66" s="175" t="s">
        <v>37</v>
      </c>
      <c r="H66" s="175" t="s">
        <v>29</v>
      </c>
      <c r="I66" s="175" t="s">
        <v>30</v>
      </c>
      <c r="J66" s="175" t="s">
        <v>33</v>
      </c>
      <c r="K66" s="175" t="s">
        <v>34</v>
      </c>
    </row>
    <row r="67" spans="1:11" ht="18" customHeight="1">
      <c r="A67" s="154" t="s">
        <v>102</v>
      </c>
      <c r="B67" s="150" t="s">
        <v>12</v>
      </c>
      <c r="F67" s="176"/>
      <c r="G67" s="176"/>
      <c r="H67" s="176"/>
      <c r="I67" s="177"/>
      <c r="J67" s="176"/>
      <c r="K67" s="178"/>
    </row>
    <row r="68" spans="1:11" ht="18" customHeight="1">
      <c r="A68" s="151" t="s">
        <v>103</v>
      </c>
      <c r="B68" s="147" t="s">
        <v>52</v>
      </c>
      <c r="F68" s="179"/>
      <c r="G68" s="179"/>
      <c r="H68" s="179"/>
      <c r="I68" s="158">
        <v>0</v>
      </c>
      <c r="J68" s="179"/>
      <c r="K68" s="159">
        <f>(H68+I68)-J68</f>
        <v>0</v>
      </c>
    </row>
    <row r="69" spans="1:11" ht="18" customHeight="1">
      <c r="A69" s="151" t="s">
        <v>104</v>
      </c>
      <c r="B69" s="155" t="s">
        <v>53</v>
      </c>
      <c r="F69" s="179"/>
      <c r="G69" s="179"/>
      <c r="H69" s="179"/>
      <c r="I69" s="158">
        <v>0</v>
      </c>
      <c r="J69" s="179"/>
      <c r="K69" s="159">
        <f>(H69+I69)-J69</f>
        <v>0</v>
      </c>
    </row>
    <row r="70" spans="1:11" ht="18" customHeight="1">
      <c r="A70" s="151" t="s">
        <v>178</v>
      </c>
      <c r="B70" s="396"/>
      <c r="C70" s="397"/>
      <c r="D70" s="392"/>
      <c r="E70" s="150"/>
      <c r="F70" s="180"/>
      <c r="G70" s="180"/>
      <c r="H70" s="181"/>
      <c r="I70" s="158">
        <v>0</v>
      </c>
      <c r="J70" s="181"/>
      <c r="K70" s="159">
        <f>(H70+I70)-J70</f>
        <v>0</v>
      </c>
    </row>
    <row r="71" spans="1:11" ht="18" customHeight="1">
      <c r="A71" s="151" t="s">
        <v>179</v>
      </c>
      <c r="B71" s="396"/>
      <c r="C71" s="397"/>
      <c r="D71" s="392"/>
      <c r="E71" s="150"/>
      <c r="F71" s="180"/>
      <c r="G71" s="180"/>
      <c r="H71" s="181"/>
      <c r="I71" s="158">
        <v>0</v>
      </c>
      <c r="J71" s="181"/>
      <c r="K71" s="159">
        <f>(H71+I71)-J71</f>
        <v>0</v>
      </c>
    </row>
    <row r="72" spans="1:11" ht="18" customHeight="1">
      <c r="A72" s="151" t="s">
        <v>180</v>
      </c>
      <c r="B72" s="390"/>
      <c r="C72" s="391"/>
      <c r="D72" s="182"/>
      <c r="E72" s="150"/>
      <c r="F72" s="156"/>
      <c r="G72" s="156"/>
      <c r="H72" s="157"/>
      <c r="I72" s="158">
        <v>0</v>
      </c>
      <c r="J72" s="157"/>
      <c r="K72" s="159">
        <f>(H72+I72)-J72</f>
        <v>0</v>
      </c>
    </row>
    <row r="73" spans="1:11" ht="18" customHeight="1">
      <c r="A73" s="151"/>
      <c r="B73" s="155"/>
      <c r="E73" s="150"/>
      <c r="F73" s="183"/>
      <c r="G73" s="183"/>
      <c r="H73" s="184"/>
      <c r="I73" s="177"/>
      <c r="J73" s="184"/>
      <c r="K73" s="178"/>
    </row>
    <row r="74" spans="1:11" ht="18" customHeight="1">
      <c r="A74" s="154" t="s">
        <v>146</v>
      </c>
      <c r="B74" s="150" t="s">
        <v>147</v>
      </c>
      <c r="E74" s="150" t="s">
        <v>7</v>
      </c>
      <c r="F74" s="185">
        <f t="shared" ref="F74:K74" si="7">SUM(F68:F72)</f>
        <v>0</v>
      </c>
      <c r="G74" s="185">
        <f t="shared" si="7"/>
        <v>0</v>
      </c>
      <c r="H74" s="185">
        <f t="shared" si="7"/>
        <v>0</v>
      </c>
      <c r="I74" s="186">
        <f t="shared" si="7"/>
        <v>0</v>
      </c>
      <c r="J74" s="185">
        <f t="shared" si="7"/>
        <v>0</v>
      </c>
      <c r="K74" s="187">
        <f t="shared" si="7"/>
        <v>0</v>
      </c>
    </row>
    <row r="75" spans="1:11" ht="42.75" customHeight="1">
      <c r="F75" s="153" t="s">
        <v>9</v>
      </c>
      <c r="G75" s="153" t="s">
        <v>37</v>
      </c>
      <c r="H75" s="153" t="s">
        <v>29</v>
      </c>
      <c r="I75" s="153" t="s">
        <v>30</v>
      </c>
      <c r="J75" s="153" t="s">
        <v>33</v>
      </c>
      <c r="K75" s="153" t="s">
        <v>34</v>
      </c>
    </row>
    <row r="76" spans="1:11" ht="18" customHeight="1">
      <c r="A76" s="154" t="s">
        <v>105</v>
      </c>
      <c r="B76" s="150" t="s">
        <v>106</v>
      </c>
    </row>
    <row r="77" spans="1:11" ht="18" customHeight="1">
      <c r="A77" s="151" t="s">
        <v>107</v>
      </c>
      <c r="B77" s="155" t="s">
        <v>54</v>
      </c>
      <c r="F77" s="156"/>
      <c r="G77" s="156"/>
      <c r="H77" s="157">
        <v>2500</v>
      </c>
      <c r="I77" s="158">
        <v>0</v>
      </c>
      <c r="J77" s="157"/>
      <c r="K77" s="159">
        <f>(H77+I77)-J77</f>
        <v>2500</v>
      </c>
    </row>
    <row r="78" spans="1:11" ht="18" customHeight="1">
      <c r="A78" s="151" t="s">
        <v>108</v>
      </c>
      <c r="B78" s="155" t="s">
        <v>55</v>
      </c>
      <c r="F78" s="156"/>
      <c r="G78" s="156"/>
      <c r="H78" s="157"/>
      <c r="I78" s="158">
        <v>0</v>
      </c>
      <c r="J78" s="157"/>
      <c r="K78" s="159">
        <f>(H78+I78)-J78</f>
        <v>0</v>
      </c>
    </row>
    <row r="79" spans="1:11" ht="18" customHeight="1">
      <c r="A79" s="151" t="s">
        <v>109</v>
      </c>
      <c r="B79" s="155" t="s">
        <v>13</v>
      </c>
      <c r="F79" s="156"/>
      <c r="G79" s="156"/>
      <c r="H79" s="157"/>
      <c r="I79" s="158">
        <v>0</v>
      </c>
      <c r="J79" s="157"/>
      <c r="K79" s="159">
        <f>(H79+I79)-J79</f>
        <v>0</v>
      </c>
    </row>
    <row r="80" spans="1:11" ht="18" customHeight="1">
      <c r="A80" s="151" t="s">
        <v>110</v>
      </c>
      <c r="B80" s="155" t="s">
        <v>56</v>
      </c>
      <c r="F80" s="156"/>
      <c r="G80" s="156"/>
      <c r="H80" s="157"/>
      <c r="I80" s="158">
        <v>0</v>
      </c>
      <c r="J80" s="157"/>
      <c r="K80" s="159">
        <f>(H80+I80)-J80</f>
        <v>0</v>
      </c>
    </row>
    <row r="81" spans="1:11" ht="18" customHeight="1">
      <c r="A81" s="151"/>
      <c r="K81" s="188"/>
    </row>
    <row r="82" spans="1:11" ht="18" customHeight="1">
      <c r="A82" s="151" t="s">
        <v>148</v>
      </c>
      <c r="B82" s="150" t="s">
        <v>149</v>
      </c>
      <c r="E82" s="150" t="s">
        <v>7</v>
      </c>
      <c r="F82" s="185">
        <f t="shared" ref="F82:K82" si="8">SUM(F77:F80)</f>
        <v>0</v>
      </c>
      <c r="G82" s="185">
        <f t="shared" si="8"/>
        <v>0</v>
      </c>
      <c r="H82" s="187">
        <f t="shared" si="8"/>
        <v>2500</v>
      </c>
      <c r="I82" s="187">
        <f t="shared" si="8"/>
        <v>0</v>
      </c>
      <c r="J82" s="187">
        <f t="shared" si="8"/>
        <v>0</v>
      </c>
      <c r="K82" s="187">
        <f t="shared" si="8"/>
        <v>2500</v>
      </c>
    </row>
    <row r="83" spans="1:11" ht="18" customHeight="1" thickBot="1">
      <c r="A83" s="151"/>
      <c r="F83" s="172"/>
      <c r="G83" s="172"/>
      <c r="H83" s="172"/>
      <c r="I83" s="172"/>
      <c r="J83" s="172"/>
      <c r="K83" s="172"/>
    </row>
    <row r="84" spans="1:11" ht="42.75" customHeight="1">
      <c r="F84" s="153" t="s">
        <v>9</v>
      </c>
      <c r="G84" s="153" t="s">
        <v>37</v>
      </c>
      <c r="H84" s="153" t="s">
        <v>29</v>
      </c>
      <c r="I84" s="153" t="s">
        <v>30</v>
      </c>
      <c r="J84" s="153" t="s">
        <v>33</v>
      </c>
      <c r="K84" s="153" t="s">
        <v>34</v>
      </c>
    </row>
    <row r="85" spans="1:11" ht="18" customHeight="1">
      <c r="A85" s="154" t="s">
        <v>111</v>
      </c>
      <c r="B85" s="150" t="s">
        <v>57</v>
      </c>
    </row>
    <row r="86" spans="1:11" ht="18" customHeight="1">
      <c r="A86" s="151" t="s">
        <v>112</v>
      </c>
      <c r="B86" s="155" t="s">
        <v>113</v>
      </c>
      <c r="F86" s="156"/>
      <c r="G86" s="156"/>
      <c r="H86" s="157"/>
      <c r="I86" s="158">
        <f t="shared" ref="I86:I96" si="9">H86*F$114</f>
        <v>0</v>
      </c>
      <c r="J86" s="157"/>
      <c r="K86" s="159">
        <f t="shared" ref="K86:K96" si="10">(H86+I86)-J86</f>
        <v>0</v>
      </c>
    </row>
    <row r="87" spans="1:11" ht="18" customHeight="1">
      <c r="A87" s="151" t="s">
        <v>114</v>
      </c>
      <c r="B87" s="155" t="s">
        <v>14</v>
      </c>
      <c r="F87" s="156"/>
      <c r="G87" s="156"/>
      <c r="H87" s="157"/>
      <c r="I87" s="158">
        <f t="shared" si="9"/>
        <v>0</v>
      </c>
      <c r="J87" s="157"/>
      <c r="K87" s="159">
        <f t="shared" si="10"/>
        <v>0</v>
      </c>
    </row>
    <row r="88" spans="1:11" ht="18" customHeight="1">
      <c r="A88" s="151" t="s">
        <v>115</v>
      </c>
      <c r="B88" s="155" t="s">
        <v>116</v>
      </c>
      <c r="F88" s="156"/>
      <c r="G88" s="156"/>
      <c r="H88" s="157"/>
      <c r="I88" s="158">
        <f t="shared" si="9"/>
        <v>0</v>
      </c>
      <c r="J88" s="157"/>
      <c r="K88" s="159">
        <f t="shared" si="10"/>
        <v>0</v>
      </c>
    </row>
    <row r="89" spans="1:11" ht="18" customHeight="1">
      <c r="A89" s="151" t="s">
        <v>117</v>
      </c>
      <c r="B89" s="155" t="s">
        <v>58</v>
      </c>
      <c r="F89" s="156"/>
      <c r="G89" s="156"/>
      <c r="H89" s="157"/>
      <c r="I89" s="158">
        <f t="shared" si="9"/>
        <v>0</v>
      </c>
      <c r="J89" s="157"/>
      <c r="K89" s="159">
        <f t="shared" si="10"/>
        <v>0</v>
      </c>
    </row>
    <row r="90" spans="1:11" ht="18" customHeight="1">
      <c r="A90" s="151" t="s">
        <v>118</v>
      </c>
      <c r="B90" s="904" t="s">
        <v>59</v>
      </c>
      <c r="C90" s="907"/>
      <c r="F90" s="156"/>
      <c r="G90" s="156"/>
      <c r="H90" s="157"/>
      <c r="I90" s="158">
        <f t="shared" si="9"/>
        <v>0</v>
      </c>
      <c r="J90" s="157"/>
      <c r="K90" s="159">
        <f t="shared" si="10"/>
        <v>0</v>
      </c>
    </row>
    <row r="91" spans="1:11" ht="18" customHeight="1">
      <c r="A91" s="151" t="s">
        <v>119</v>
      </c>
      <c r="B91" s="155" t="s">
        <v>60</v>
      </c>
      <c r="F91" s="156"/>
      <c r="G91" s="156"/>
      <c r="H91" s="157"/>
      <c r="I91" s="158">
        <f t="shared" si="9"/>
        <v>0</v>
      </c>
      <c r="J91" s="157"/>
      <c r="K91" s="159">
        <f t="shared" si="10"/>
        <v>0</v>
      </c>
    </row>
    <row r="92" spans="1:11" ht="18" customHeight="1">
      <c r="A92" s="151" t="s">
        <v>120</v>
      </c>
      <c r="B92" s="155" t="s">
        <v>121</v>
      </c>
      <c r="F92" s="189">
        <v>30</v>
      </c>
      <c r="G92" s="189"/>
      <c r="H92" s="190">
        <v>4500</v>
      </c>
      <c r="I92" s="158">
        <f t="shared" si="9"/>
        <v>0</v>
      </c>
      <c r="J92" s="190"/>
      <c r="K92" s="159">
        <f t="shared" si="10"/>
        <v>4500</v>
      </c>
    </row>
    <row r="93" spans="1:11" ht="18" customHeight="1">
      <c r="A93" s="151" t="s">
        <v>122</v>
      </c>
      <c r="B93" s="155" t="s">
        <v>123</v>
      </c>
      <c r="F93" s="156"/>
      <c r="G93" s="156"/>
      <c r="H93" s="157"/>
      <c r="I93" s="158">
        <f t="shared" si="9"/>
        <v>0</v>
      </c>
      <c r="J93" s="157"/>
      <c r="K93" s="159">
        <f t="shared" si="10"/>
        <v>0</v>
      </c>
    </row>
    <row r="94" spans="1:11" ht="18" customHeight="1">
      <c r="A94" s="151" t="s">
        <v>124</v>
      </c>
      <c r="B94" s="901"/>
      <c r="C94" s="902"/>
      <c r="D94" s="903"/>
      <c r="F94" s="156"/>
      <c r="G94" s="156"/>
      <c r="H94" s="157"/>
      <c r="I94" s="158">
        <f t="shared" si="9"/>
        <v>0</v>
      </c>
      <c r="J94" s="157"/>
      <c r="K94" s="159">
        <f t="shared" si="10"/>
        <v>0</v>
      </c>
    </row>
    <row r="95" spans="1:11" ht="18" customHeight="1">
      <c r="A95" s="151" t="s">
        <v>125</v>
      </c>
      <c r="B95" s="901"/>
      <c r="C95" s="902"/>
      <c r="D95" s="903"/>
      <c r="F95" s="156"/>
      <c r="G95" s="156"/>
      <c r="H95" s="157"/>
      <c r="I95" s="158">
        <f t="shared" si="9"/>
        <v>0</v>
      </c>
      <c r="J95" s="157"/>
      <c r="K95" s="159">
        <f t="shared" si="10"/>
        <v>0</v>
      </c>
    </row>
    <row r="96" spans="1:11" ht="18" customHeight="1">
      <c r="A96" s="151" t="s">
        <v>126</v>
      </c>
      <c r="B96" s="901"/>
      <c r="C96" s="902"/>
      <c r="D96" s="903"/>
      <c r="F96" s="156"/>
      <c r="G96" s="156"/>
      <c r="H96" s="157"/>
      <c r="I96" s="158">
        <f t="shared" si="9"/>
        <v>0</v>
      </c>
      <c r="J96" s="157"/>
      <c r="K96" s="159">
        <f t="shared" si="10"/>
        <v>0</v>
      </c>
    </row>
    <row r="97" spans="1:11" ht="18" customHeight="1">
      <c r="A97" s="151"/>
      <c r="B97" s="155"/>
    </row>
    <row r="98" spans="1:11" ht="18" customHeight="1">
      <c r="A98" s="154" t="s">
        <v>150</v>
      </c>
      <c r="B98" s="150" t="s">
        <v>151</v>
      </c>
      <c r="E98" s="150" t="s">
        <v>7</v>
      </c>
      <c r="F98" s="162">
        <f t="shared" ref="F98:K98" si="11">SUM(F86:F96)</f>
        <v>30</v>
      </c>
      <c r="G98" s="162">
        <f t="shared" si="11"/>
        <v>0</v>
      </c>
      <c r="H98" s="162">
        <f t="shared" si="11"/>
        <v>4500</v>
      </c>
      <c r="I98" s="162">
        <f t="shared" si="11"/>
        <v>0</v>
      </c>
      <c r="J98" s="162">
        <f t="shared" si="11"/>
        <v>0</v>
      </c>
      <c r="K98" s="162">
        <f t="shared" si="11"/>
        <v>4500</v>
      </c>
    </row>
    <row r="99" spans="1:11" ht="18" customHeight="1" thickBot="1">
      <c r="B99" s="150"/>
      <c r="F99" s="172"/>
      <c r="G99" s="172"/>
      <c r="H99" s="172"/>
      <c r="I99" s="172"/>
      <c r="J99" s="172"/>
      <c r="K99" s="172"/>
    </row>
    <row r="100" spans="1:11" ht="42.75" customHeight="1">
      <c r="F100" s="153" t="s">
        <v>9</v>
      </c>
      <c r="G100" s="153" t="s">
        <v>37</v>
      </c>
      <c r="H100" s="153" t="s">
        <v>29</v>
      </c>
      <c r="I100" s="153" t="s">
        <v>30</v>
      </c>
      <c r="J100" s="153" t="s">
        <v>33</v>
      </c>
      <c r="K100" s="153" t="s">
        <v>34</v>
      </c>
    </row>
    <row r="101" spans="1:11" ht="18" customHeight="1">
      <c r="A101" s="154" t="s">
        <v>130</v>
      </c>
      <c r="B101" s="150" t="s">
        <v>63</v>
      </c>
    </row>
    <row r="102" spans="1:11" ht="18" customHeight="1">
      <c r="A102" s="151" t="s">
        <v>131</v>
      </c>
      <c r="B102" s="155" t="s">
        <v>152</v>
      </c>
      <c r="F102" s="156"/>
      <c r="G102" s="156"/>
      <c r="H102" s="157"/>
      <c r="I102" s="158">
        <f>H102*F$114</f>
        <v>0</v>
      </c>
      <c r="J102" s="157"/>
      <c r="K102" s="159">
        <f>(H102+I102)-J102</f>
        <v>0</v>
      </c>
    </row>
    <row r="103" spans="1:11" ht="18" customHeight="1">
      <c r="A103" s="151" t="s">
        <v>132</v>
      </c>
      <c r="B103" s="904" t="s">
        <v>62</v>
      </c>
      <c r="C103" s="904"/>
      <c r="F103" s="156"/>
      <c r="G103" s="156"/>
      <c r="H103" s="157"/>
      <c r="I103" s="158">
        <f>H103*F$114</f>
        <v>0</v>
      </c>
      <c r="J103" s="157"/>
      <c r="K103" s="159">
        <f>(H103+I103)-J103</f>
        <v>0</v>
      </c>
    </row>
    <row r="104" spans="1:11" ht="18" customHeight="1">
      <c r="A104" s="151" t="s">
        <v>128</v>
      </c>
      <c r="B104" s="901"/>
      <c r="C104" s="902"/>
      <c r="D104" s="903"/>
      <c r="F104" s="156"/>
      <c r="G104" s="156"/>
      <c r="H104" s="157"/>
      <c r="I104" s="158">
        <f>H104*F$114</f>
        <v>0</v>
      </c>
      <c r="J104" s="157"/>
      <c r="K104" s="159">
        <f>(H104+I104)-J104</f>
        <v>0</v>
      </c>
    </row>
    <row r="105" spans="1:11" ht="18" customHeight="1">
      <c r="A105" s="151" t="s">
        <v>127</v>
      </c>
      <c r="B105" s="901"/>
      <c r="C105" s="902"/>
      <c r="D105" s="903"/>
      <c r="F105" s="156"/>
      <c r="G105" s="156"/>
      <c r="H105" s="157"/>
      <c r="I105" s="158">
        <f>H105*F$114</f>
        <v>0</v>
      </c>
      <c r="J105" s="157"/>
      <c r="K105" s="159">
        <f>(H105+I105)-J105</f>
        <v>0</v>
      </c>
    </row>
    <row r="106" spans="1:11" ht="18" customHeight="1">
      <c r="A106" s="151" t="s">
        <v>129</v>
      </c>
      <c r="B106" s="901"/>
      <c r="C106" s="902"/>
      <c r="D106" s="903"/>
      <c r="F106" s="156"/>
      <c r="G106" s="156"/>
      <c r="H106" s="157"/>
      <c r="I106" s="158">
        <f>H106*F$114</f>
        <v>0</v>
      </c>
      <c r="J106" s="157"/>
      <c r="K106" s="159">
        <f>(H106+I106)-J106</f>
        <v>0</v>
      </c>
    </row>
    <row r="107" spans="1:11" ht="18" customHeight="1">
      <c r="B107" s="150"/>
    </row>
    <row r="108" spans="1:11" s="167" customFormat="1" ht="18" customHeight="1">
      <c r="A108" s="154" t="s">
        <v>153</v>
      </c>
      <c r="B108" s="191" t="s">
        <v>154</v>
      </c>
      <c r="C108" s="147"/>
      <c r="D108" s="147"/>
      <c r="E108" s="150" t="s">
        <v>7</v>
      </c>
      <c r="F108" s="162">
        <f t="shared" ref="F108:K108" si="12">SUM(F102:F106)</f>
        <v>0</v>
      </c>
      <c r="G108" s="162">
        <f t="shared" si="12"/>
        <v>0</v>
      </c>
      <c r="H108" s="159">
        <f t="shared" si="12"/>
        <v>0</v>
      </c>
      <c r="I108" s="159">
        <f t="shared" si="12"/>
        <v>0</v>
      </c>
      <c r="J108" s="159">
        <f t="shared" si="12"/>
        <v>0</v>
      </c>
      <c r="K108" s="159">
        <f t="shared" si="12"/>
        <v>0</v>
      </c>
    </row>
    <row r="109" spans="1:11" s="167" customFormat="1" ht="18" customHeight="1" thickBot="1">
      <c r="A109" s="192"/>
      <c r="B109" s="193"/>
      <c r="C109" s="194"/>
      <c r="D109" s="194"/>
      <c r="E109" s="194"/>
      <c r="F109" s="172"/>
      <c r="G109" s="172"/>
      <c r="H109" s="172"/>
      <c r="I109" s="172"/>
      <c r="J109" s="172"/>
      <c r="K109" s="172"/>
    </row>
    <row r="110" spans="1:11" s="167" customFormat="1" ht="18" customHeight="1">
      <c r="A110" s="154" t="s">
        <v>156</v>
      </c>
      <c r="B110" s="150" t="s">
        <v>39</v>
      </c>
      <c r="C110" s="147"/>
      <c r="D110" s="147"/>
      <c r="E110" s="147"/>
      <c r="F110" s="147"/>
      <c r="G110" s="147"/>
      <c r="H110" s="147"/>
      <c r="I110" s="147"/>
      <c r="J110" s="147"/>
      <c r="K110" s="147"/>
    </row>
    <row r="111" spans="1:11" ht="18" customHeight="1">
      <c r="A111" s="154" t="s">
        <v>155</v>
      </c>
      <c r="B111" s="150" t="s">
        <v>164</v>
      </c>
      <c r="E111" s="150" t="s">
        <v>7</v>
      </c>
      <c r="F111" s="157">
        <v>1455012</v>
      </c>
    </row>
    <row r="112" spans="1:11" ht="18" customHeight="1">
      <c r="B112" s="150"/>
      <c r="E112" s="150"/>
      <c r="F112" s="195"/>
    </row>
    <row r="113" spans="1:6" ht="18" customHeight="1">
      <c r="A113" s="154"/>
      <c r="B113" s="150" t="s">
        <v>15</v>
      </c>
    </row>
    <row r="114" spans="1:6" ht="18" customHeight="1">
      <c r="A114" s="151" t="s">
        <v>171</v>
      </c>
      <c r="B114" s="155" t="s">
        <v>35</v>
      </c>
      <c r="F114" s="196"/>
    </row>
    <row r="115" spans="1:6" ht="18" customHeight="1">
      <c r="A115" s="151"/>
      <c r="B115" s="150"/>
    </row>
    <row r="116" spans="1:6" ht="18" customHeight="1">
      <c r="A116" s="151" t="s">
        <v>170</v>
      </c>
      <c r="B116" s="150" t="s">
        <v>16</v>
      </c>
    </row>
    <row r="117" spans="1:6" ht="18" customHeight="1">
      <c r="A117" s="151" t="s">
        <v>172</v>
      </c>
      <c r="B117" s="155" t="s">
        <v>17</v>
      </c>
      <c r="F117" s="157">
        <v>40855251</v>
      </c>
    </row>
    <row r="118" spans="1:6" ht="18" customHeight="1">
      <c r="A118" s="151" t="s">
        <v>173</v>
      </c>
      <c r="B118" s="147" t="s">
        <v>18</v>
      </c>
      <c r="F118" s="157">
        <v>1384179</v>
      </c>
    </row>
    <row r="119" spans="1:6" ht="18" customHeight="1">
      <c r="A119" s="151" t="s">
        <v>174</v>
      </c>
      <c r="B119" s="150" t="s">
        <v>19</v>
      </c>
      <c r="F119" s="187">
        <f>SUM(F117:F118)</f>
        <v>42239430</v>
      </c>
    </row>
    <row r="120" spans="1:6" ht="18" customHeight="1">
      <c r="A120" s="151"/>
      <c r="B120" s="150"/>
    </row>
    <row r="121" spans="1:6" ht="18" customHeight="1">
      <c r="A121" s="151" t="s">
        <v>167</v>
      </c>
      <c r="B121" s="150" t="s">
        <v>36</v>
      </c>
      <c r="F121" s="157">
        <v>40859307</v>
      </c>
    </row>
    <row r="122" spans="1:6" ht="18" customHeight="1">
      <c r="A122" s="151"/>
    </row>
    <row r="123" spans="1:6" ht="18" customHeight="1">
      <c r="A123" s="151" t="s">
        <v>175</v>
      </c>
      <c r="B123" s="150" t="s">
        <v>20</v>
      </c>
      <c r="F123" s="157">
        <v>1380123</v>
      </c>
    </row>
    <row r="124" spans="1:6" ht="18" customHeight="1">
      <c r="A124" s="151"/>
    </row>
    <row r="125" spans="1:6" ht="18" customHeight="1">
      <c r="A125" s="151" t="s">
        <v>176</v>
      </c>
      <c r="B125" s="150" t="s">
        <v>21</v>
      </c>
      <c r="F125" s="157">
        <v>607</v>
      </c>
    </row>
    <row r="126" spans="1:6" ht="18" customHeight="1">
      <c r="A126" s="151"/>
    </row>
    <row r="127" spans="1:6" ht="18" customHeight="1">
      <c r="A127" s="151" t="s">
        <v>177</v>
      </c>
      <c r="B127" s="150" t="s">
        <v>22</v>
      </c>
      <c r="F127" s="157">
        <v>1380730</v>
      </c>
    </row>
    <row r="128" spans="1:6" ht="18" customHeight="1">
      <c r="A128" s="151"/>
    </row>
    <row r="129" spans="1:11" ht="42.75" customHeight="1">
      <c r="F129" s="153" t="s">
        <v>9</v>
      </c>
      <c r="G129" s="153" t="s">
        <v>37</v>
      </c>
      <c r="H129" s="153" t="s">
        <v>29</v>
      </c>
      <c r="I129" s="153" t="s">
        <v>30</v>
      </c>
      <c r="J129" s="153" t="s">
        <v>33</v>
      </c>
      <c r="K129" s="153" t="s">
        <v>34</v>
      </c>
    </row>
    <row r="130" spans="1:11" ht="18" customHeight="1">
      <c r="A130" s="154" t="s">
        <v>157</v>
      </c>
      <c r="B130" s="150" t="s">
        <v>23</v>
      </c>
    </row>
    <row r="131" spans="1:11" ht="18" customHeight="1">
      <c r="A131" s="151" t="s">
        <v>158</v>
      </c>
      <c r="B131" s="147" t="s">
        <v>24</v>
      </c>
      <c r="F131" s="156"/>
      <c r="G131" s="156"/>
      <c r="H131" s="157"/>
      <c r="I131" s="158">
        <v>0</v>
      </c>
      <c r="J131" s="157"/>
      <c r="K131" s="159">
        <f>(H131+I131)-J131</f>
        <v>0</v>
      </c>
    </row>
    <row r="132" spans="1:11" ht="18" customHeight="1">
      <c r="A132" s="151" t="s">
        <v>159</v>
      </c>
      <c r="B132" s="147" t="s">
        <v>25</v>
      </c>
      <c r="F132" s="156"/>
      <c r="G132" s="156"/>
      <c r="H132" s="157"/>
      <c r="I132" s="158">
        <v>0</v>
      </c>
      <c r="J132" s="157"/>
      <c r="K132" s="159">
        <f>(H132+I132)-J132</f>
        <v>0</v>
      </c>
    </row>
    <row r="133" spans="1:11" ht="18" customHeight="1">
      <c r="A133" s="151" t="s">
        <v>160</v>
      </c>
      <c r="B133" s="898"/>
      <c r="C133" s="899"/>
      <c r="D133" s="900"/>
      <c r="F133" s="156"/>
      <c r="G133" s="156"/>
      <c r="H133" s="157"/>
      <c r="I133" s="158">
        <v>0</v>
      </c>
      <c r="J133" s="157"/>
      <c r="K133" s="159">
        <f>(H133+I133)-J133</f>
        <v>0</v>
      </c>
    </row>
    <row r="134" spans="1:11" ht="18" customHeight="1">
      <c r="A134" s="151" t="s">
        <v>161</v>
      </c>
      <c r="B134" s="898"/>
      <c r="C134" s="899"/>
      <c r="D134" s="900"/>
      <c r="F134" s="156"/>
      <c r="G134" s="156"/>
      <c r="H134" s="157"/>
      <c r="I134" s="158">
        <v>0</v>
      </c>
      <c r="J134" s="157"/>
      <c r="K134" s="159">
        <f>(H134+I134)-J134</f>
        <v>0</v>
      </c>
    </row>
    <row r="135" spans="1:11" ht="18" customHeight="1">
      <c r="A135" s="151" t="s">
        <v>162</v>
      </c>
      <c r="B135" s="898"/>
      <c r="C135" s="899"/>
      <c r="D135" s="900"/>
      <c r="F135" s="156"/>
      <c r="G135" s="156"/>
      <c r="H135" s="157"/>
      <c r="I135" s="158">
        <v>0</v>
      </c>
      <c r="J135" s="157"/>
      <c r="K135" s="159">
        <f>(H135+I135)-J135</f>
        <v>0</v>
      </c>
    </row>
    <row r="136" spans="1:11" ht="18" customHeight="1">
      <c r="A136" s="154"/>
    </row>
    <row r="137" spans="1:11" ht="18" customHeight="1">
      <c r="A137" s="154" t="s">
        <v>163</v>
      </c>
      <c r="B137" s="150" t="s">
        <v>27</v>
      </c>
      <c r="F137" s="162">
        <f t="shared" ref="F137:K137" si="13">SUM(F131:F135)</f>
        <v>0</v>
      </c>
      <c r="G137" s="162">
        <f t="shared" si="13"/>
        <v>0</v>
      </c>
      <c r="H137" s="159">
        <f t="shared" si="13"/>
        <v>0</v>
      </c>
      <c r="I137" s="159">
        <f t="shared" si="13"/>
        <v>0</v>
      </c>
      <c r="J137" s="159">
        <f t="shared" si="13"/>
        <v>0</v>
      </c>
      <c r="K137" s="159">
        <f t="shared" si="13"/>
        <v>0</v>
      </c>
    </row>
    <row r="138" spans="1:11" ht="18" customHeight="1">
      <c r="A138" s="147"/>
    </row>
    <row r="139" spans="1:11" ht="42.75" customHeight="1">
      <c r="F139" s="153" t="s">
        <v>9</v>
      </c>
      <c r="G139" s="153" t="s">
        <v>37</v>
      </c>
      <c r="H139" s="153" t="s">
        <v>29</v>
      </c>
      <c r="I139" s="153" t="s">
        <v>30</v>
      </c>
      <c r="J139" s="153" t="s">
        <v>33</v>
      </c>
      <c r="K139" s="153" t="s">
        <v>34</v>
      </c>
    </row>
    <row r="140" spans="1:11" ht="18" customHeight="1">
      <c r="A140" s="154" t="s">
        <v>166</v>
      </c>
      <c r="B140" s="150" t="s">
        <v>26</v>
      </c>
    </row>
    <row r="141" spans="1:11" ht="18" customHeight="1">
      <c r="A141" s="151" t="s">
        <v>137</v>
      </c>
      <c r="B141" s="150" t="s">
        <v>64</v>
      </c>
      <c r="F141" s="197">
        <f t="shared" ref="F141:K141" si="14">F36</f>
        <v>1229.25</v>
      </c>
      <c r="G141" s="197">
        <f t="shared" si="14"/>
        <v>1426</v>
      </c>
      <c r="H141" s="197">
        <f t="shared" si="14"/>
        <v>52145.270000000004</v>
      </c>
      <c r="I141" s="197">
        <f t="shared" si="14"/>
        <v>16769.870000000003</v>
      </c>
      <c r="J141" s="197">
        <f t="shared" si="14"/>
        <v>24526.379999999997</v>
      </c>
      <c r="K141" s="197">
        <f t="shared" si="14"/>
        <v>44388.76</v>
      </c>
    </row>
    <row r="142" spans="1:11" ht="18" customHeight="1">
      <c r="A142" s="151" t="s">
        <v>142</v>
      </c>
      <c r="B142" s="150" t="s">
        <v>65</v>
      </c>
      <c r="F142" s="197">
        <f t="shared" ref="F142:K142" si="15">F49</f>
        <v>2474</v>
      </c>
      <c r="G142" s="197">
        <f t="shared" si="15"/>
        <v>301</v>
      </c>
      <c r="H142" s="197">
        <f t="shared" si="15"/>
        <v>117888</v>
      </c>
      <c r="I142" s="197">
        <f t="shared" si="15"/>
        <v>36545.279999999999</v>
      </c>
      <c r="J142" s="197">
        <f t="shared" si="15"/>
        <v>0</v>
      </c>
      <c r="K142" s="197">
        <f t="shared" si="15"/>
        <v>154433.28</v>
      </c>
    </row>
    <row r="143" spans="1:11" ht="18" customHeight="1">
      <c r="A143" s="151" t="s">
        <v>144</v>
      </c>
      <c r="B143" s="150" t="s">
        <v>66</v>
      </c>
      <c r="F143" s="197">
        <f t="shared" ref="F143:K143" si="16">F64</f>
        <v>155</v>
      </c>
      <c r="G143" s="197">
        <f t="shared" si="16"/>
        <v>75</v>
      </c>
      <c r="H143" s="197">
        <f t="shared" si="16"/>
        <v>12118.399999999998</v>
      </c>
      <c r="I143" s="197">
        <f t="shared" si="16"/>
        <v>361.83</v>
      </c>
      <c r="J143" s="197">
        <f t="shared" si="16"/>
        <v>0</v>
      </c>
      <c r="K143" s="197">
        <f t="shared" si="16"/>
        <v>12480.229999999998</v>
      </c>
    </row>
    <row r="144" spans="1:11" ht="18" customHeight="1">
      <c r="A144" s="151" t="s">
        <v>146</v>
      </c>
      <c r="B144" s="150" t="s">
        <v>67</v>
      </c>
      <c r="F144" s="197">
        <f t="shared" ref="F144:K144" si="17">F74</f>
        <v>0</v>
      </c>
      <c r="G144" s="197">
        <f t="shared" si="17"/>
        <v>0</v>
      </c>
      <c r="H144" s="197">
        <f t="shared" si="17"/>
        <v>0</v>
      </c>
      <c r="I144" s="197">
        <f t="shared" si="17"/>
        <v>0</v>
      </c>
      <c r="J144" s="197">
        <f t="shared" si="17"/>
        <v>0</v>
      </c>
      <c r="K144" s="197">
        <f t="shared" si="17"/>
        <v>0</v>
      </c>
    </row>
    <row r="145" spans="1:11" ht="18" customHeight="1">
      <c r="A145" s="151" t="s">
        <v>148</v>
      </c>
      <c r="B145" s="150" t="s">
        <v>68</v>
      </c>
      <c r="F145" s="197">
        <f t="shared" ref="F145:K145" si="18">F82</f>
        <v>0</v>
      </c>
      <c r="G145" s="197">
        <f t="shared" si="18"/>
        <v>0</v>
      </c>
      <c r="H145" s="197">
        <f t="shared" si="18"/>
        <v>2500</v>
      </c>
      <c r="I145" s="197">
        <f t="shared" si="18"/>
        <v>0</v>
      </c>
      <c r="J145" s="197">
        <f t="shared" si="18"/>
        <v>0</v>
      </c>
      <c r="K145" s="197">
        <f t="shared" si="18"/>
        <v>2500</v>
      </c>
    </row>
    <row r="146" spans="1:11" ht="18" customHeight="1">
      <c r="A146" s="151" t="s">
        <v>150</v>
      </c>
      <c r="B146" s="150" t="s">
        <v>69</v>
      </c>
      <c r="F146" s="197">
        <f t="shared" ref="F146:K146" si="19">F98</f>
        <v>30</v>
      </c>
      <c r="G146" s="197">
        <f t="shared" si="19"/>
        <v>0</v>
      </c>
      <c r="H146" s="197">
        <f t="shared" si="19"/>
        <v>4500</v>
      </c>
      <c r="I146" s="197">
        <f t="shared" si="19"/>
        <v>0</v>
      </c>
      <c r="J146" s="197">
        <f t="shared" si="19"/>
        <v>0</v>
      </c>
      <c r="K146" s="197">
        <f t="shared" si="19"/>
        <v>4500</v>
      </c>
    </row>
    <row r="147" spans="1:11" ht="18" customHeight="1">
      <c r="A147" s="151" t="s">
        <v>153</v>
      </c>
      <c r="B147" s="150" t="s">
        <v>61</v>
      </c>
      <c r="F147" s="162">
        <f t="shared" ref="F147:K147" si="20">F108</f>
        <v>0</v>
      </c>
      <c r="G147" s="162">
        <f t="shared" si="20"/>
        <v>0</v>
      </c>
      <c r="H147" s="162">
        <f t="shared" si="20"/>
        <v>0</v>
      </c>
      <c r="I147" s="162">
        <f t="shared" si="20"/>
        <v>0</v>
      </c>
      <c r="J147" s="162">
        <f t="shared" si="20"/>
        <v>0</v>
      </c>
      <c r="K147" s="162">
        <f t="shared" si="20"/>
        <v>0</v>
      </c>
    </row>
    <row r="148" spans="1:11" ht="18" customHeight="1">
      <c r="A148" s="151" t="s">
        <v>155</v>
      </c>
      <c r="B148" s="150" t="s">
        <v>70</v>
      </c>
      <c r="F148" s="198" t="s">
        <v>73</v>
      </c>
      <c r="G148" s="198" t="s">
        <v>73</v>
      </c>
      <c r="H148" s="199" t="s">
        <v>73</v>
      </c>
      <c r="I148" s="199" t="s">
        <v>73</v>
      </c>
      <c r="J148" s="199" t="s">
        <v>73</v>
      </c>
      <c r="K148" s="200">
        <f>F111</f>
        <v>1455012</v>
      </c>
    </row>
    <row r="149" spans="1:11" ht="18" customHeight="1">
      <c r="A149" s="151" t="s">
        <v>163</v>
      </c>
      <c r="B149" s="150" t="s">
        <v>71</v>
      </c>
      <c r="F149" s="162">
        <f t="shared" ref="F149:K149" si="21">F137</f>
        <v>0</v>
      </c>
      <c r="G149" s="162">
        <f t="shared" si="21"/>
        <v>0</v>
      </c>
      <c r="H149" s="162">
        <f t="shared" si="21"/>
        <v>0</v>
      </c>
      <c r="I149" s="162">
        <f t="shared" si="21"/>
        <v>0</v>
      </c>
      <c r="J149" s="162">
        <f t="shared" si="21"/>
        <v>0</v>
      </c>
      <c r="K149" s="162">
        <f t="shared" si="21"/>
        <v>0</v>
      </c>
    </row>
    <row r="150" spans="1:11" ht="18" customHeight="1">
      <c r="A150" s="151" t="s">
        <v>185</v>
      </c>
      <c r="B150" s="150" t="s">
        <v>186</v>
      </c>
      <c r="F150" s="198" t="s">
        <v>73</v>
      </c>
      <c r="G150" s="198" t="s">
        <v>73</v>
      </c>
      <c r="H150" s="162">
        <f>H18</f>
        <v>1148312</v>
      </c>
      <c r="I150" s="162">
        <f>I18</f>
        <v>0</v>
      </c>
      <c r="J150" s="162">
        <f>J18</f>
        <v>981950</v>
      </c>
      <c r="K150" s="162">
        <f>K18</f>
        <v>166362</v>
      </c>
    </row>
    <row r="151" spans="1:11" ht="18" customHeight="1">
      <c r="B151" s="150"/>
      <c r="F151" s="174"/>
      <c r="G151" s="174"/>
      <c r="H151" s="174"/>
      <c r="I151" s="174"/>
      <c r="J151" s="174"/>
      <c r="K151" s="174"/>
    </row>
    <row r="152" spans="1:11" ht="18" customHeight="1">
      <c r="A152" s="154" t="s">
        <v>165</v>
      </c>
      <c r="B152" s="150" t="s">
        <v>26</v>
      </c>
      <c r="F152" s="201">
        <f t="shared" ref="F152:K152" si="22">SUM(F141:F150)</f>
        <v>3888.25</v>
      </c>
      <c r="G152" s="201">
        <f t="shared" si="22"/>
        <v>1802</v>
      </c>
      <c r="H152" s="201">
        <f t="shared" si="22"/>
        <v>1337463.67</v>
      </c>
      <c r="I152" s="201">
        <f t="shared" si="22"/>
        <v>53676.98</v>
      </c>
      <c r="J152" s="201">
        <f t="shared" si="22"/>
        <v>1006476.38</v>
      </c>
      <c r="K152" s="201">
        <f t="shared" si="22"/>
        <v>1839676.27</v>
      </c>
    </row>
    <row r="154" spans="1:11" ht="18" customHeight="1">
      <c r="A154" s="154" t="s">
        <v>168</v>
      </c>
      <c r="B154" s="150" t="s">
        <v>28</v>
      </c>
      <c r="F154" s="53">
        <f>K152/F121</f>
        <v>4.5024656683482177E-2</v>
      </c>
    </row>
    <row r="155" spans="1:11" ht="18" customHeight="1">
      <c r="A155" s="154" t="s">
        <v>169</v>
      </c>
      <c r="B155" s="150" t="s">
        <v>72</v>
      </c>
      <c r="F155" s="53">
        <f>K152/F127</f>
        <v>1.3323939292982698</v>
      </c>
      <c r="G155" s="150"/>
    </row>
    <row r="156" spans="1:11" ht="18" customHeight="1">
      <c r="G156" s="150"/>
    </row>
  </sheetData>
  <sheetProtection sheet="1" objects="1" scenarios="1"/>
  <mergeCells count="34">
    <mergeCell ref="B41:C41"/>
    <mergeCell ref="D2:H2"/>
    <mergeCell ref="C5:G5"/>
    <mergeCell ref="C6:G6"/>
    <mergeCell ref="C7:G7"/>
    <mergeCell ref="C9:G9"/>
    <mergeCell ref="C10:G10"/>
    <mergeCell ref="C11:G11"/>
    <mergeCell ref="B13:H13"/>
    <mergeCell ref="B30:D30"/>
    <mergeCell ref="B31:D31"/>
    <mergeCell ref="B34:D34"/>
    <mergeCell ref="B90:C90"/>
    <mergeCell ref="B44:D44"/>
    <mergeCell ref="B45:D45"/>
    <mergeCell ref="B46:D46"/>
    <mergeCell ref="B47:D47"/>
    <mergeCell ref="B52:C52"/>
    <mergeCell ref="B53:D53"/>
    <mergeCell ref="B55:D55"/>
    <mergeCell ref="B56:D56"/>
    <mergeCell ref="B57:D57"/>
    <mergeCell ref="B59:D59"/>
    <mergeCell ref="B62:D62"/>
    <mergeCell ref="B106:D106"/>
    <mergeCell ref="B133:D133"/>
    <mergeCell ref="B134:D134"/>
    <mergeCell ref="B135:D135"/>
    <mergeCell ref="B94:D94"/>
    <mergeCell ref="B95:D95"/>
    <mergeCell ref="B96:D96"/>
    <mergeCell ref="B103:C103"/>
    <mergeCell ref="B104:D104"/>
    <mergeCell ref="B105:D105"/>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3" tint="0.59999389629810485"/>
  </sheetPr>
  <dimension ref="A1:G16"/>
  <sheetViews>
    <sheetView showGridLines="0" showRowColHeaders="0" showRuler="0" zoomScaleNormal="100" workbookViewId="0">
      <selection activeCell="B7" sqref="B7"/>
    </sheetView>
  </sheetViews>
  <sheetFormatPr defaultColWidth="9.140625" defaultRowHeight="15"/>
  <cols>
    <col min="1" max="1" width="15.7109375" style="54" bestFit="1" customWidth="1"/>
    <col min="2" max="2" width="12" style="54" bestFit="1" customWidth="1"/>
    <col min="3" max="3" width="11.140625" style="54" bestFit="1" customWidth="1"/>
    <col min="4" max="4" width="13.85546875" style="54" bestFit="1" customWidth="1"/>
    <col min="5" max="5" width="12.42578125" style="54" customWidth="1"/>
    <col min="6" max="6" width="12" style="54" customWidth="1"/>
    <col min="7" max="7" width="13" style="54" customWidth="1"/>
    <col min="8" max="16384" width="9.140625" style="54"/>
  </cols>
  <sheetData>
    <row r="1" spans="1:7" ht="81" customHeight="1">
      <c r="B1" s="888" t="s">
        <v>972</v>
      </c>
      <c r="C1" s="888"/>
      <c r="D1" s="888"/>
      <c r="E1" s="888"/>
      <c r="F1" s="888"/>
      <c r="G1" s="847"/>
    </row>
    <row r="2" spans="1:7" ht="75" customHeight="1">
      <c r="A2" s="80" t="s">
        <v>255</v>
      </c>
      <c r="B2" s="80" t="s">
        <v>256</v>
      </c>
      <c r="C2" s="80" t="s">
        <v>257</v>
      </c>
      <c r="D2" s="80" t="s">
        <v>258</v>
      </c>
      <c r="E2" s="80" t="s">
        <v>259</v>
      </c>
      <c r="F2" s="80" t="s">
        <v>260</v>
      </c>
      <c r="G2" s="80" t="s">
        <v>261</v>
      </c>
    </row>
    <row r="3" spans="1:7" ht="36" customHeight="1">
      <c r="A3" s="366" t="s">
        <v>262</v>
      </c>
      <c r="B3" s="81">
        <f>'Attachment III-All'!G6</f>
        <v>0</v>
      </c>
      <c r="C3" s="81">
        <f>'Attachment III-All'!H118</f>
        <v>0</v>
      </c>
      <c r="D3" s="367">
        <f>'Attachment III-All'!L118</f>
        <v>56475886.335597038</v>
      </c>
      <c r="E3" s="870">
        <f>D3/D15</f>
        <v>3.5599136297743465E-2</v>
      </c>
      <c r="F3" s="368">
        <f>D3</f>
        <v>56475886.335597038</v>
      </c>
      <c r="G3" s="870">
        <f>F3/F15</f>
        <v>6.7206034783273416E-2</v>
      </c>
    </row>
    <row r="4" spans="1:7" ht="36" customHeight="1">
      <c r="A4" s="366" t="s">
        <v>64</v>
      </c>
      <c r="B4" s="81">
        <f>'Attachment III-All'!G109</f>
        <v>1047379.9931977001</v>
      </c>
      <c r="C4" s="81">
        <f>'Attachment III-All'!H109</f>
        <v>4082976.4976112456</v>
      </c>
      <c r="D4" s="367">
        <f>'Attachment III-All'!L109</f>
        <v>91349594.648414522</v>
      </c>
      <c r="E4" s="870">
        <f>D4/D15</f>
        <v>5.7581507465121348E-2</v>
      </c>
      <c r="F4" s="368">
        <f>D4</f>
        <v>91349594.648414522</v>
      </c>
      <c r="G4" s="870">
        <f>F4/F15</f>
        <v>0.10870558097836663</v>
      </c>
    </row>
    <row r="5" spans="1:7" ht="36" customHeight="1">
      <c r="A5" s="366" t="s">
        <v>263</v>
      </c>
      <c r="B5" s="81">
        <f>'Attachment III-All'!G110</f>
        <v>6810048.6330034779</v>
      </c>
      <c r="C5" s="81">
        <f>'Attachment III-All'!H110</f>
        <v>173371.94801916802</v>
      </c>
      <c r="D5" s="367">
        <f>'Attachment III-All'!L110</f>
        <v>435849332.81927359</v>
      </c>
      <c r="E5" s="870">
        <f>D5/D15</f>
        <v>0.27473424165694144</v>
      </c>
      <c r="F5" s="369">
        <f>D5-'DME_NSPI-all'!E55</f>
        <v>117891256.89068353</v>
      </c>
      <c r="G5" s="870">
        <f>F5/F15</f>
        <v>0.1402900321768866</v>
      </c>
    </row>
    <row r="6" spans="1:7" ht="36" customHeight="1">
      <c r="A6" s="366" t="s">
        <v>264</v>
      </c>
      <c r="B6" s="81">
        <f>'Attachment III-All'!G111</f>
        <v>2519323.726983726</v>
      </c>
      <c r="C6" s="81">
        <f>'Attachment III-All'!H111</f>
        <v>781989.48239702475</v>
      </c>
      <c r="D6" s="367">
        <f>'Attachment III-All'!L111</f>
        <v>468569851.97897232</v>
      </c>
      <c r="E6" s="870">
        <f>D6/D15</f>
        <v>0.29535936676568803</v>
      </c>
      <c r="F6" s="369">
        <f t="shared" ref="F6:F11" si="0">D6</f>
        <v>468569851.97897232</v>
      </c>
      <c r="G6" s="870">
        <f>F6/F15</f>
        <v>0.55759588407988081</v>
      </c>
    </row>
    <row r="7" spans="1:7" ht="36" customHeight="1">
      <c r="A7" s="366" t="s">
        <v>67</v>
      </c>
      <c r="B7" s="81">
        <f>'Attachment III-All'!G112</f>
        <v>101192.55313562448</v>
      </c>
      <c r="C7" s="81">
        <f>'Attachment III-All'!H112</f>
        <v>5909</v>
      </c>
      <c r="D7" s="367">
        <f>'Attachment III-All'!L112</f>
        <v>10819734.482478263</v>
      </c>
      <c r="E7" s="870">
        <f>D7/D15</f>
        <v>6.8201355930621651E-3</v>
      </c>
      <c r="F7" s="369">
        <f t="shared" si="0"/>
        <v>10819734.482478263</v>
      </c>
      <c r="G7" s="870">
        <f>F7/F15</f>
        <v>1.2875432315559598E-2</v>
      </c>
    </row>
    <row r="8" spans="1:7" ht="36" customHeight="1">
      <c r="A8" s="366" t="s">
        <v>68</v>
      </c>
      <c r="B8" s="81">
        <f>'Attachment III-All'!G113</f>
        <v>35604.801861917862</v>
      </c>
      <c r="C8" s="81">
        <f>'Attachment III-All'!H113</f>
        <v>187456</v>
      </c>
      <c r="D8" s="367">
        <f>'Attachment III-All'!L113</f>
        <v>16578082.78332578</v>
      </c>
      <c r="E8" s="870">
        <f>D8/D15</f>
        <v>1.0449865718829887E-2</v>
      </c>
      <c r="F8" s="369">
        <f t="shared" si="0"/>
        <v>16578082.78332578</v>
      </c>
      <c r="G8" s="870">
        <f>F8/F15</f>
        <v>1.9727839268525581E-2</v>
      </c>
    </row>
    <row r="9" spans="1:7" ht="36" customHeight="1">
      <c r="A9" s="366" t="s">
        <v>25</v>
      </c>
      <c r="B9" s="81">
        <f>'Attachment III-All'!G114</f>
        <v>241526.54464558637</v>
      </c>
      <c r="C9" s="81">
        <f>'Attachment III-All'!H114</f>
        <v>554013.36203832715</v>
      </c>
      <c r="D9" s="367">
        <f>'Attachment III-All'!L114</f>
        <v>20983321.722549126</v>
      </c>
      <c r="E9" s="870">
        <f>D9/D15</f>
        <v>1.3226673868234576E-2</v>
      </c>
      <c r="F9" s="369">
        <f t="shared" si="0"/>
        <v>20983321.722549126</v>
      </c>
      <c r="G9" s="870">
        <f>F9/F15</f>
        <v>2.4970052549053899E-2</v>
      </c>
    </row>
    <row r="10" spans="1:7" ht="36" customHeight="1">
      <c r="A10" s="366" t="s">
        <v>61</v>
      </c>
      <c r="B10" s="81">
        <f>'Attachment III-All'!G115</f>
        <v>95549.98915459626</v>
      </c>
      <c r="C10" s="81">
        <f>'Attachment III-All'!H115</f>
        <v>2974.354864107388</v>
      </c>
      <c r="D10" s="367">
        <f>'Attachment III-All'!L115</f>
        <v>10872915.132178389</v>
      </c>
      <c r="E10" s="870">
        <f>D10/D15</f>
        <v>6.8536576025411741E-3</v>
      </c>
      <c r="F10" s="369">
        <f t="shared" si="0"/>
        <v>10872915.132178389</v>
      </c>
      <c r="G10" s="870">
        <f>F10/F15</f>
        <v>1.2938717034497971E-2</v>
      </c>
    </row>
    <row r="11" spans="1:7" ht="36" customHeight="1">
      <c r="A11" s="366" t="s">
        <v>265</v>
      </c>
      <c r="B11" s="81">
        <f>'Attachment III-All'!G117</f>
        <v>63332</v>
      </c>
      <c r="C11" s="81">
        <f>'Attachment III-All'!H117</f>
        <v>11721</v>
      </c>
      <c r="D11" s="367">
        <f>'Attachment III-All'!L117</f>
        <v>3218209.5085730189</v>
      </c>
      <c r="E11" s="870">
        <f>D11/D15</f>
        <v>2.0285733675714569E-3</v>
      </c>
      <c r="F11" s="369">
        <f t="shared" si="0"/>
        <v>3218209.5085730189</v>
      </c>
      <c r="G11" s="870">
        <f>F11/F15</f>
        <v>3.8296539320834921E-3</v>
      </c>
    </row>
    <row r="12" spans="1:7" ht="36" customHeight="1">
      <c r="A12" s="862" t="s">
        <v>1025</v>
      </c>
      <c r="B12" s="863">
        <f>'Attachment III-All'!G116</f>
        <v>0</v>
      </c>
      <c r="C12" s="863">
        <f>'Attachment III-All'!H116</f>
        <v>0</v>
      </c>
      <c r="D12" s="864">
        <f>'Attachment III-All'!L116</f>
        <v>362585726.74099994</v>
      </c>
      <c r="E12" s="871">
        <f>D12/D15</f>
        <v>0.22855309661131268</v>
      </c>
      <c r="F12" s="865">
        <f>D12-'Rate Support-Attachment I'!E58</f>
        <v>-65556478.030712605</v>
      </c>
      <c r="G12" s="871">
        <f>F12/F15</f>
        <v>-7.8011895495015512E-2</v>
      </c>
    </row>
    <row r="13" spans="1:7" ht="36" customHeight="1">
      <c r="A13" s="862" t="s">
        <v>1026</v>
      </c>
      <c r="B13" s="863">
        <v>0</v>
      </c>
      <c r="C13" s="863">
        <v>0</v>
      </c>
      <c r="D13" s="864">
        <f>'ACA Expansion Expense'!H53</f>
        <v>109137134.5</v>
      </c>
      <c r="E13" s="871">
        <f>D13/D15</f>
        <v>6.8793745052953811E-2</v>
      </c>
      <c r="F13" s="865">
        <f>D13</f>
        <v>109137134.5</v>
      </c>
      <c r="G13" s="871">
        <f>F13/F15</f>
        <v>0.12987266837688755</v>
      </c>
    </row>
    <row r="14" spans="1:7" ht="36">
      <c r="A14" s="366" t="s">
        <v>1024</v>
      </c>
      <c r="B14" s="81">
        <v>0</v>
      </c>
      <c r="C14" s="81">
        <v>0</v>
      </c>
      <c r="D14" s="367">
        <f>SUM(D12:D13)</f>
        <v>471722861.24099994</v>
      </c>
      <c r="E14" s="870">
        <f>D14/D15</f>
        <v>0.2973468416642665</v>
      </c>
      <c r="F14" s="367">
        <f>SUM(F12:F13)</f>
        <v>43580656.469287395</v>
      </c>
      <c r="G14" s="870">
        <f>F14/F15</f>
        <v>5.1860772881872033E-2</v>
      </c>
    </row>
    <row r="15" spans="1:7">
      <c r="A15" s="366" t="s">
        <v>210</v>
      </c>
      <c r="B15" s="876">
        <f t="shared" ref="B15:C15" si="1">SUM(B3:B11)+B14</f>
        <v>10913958.24198263</v>
      </c>
      <c r="C15" s="876">
        <f t="shared" si="1"/>
        <v>5800411.6449298728</v>
      </c>
      <c r="D15" s="877">
        <f>SUM(D3:D11)+D14</f>
        <v>1586439790.6523619</v>
      </c>
      <c r="E15" s="878">
        <f>SUM(E3:E11)+E14</f>
        <v>1</v>
      </c>
      <c r="F15" s="877">
        <f>SUM(F3:F11)+F14</f>
        <v>840339509.95205939</v>
      </c>
      <c r="G15" s="878">
        <f>SUM(G3:G11)+G14</f>
        <v>1</v>
      </c>
    </row>
    <row r="16" spans="1:7">
      <c r="E16" s="861"/>
    </row>
  </sheetData>
  <sheetProtection algorithmName="SHA-512" hashValue="BgHKBd9WpIfHiu9ZU9+xCv18L5IuAf2Er8uJuqCXar0ywr9gAAudlsdeJkKH1VkM6QJHTaDZddUurQ5PpS+M4Q==" saltValue="RVPIwHTQhM8mqZSfqIvxMQ==" spinCount="100000" sheet="1" objects="1" scenarios="1"/>
  <mergeCells count="1">
    <mergeCell ref="B1:F1"/>
  </mergeCells>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K156"/>
  <sheetViews>
    <sheetView showGridLines="0" zoomScaleNormal="100" zoomScaleSheetLayoutView="80" workbookViewId="0">
      <selection activeCell="K18" sqref="K18"/>
    </sheetView>
  </sheetViews>
  <sheetFormatPr defaultRowHeight="18" customHeight="1"/>
  <cols>
    <col min="1" max="1" width="8.28515625" style="146" customWidth="1"/>
    <col min="2" max="2" width="55.42578125" style="147" bestFit="1" customWidth="1"/>
    <col min="3" max="3" width="9.5703125" style="147" customWidth="1"/>
    <col min="4" max="4" width="9.140625" style="147"/>
    <col min="5" max="5" width="12.42578125" style="147" customWidth="1"/>
    <col min="6" max="6" width="18.5703125" style="147" customWidth="1"/>
    <col min="7" max="7" width="23.5703125" style="147" customWidth="1"/>
    <col min="8" max="8" width="17.140625" style="147" customWidth="1"/>
    <col min="9" max="9" width="21.140625" style="147" customWidth="1"/>
    <col min="10" max="10" width="19.85546875" style="147" customWidth="1"/>
    <col min="11" max="11" width="17.5703125" style="147" customWidth="1"/>
    <col min="12" max="16384" width="9.140625" style="147"/>
  </cols>
  <sheetData>
    <row r="1" spans="1:11" ht="18" customHeight="1">
      <c r="C1" s="148"/>
      <c r="D1" s="149"/>
      <c r="E1" s="148"/>
      <c r="F1" s="148"/>
      <c r="G1" s="148"/>
      <c r="H1" s="148"/>
      <c r="I1" s="148"/>
      <c r="J1" s="148"/>
      <c r="K1" s="148"/>
    </row>
    <row r="2" spans="1:11" ht="18" customHeight="1">
      <c r="D2" s="910" t="s">
        <v>713</v>
      </c>
      <c r="E2" s="911"/>
      <c r="F2" s="911"/>
      <c r="G2" s="911"/>
      <c r="H2" s="911"/>
    </row>
    <row r="3" spans="1:11" ht="18" customHeight="1">
      <c r="B3" s="150" t="s">
        <v>0</v>
      </c>
    </row>
    <row r="5" spans="1:11" ht="18" customHeight="1">
      <c r="B5" s="151" t="s">
        <v>40</v>
      </c>
      <c r="C5" s="917" t="s">
        <v>361</v>
      </c>
      <c r="D5" s="918"/>
      <c r="E5" s="918"/>
      <c r="F5" s="918"/>
      <c r="G5" s="919"/>
    </row>
    <row r="6" spans="1:11" ht="18" customHeight="1">
      <c r="B6" s="151" t="s">
        <v>3</v>
      </c>
      <c r="C6" s="929">
        <v>61</v>
      </c>
      <c r="D6" s="921"/>
      <c r="E6" s="921"/>
      <c r="F6" s="921"/>
      <c r="G6" s="922"/>
    </row>
    <row r="7" spans="1:11" ht="18" customHeight="1">
      <c r="B7" s="151" t="s">
        <v>4</v>
      </c>
      <c r="C7" s="930">
        <v>850</v>
      </c>
      <c r="D7" s="924"/>
      <c r="E7" s="924"/>
      <c r="F7" s="924"/>
      <c r="G7" s="925"/>
    </row>
    <row r="9" spans="1:11" ht="18" customHeight="1">
      <c r="B9" s="151" t="s">
        <v>1</v>
      </c>
      <c r="C9" s="917" t="s">
        <v>362</v>
      </c>
      <c r="D9" s="918"/>
      <c r="E9" s="918"/>
      <c r="F9" s="918"/>
      <c r="G9" s="919"/>
    </row>
    <row r="10" spans="1:11" ht="18" customHeight="1">
      <c r="B10" s="151" t="s">
        <v>2</v>
      </c>
      <c r="C10" s="980" t="s">
        <v>363</v>
      </c>
      <c r="D10" s="927"/>
      <c r="E10" s="927"/>
      <c r="F10" s="927"/>
      <c r="G10" s="928"/>
    </row>
    <row r="11" spans="1:11" ht="18" customHeight="1">
      <c r="B11" s="151" t="s">
        <v>32</v>
      </c>
      <c r="C11" s="917" t="s">
        <v>364</v>
      </c>
      <c r="D11" s="913"/>
      <c r="E11" s="913"/>
      <c r="F11" s="913"/>
      <c r="G11" s="913"/>
    </row>
    <row r="12" spans="1:11" ht="18" customHeight="1">
      <c r="B12" s="151"/>
      <c r="C12" s="151"/>
      <c r="D12" s="151"/>
      <c r="E12" s="151"/>
      <c r="F12" s="151"/>
      <c r="G12" s="151"/>
    </row>
    <row r="13" spans="1:11" ht="24.6" customHeight="1">
      <c r="B13" s="914"/>
      <c r="C13" s="915"/>
      <c r="D13" s="915"/>
      <c r="E13" s="915"/>
      <c r="F13" s="915"/>
      <c r="G13" s="915"/>
      <c r="H13" s="916"/>
      <c r="I13" s="148"/>
    </row>
    <row r="14" spans="1:11" ht="18" customHeight="1">
      <c r="B14" s="152"/>
    </row>
    <row r="15" spans="1:11" ht="18" customHeight="1">
      <c r="B15" s="152"/>
    </row>
    <row r="16" spans="1:11" ht="45" customHeight="1">
      <c r="A16" s="149" t="s">
        <v>181</v>
      </c>
      <c r="B16" s="148"/>
      <c r="C16" s="148"/>
      <c r="D16" s="148"/>
      <c r="E16" s="148"/>
      <c r="F16" s="153" t="s">
        <v>9</v>
      </c>
      <c r="G16" s="153" t="s">
        <v>37</v>
      </c>
      <c r="H16" s="153" t="s">
        <v>29</v>
      </c>
      <c r="I16" s="153" t="s">
        <v>30</v>
      </c>
      <c r="J16" s="153" t="s">
        <v>33</v>
      </c>
      <c r="K16" s="153" t="s">
        <v>34</v>
      </c>
    </row>
    <row r="17" spans="1:11" ht="18" customHeight="1">
      <c r="A17" s="154" t="s">
        <v>184</v>
      </c>
      <c r="B17" s="150" t="s">
        <v>182</v>
      </c>
    </row>
    <row r="18" spans="1:11" ht="18" customHeight="1">
      <c r="A18" s="151" t="s">
        <v>185</v>
      </c>
      <c r="B18" s="155" t="s">
        <v>183</v>
      </c>
      <c r="F18" s="156" t="s">
        <v>73</v>
      </c>
      <c r="G18" s="156" t="s">
        <v>73</v>
      </c>
      <c r="H18" s="157">
        <v>2537991</v>
      </c>
      <c r="I18" s="158">
        <v>0</v>
      </c>
      <c r="J18" s="157">
        <v>2170300</v>
      </c>
      <c r="K18" s="159">
        <f>(H18+I18)-J18</f>
        <v>367691</v>
      </c>
    </row>
    <row r="19" spans="1:11" ht="45" customHeight="1">
      <c r="A19" s="149" t="s">
        <v>8</v>
      </c>
      <c r="B19" s="148"/>
      <c r="C19" s="148"/>
      <c r="D19" s="148"/>
      <c r="E19" s="148"/>
      <c r="F19" s="153" t="s">
        <v>9</v>
      </c>
      <c r="G19" s="153" t="s">
        <v>37</v>
      </c>
      <c r="H19" s="153" t="s">
        <v>29</v>
      </c>
      <c r="I19" s="153" t="s">
        <v>30</v>
      </c>
      <c r="J19" s="153" t="s">
        <v>33</v>
      </c>
      <c r="K19" s="153" t="s">
        <v>34</v>
      </c>
    </row>
    <row r="20" spans="1:11" ht="18" customHeight="1">
      <c r="A20" s="154" t="s">
        <v>74</v>
      </c>
      <c r="B20" s="150" t="s">
        <v>41</v>
      </c>
    </row>
    <row r="21" spans="1:11" ht="18" customHeight="1">
      <c r="A21" s="151" t="s">
        <v>75</v>
      </c>
      <c r="B21" s="155" t="s">
        <v>42</v>
      </c>
      <c r="F21" s="156">
        <v>2512.3000000000002</v>
      </c>
      <c r="G21" s="156">
        <v>31796</v>
      </c>
      <c r="H21" s="157">
        <v>217289</v>
      </c>
      <c r="I21" s="158">
        <f t="shared" ref="I21:I34" si="0">H21*F$114</f>
        <v>156882.658</v>
      </c>
      <c r="J21" s="157">
        <v>5976</v>
      </c>
      <c r="K21" s="159">
        <f t="shared" ref="K21:K34" si="1">(H21+I21)-J21</f>
        <v>368195.658</v>
      </c>
    </row>
    <row r="22" spans="1:11" ht="18" customHeight="1">
      <c r="A22" s="151" t="s">
        <v>76</v>
      </c>
      <c r="B22" s="147" t="s">
        <v>6</v>
      </c>
      <c r="F22" s="156">
        <v>72.5</v>
      </c>
      <c r="G22" s="156">
        <v>364</v>
      </c>
      <c r="H22" s="157">
        <v>9165</v>
      </c>
      <c r="I22" s="158">
        <f t="shared" si="0"/>
        <v>6617.13</v>
      </c>
      <c r="J22" s="157"/>
      <c r="K22" s="159">
        <f t="shared" si="1"/>
        <v>15782.130000000001</v>
      </c>
    </row>
    <row r="23" spans="1:11" ht="18" customHeight="1">
      <c r="A23" s="151" t="s">
        <v>77</v>
      </c>
      <c r="B23" s="147" t="s">
        <v>43</v>
      </c>
      <c r="F23" s="156"/>
      <c r="G23" s="156"/>
      <c r="H23" s="157"/>
      <c r="I23" s="158">
        <f t="shared" si="0"/>
        <v>0</v>
      </c>
      <c r="J23" s="157"/>
      <c r="K23" s="159">
        <f t="shared" si="1"/>
        <v>0</v>
      </c>
    </row>
    <row r="24" spans="1:11" ht="18" customHeight="1">
      <c r="A24" s="151" t="s">
        <v>78</v>
      </c>
      <c r="B24" s="147" t="s">
        <v>44</v>
      </c>
      <c r="F24" s="156"/>
      <c r="G24" s="156"/>
      <c r="H24" s="157"/>
      <c r="I24" s="158">
        <f t="shared" si="0"/>
        <v>0</v>
      </c>
      <c r="J24" s="157"/>
      <c r="K24" s="159">
        <f t="shared" si="1"/>
        <v>0</v>
      </c>
    </row>
    <row r="25" spans="1:11" ht="18" customHeight="1">
      <c r="A25" s="151" t="s">
        <v>79</v>
      </c>
      <c r="B25" s="147" t="s">
        <v>5</v>
      </c>
      <c r="F25" s="156">
        <v>443.2</v>
      </c>
      <c r="G25" s="156">
        <v>2515</v>
      </c>
      <c r="H25" s="157">
        <v>14470</v>
      </c>
      <c r="I25" s="158">
        <f t="shared" si="0"/>
        <v>10447.34</v>
      </c>
      <c r="J25" s="157"/>
      <c r="K25" s="159">
        <f t="shared" si="1"/>
        <v>24917.34</v>
      </c>
    </row>
    <row r="26" spans="1:11" ht="18" customHeight="1">
      <c r="A26" s="151" t="s">
        <v>80</v>
      </c>
      <c r="B26" s="147" t="s">
        <v>45</v>
      </c>
      <c r="F26" s="156"/>
      <c r="G26" s="156"/>
      <c r="H26" s="157"/>
      <c r="I26" s="158">
        <f t="shared" si="0"/>
        <v>0</v>
      </c>
      <c r="J26" s="157"/>
      <c r="K26" s="159">
        <f t="shared" si="1"/>
        <v>0</v>
      </c>
    </row>
    <row r="27" spans="1:11" ht="18" customHeight="1">
      <c r="A27" s="151" t="s">
        <v>81</v>
      </c>
      <c r="B27" s="147" t="s">
        <v>46</v>
      </c>
      <c r="F27" s="156">
        <v>5084.5</v>
      </c>
      <c r="G27" s="156">
        <v>5885</v>
      </c>
      <c r="H27" s="157">
        <v>295080</v>
      </c>
      <c r="I27" s="158">
        <f t="shared" si="0"/>
        <v>213047.75999999998</v>
      </c>
      <c r="J27" s="157"/>
      <c r="K27" s="159">
        <f t="shared" si="1"/>
        <v>508127.76</v>
      </c>
    </row>
    <row r="28" spans="1:11" ht="18" customHeight="1">
      <c r="A28" s="151" t="s">
        <v>82</v>
      </c>
      <c r="B28" s="147" t="s">
        <v>47</v>
      </c>
      <c r="F28" s="156"/>
      <c r="G28" s="156"/>
      <c r="H28" s="157"/>
      <c r="I28" s="158">
        <f t="shared" si="0"/>
        <v>0</v>
      </c>
      <c r="J28" s="157"/>
      <c r="K28" s="159">
        <f t="shared" si="1"/>
        <v>0</v>
      </c>
    </row>
    <row r="29" spans="1:11" ht="18" customHeight="1">
      <c r="A29" s="151" t="s">
        <v>83</v>
      </c>
      <c r="B29" s="147" t="s">
        <v>48</v>
      </c>
      <c r="F29" s="156">
        <v>3152.3</v>
      </c>
      <c r="G29" s="156">
        <v>1933</v>
      </c>
      <c r="H29" s="157">
        <v>185727</v>
      </c>
      <c r="I29" s="158">
        <f t="shared" si="0"/>
        <v>134094.894</v>
      </c>
      <c r="J29" s="157">
        <v>70</v>
      </c>
      <c r="K29" s="159">
        <f t="shared" si="1"/>
        <v>319751.89399999997</v>
      </c>
    </row>
    <row r="30" spans="1:11" ht="18" customHeight="1">
      <c r="A30" s="151" t="s">
        <v>84</v>
      </c>
      <c r="B30" s="898"/>
      <c r="C30" s="899"/>
      <c r="D30" s="900"/>
      <c r="F30" s="156"/>
      <c r="G30" s="156"/>
      <c r="H30" s="157"/>
      <c r="I30" s="158">
        <f t="shared" si="0"/>
        <v>0</v>
      </c>
      <c r="J30" s="157"/>
      <c r="K30" s="159">
        <f t="shared" si="1"/>
        <v>0</v>
      </c>
    </row>
    <row r="31" spans="1:11" ht="18" customHeight="1">
      <c r="A31" s="151" t="s">
        <v>133</v>
      </c>
      <c r="B31" s="898"/>
      <c r="C31" s="899"/>
      <c r="D31" s="900"/>
      <c r="F31" s="156"/>
      <c r="G31" s="156"/>
      <c r="H31" s="157"/>
      <c r="I31" s="158">
        <f t="shared" si="0"/>
        <v>0</v>
      </c>
      <c r="J31" s="157"/>
      <c r="K31" s="159">
        <f t="shared" si="1"/>
        <v>0</v>
      </c>
    </row>
    <row r="32" spans="1:11" ht="18" customHeight="1">
      <c r="A32" s="151" t="s">
        <v>134</v>
      </c>
      <c r="B32" s="408"/>
      <c r="C32" s="409"/>
      <c r="D32" s="410"/>
      <c r="F32" s="156"/>
      <c r="G32" s="160" t="s">
        <v>85</v>
      </c>
      <c r="H32" s="157"/>
      <c r="I32" s="158">
        <f t="shared" si="0"/>
        <v>0</v>
      </c>
      <c r="J32" s="157"/>
      <c r="K32" s="159">
        <f t="shared" si="1"/>
        <v>0</v>
      </c>
    </row>
    <row r="33" spans="1:11" ht="18" customHeight="1">
      <c r="A33" s="151" t="s">
        <v>135</v>
      </c>
      <c r="B33" s="408"/>
      <c r="C33" s="409"/>
      <c r="D33" s="410"/>
      <c r="F33" s="156"/>
      <c r="G33" s="160" t="s">
        <v>85</v>
      </c>
      <c r="H33" s="157"/>
      <c r="I33" s="158">
        <f t="shared" si="0"/>
        <v>0</v>
      </c>
      <c r="J33" s="157"/>
      <c r="K33" s="159">
        <f t="shared" si="1"/>
        <v>0</v>
      </c>
    </row>
    <row r="34" spans="1:11" ht="18" customHeight="1">
      <c r="A34" s="151" t="s">
        <v>136</v>
      </c>
      <c r="B34" s="898"/>
      <c r="C34" s="899"/>
      <c r="D34" s="900"/>
      <c r="F34" s="156"/>
      <c r="G34" s="160" t="s">
        <v>85</v>
      </c>
      <c r="H34" s="157"/>
      <c r="I34" s="158">
        <f t="shared" si="0"/>
        <v>0</v>
      </c>
      <c r="J34" s="157"/>
      <c r="K34" s="159">
        <f t="shared" si="1"/>
        <v>0</v>
      </c>
    </row>
    <row r="35" spans="1:11" ht="18" customHeight="1">
      <c r="K35" s="161"/>
    </row>
    <row r="36" spans="1:11" ht="18" customHeight="1">
      <c r="A36" s="154" t="s">
        <v>137</v>
      </c>
      <c r="B36" s="150" t="s">
        <v>138</v>
      </c>
      <c r="E36" s="150" t="s">
        <v>7</v>
      </c>
      <c r="F36" s="162">
        <f t="shared" ref="F36:K36" si="2">SUM(F21:F34)</f>
        <v>11264.8</v>
      </c>
      <c r="G36" s="162">
        <f t="shared" si="2"/>
        <v>42493</v>
      </c>
      <c r="H36" s="162">
        <f t="shared" si="2"/>
        <v>721731</v>
      </c>
      <c r="I36" s="159">
        <f t="shared" si="2"/>
        <v>521089.78200000001</v>
      </c>
      <c r="J36" s="159">
        <f t="shared" si="2"/>
        <v>6046</v>
      </c>
      <c r="K36" s="159">
        <f t="shared" si="2"/>
        <v>1236774.7820000001</v>
      </c>
    </row>
    <row r="37" spans="1:11" ht="18" customHeight="1" thickBot="1">
      <c r="B37" s="150"/>
      <c r="F37" s="163"/>
      <c r="G37" s="163"/>
      <c r="H37" s="164"/>
      <c r="I37" s="164"/>
      <c r="J37" s="164"/>
      <c r="K37" s="165"/>
    </row>
    <row r="38" spans="1:11" ht="42.75" customHeight="1">
      <c r="F38" s="153" t="s">
        <v>9</v>
      </c>
      <c r="G38" s="153" t="s">
        <v>37</v>
      </c>
      <c r="H38" s="153" t="s">
        <v>29</v>
      </c>
      <c r="I38" s="153" t="s">
        <v>30</v>
      </c>
      <c r="J38" s="153" t="s">
        <v>33</v>
      </c>
      <c r="K38" s="153" t="s">
        <v>34</v>
      </c>
    </row>
    <row r="39" spans="1:11" ht="18.75" customHeight="1">
      <c r="A39" s="154" t="s">
        <v>86</v>
      </c>
      <c r="B39" s="150" t="s">
        <v>49</v>
      </c>
    </row>
    <row r="40" spans="1:11" ht="18" customHeight="1">
      <c r="A40" s="151" t="s">
        <v>87</v>
      </c>
      <c r="B40" s="147" t="s">
        <v>31</v>
      </c>
      <c r="F40" s="156">
        <v>2216</v>
      </c>
      <c r="G40" s="156">
        <v>269</v>
      </c>
      <c r="H40" s="157">
        <f>260228+454</f>
        <v>260682</v>
      </c>
      <c r="I40" s="158">
        <v>0</v>
      </c>
      <c r="J40" s="157"/>
      <c r="K40" s="159">
        <f t="shared" ref="K40:K47" si="3">(H40+I40)-J40</f>
        <v>260682</v>
      </c>
    </row>
    <row r="41" spans="1:11" ht="18" customHeight="1">
      <c r="A41" s="151" t="s">
        <v>88</v>
      </c>
      <c r="B41" s="904" t="s">
        <v>50</v>
      </c>
      <c r="C41" s="907"/>
      <c r="F41" s="156">
        <v>1843.5</v>
      </c>
      <c r="G41" s="156">
        <v>583</v>
      </c>
      <c r="H41" s="157">
        <v>66454</v>
      </c>
      <c r="I41" s="158">
        <v>0</v>
      </c>
      <c r="J41" s="157"/>
      <c r="K41" s="159">
        <f t="shared" si="3"/>
        <v>66454</v>
      </c>
    </row>
    <row r="42" spans="1:11" ht="18" customHeight="1">
      <c r="A42" s="151" t="s">
        <v>89</v>
      </c>
      <c r="B42" s="155" t="s">
        <v>11</v>
      </c>
      <c r="F42" s="156">
        <v>13318.5</v>
      </c>
      <c r="G42" s="156">
        <v>582</v>
      </c>
      <c r="H42" s="157">
        <v>551184</v>
      </c>
      <c r="I42" s="158">
        <v>0</v>
      </c>
      <c r="J42" s="157"/>
      <c r="K42" s="159">
        <f t="shared" si="3"/>
        <v>551184</v>
      </c>
    </row>
    <row r="43" spans="1:11" ht="18" customHeight="1">
      <c r="A43" s="151" t="s">
        <v>90</v>
      </c>
      <c r="B43" s="166" t="s">
        <v>10</v>
      </c>
      <c r="C43" s="167"/>
      <c r="D43" s="167"/>
      <c r="F43" s="156">
        <v>266</v>
      </c>
      <c r="G43" s="156">
        <v>134</v>
      </c>
      <c r="H43" s="157">
        <v>12514</v>
      </c>
      <c r="I43" s="158">
        <v>0</v>
      </c>
      <c r="J43" s="157"/>
      <c r="K43" s="159">
        <f t="shared" si="3"/>
        <v>12514</v>
      </c>
    </row>
    <row r="44" spans="1:11" ht="18" customHeight="1">
      <c r="A44" s="151" t="s">
        <v>91</v>
      </c>
      <c r="B44" s="898"/>
      <c r="C44" s="899"/>
      <c r="D44" s="900"/>
      <c r="F44" s="168"/>
      <c r="G44" s="168"/>
      <c r="H44" s="168"/>
      <c r="I44" s="169">
        <v>0</v>
      </c>
      <c r="J44" s="168"/>
      <c r="K44" s="170">
        <f t="shared" si="3"/>
        <v>0</v>
      </c>
    </row>
    <row r="45" spans="1:11" ht="18" customHeight="1">
      <c r="A45" s="151" t="s">
        <v>139</v>
      </c>
      <c r="B45" s="898"/>
      <c r="C45" s="899"/>
      <c r="D45" s="900"/>
      <c r="F45" s="156"/>
      <c r="G45" s="156"/>
      <c r="H45" s="157"/>
      <c r="I45" s="158">
        <v>0</v>
      </c>
      <c r="J45" s="157"/>
      <c r="K45" s="159">
        <f t="shared" si="3"/>
        <v>0</v>
      </c>
    </row>
    <row r="46" spans="1:11" ht="18" customHeight="1">
      <c r="A46" s="151" t="s">
        <v>140</v>
      </c>
      <c r="B46" s="898"/>
      <c r="C46" s="899"/>
      <c r="D46" s="900"/>
      <c r="F46" s="156"/>
      <c r="G46" s="156"/>
      <c r="H46" s="157"/>
      <c r="I46" s="158">
        <v>0</v>
      </c>
      <c r="J46" s="157"/>
      <c r="K46" s="159">
        <f t="shared" si="3"/>
        <v>0</v>
      </c>
    </row>
    <row r="47" spans="1:11" ht="18" customHeight="1">
      <c r="A47" s="151" t="s">
        <v>141</v>
      </c>
      <c r="B47" s="898"/>
      <c r="C47" s="899"/>
      <c r="D47" s="900"/>
      <c r="F47" s="156"/>
      <c r="G47" s="156"/>
      <c r="H47" s="157"/>
      <c r="I47" s="158">
        <v>0</v>
      </c>
      <c r="J47" s="157"/>
      <c r="K47" s="159">
        <f t="shared" si="3"/>
        <v>0</v>
      </c>
    </row>
    <row r="49" spans="1:11" ht="18" customHeight="1">
      <c r="A49" s="154" t="s">
        <v>142</v>
      </c>
      <c r="B49" s="150" t="s">
        <v>143</v>
      </c>
      <c r="E49" s="150" t="s">
        <v>7</v>
      </c>
      <c r="F49" s="171">
        <f t="shared" ref="F49:K49" si="4">SUM(F40:F47)</f>
        <v>17644</v>
      </c>
      <c r="G49" s="171">
        <f t="shared" si="4"/>
        <v>1568</v>
      </c>
      <c r="H49" s="159">
        <f t="shared" si="4"/>
        <v>890834</v>
      </c>
      <c r="I49" s="159">
        <f t="shared" si="4"/>
        <v>0</v>
      </c>
      <c r="J49" s="159">
        <f t="shared" si="4"/>
        <v>0</v>
      </c>
      <c r="K49" s="159">
        <f t="shared" si="4"/>
        <v>890834</v>
      </c>
    </row>
    <row r="50" spans="1:11" ht="18" customHeight="1" thickBot="1">
      <c r="G50" s="172"/>
      <c r="H50" s="172"/>
      <c r="I50" s="172"/>
      <c r="J50" s="172"/>
      <c r="K50" s="172"/>
    </row>
    <row r="51" spans="1:11" ht="42.75" customHeight="1">
      <c r="F51" s="153" t="s">
        <v>9</v>
      </c>
      <c r="G51" s="153" t="s">
        <v>37</v>
      </c>
      <c r="H51" s="153" t="s">
        <v>29</v>
      </c>
      <c r="I51" s="153" t="s">
        <v>30</v>
      </c>
      <c r="J51" s="153" t="s">
        <v>33</v>
      </c>
      <c r="K51" s="153" t="s">
        <v>34</v>
      </c>
    </row>
    <row r="52" spans="1:11" ht="18" customHeight="1">
      <c r="A52" s="154" t="s">
        <v>92</v>
      </c>
      <c r="B52" s="905" t="s">
        <v>38</v>
      </c>
      <c r="C52" s="906"/>
    </row>
    <row r="53" spans="1:11" ht="18" customHeight="1">
      <c r="A53" s="151" t="s">
        <v>51</v>
      </c>
      <c r="B53" s="908" t="s">
        <v>847</v>
      </c>
      <c r="C53" s="909"/>
      <c r="D53" s="903"/>
      <c r="F53" s="156">
        <v>34</v>
      </c>
      <c r="G53" s="156">
        <v>7</v>
      </c>
      <c r="H53" s="157">
        <f>1757+111028</f>
        <v>112785</v>
      </c>
      <c r="I53" s="158">
        <v>0</v>
      </c>
      <c r="J53" s="157"/>
      <c r="K53" s="159">
        <f t="shared" ref="K53:K62" si="5">(H53+I53)-J53</f>
        <v>112785</v>
      </c>
    </row>
    <row r="54" spans="1:11" ht="18" customHeight="1">
      <c r="A54" s="151" t="s">
        <v>93</v>
      </c>
      <c r="B54" s="411" t="s">
        <v>365</v>
      </c>
      <c r="C54" s="412"/>
      <c r="D54" s="413"/>
      <c r="F54" s="156"/>
      <c r="G54" s="156"/>
      <c r="H54" s="157">
        <v>33430</v>
      </c>
      <c r="I54" s="158">
        <v>0</v>
      </c>
      <c r="J54" s="157"/>
      <c r="K54" s="159">
        <f t="shared" si="5"/>
        <v>33430</v>
      </c>
    </row>
    <row r="55" spans="1:11" ht="18" customHeight="1">
      <c r="A55" s="151" t="s">
        <v>94</v>
      </c>
      <c r="B55" s="901" t="s">
        <v>848</v>
      </c>
      <c r="C55" s="902"/>
      <c r="D55" s="903"/>
      <c r="F55" s="156"/>
      <c r="G55" s="156"/>
      <c r="H55" s="157">
        <v>178032</v>
      </c>
      <c r="I55" s="158">
        <v>0</v>
      </c>
      <c r="J55" s="157">
        <v>104838</v>
      </c>
      <c r="K55" s="159">
        <f t="shared" si="5"/>
        <v>73194</v>
      </c>
    </row>
    <row r="56" spans="1:11" ht="18" customHeight="1">
      <c r="A56" s="151" t="s">
        <v>95</v>
      </c>
      <c r="B56" s="901" t="s">
        <v>849</v>
      </c>
      <c r="C56" s="902"/>
      <c r="D56" s="903"/>
      <c r="F56" s="156"/>
      <c r="G56" s="156"/>
      <c r="H56" s="157"/>
      <c r="I56" s="158">
        <v>0</v>
      </c>
      <c r="J56" s="157"/>
      <c r="K56" s="159">
        <f t="shared" si="5"/>
        <v>0</v>
      </c>
    </row>
    <row r="57" spans="1:11" ht="18" customHeight="1">
      <c r="A57" s="151" t="s">
        <v>96</v>
      </c>
      <c r="B57" s="901" t="s">
        <v>850</v>
      </c>
      <c r="C57" s="902"/>
      <c r="D57" s="903"/>
      <c r="F57" s="156"/>
      <c r="G57" s="156"/>
      <c r="H57" s="157"/>
      <c r="I57" s="158">
        <v>0</v>
      </c>
      <c r="J57" s="157"/>
      <c r="K57" s="159">
        <f t="shared" si="5"/>
        <v>0</v>
      </c>
    </row>
    <row r="58" spans="1:11" ht="18" customHeight="1">
      <c r="A58" s="151" t="s">
        <v>97</v>
      </c>
      <c r="B58" s="901" t="s">
        <v>851</v>
      </c>
      <c r="C58" s="902"/>
      <c r="D58" s="903"/>
      <c r="F58" s="156"/>
      <c r="G58" s="156"/>
      <c r="H58" s="157">
        <v>5169191</v>
      </c>
      <c r="I58" s="158">
        <v>0</v>
      </c>
      <c r="J58" s="157"/>
      <c r="K58" s="159">
        <f t="shared" si="5"/>
        <v>5169191</v>
      </c>
    </row>
    <row r="59" spans="1:11" ht="18" customHeight="1">
      <c r="A59" s="151" t="s">
        <v>98</v>
      </c>
      <c r="B59" s="411" t="s">
        <v>618</v>
      </c>
      <c r="C59" s="412"/>
      <c r="D59" s="413"/>
      <c r="F59" s="156"/>
      <c r="G59" s="156"/>
      <c r="H59" s="157">
        <v>415472</v>
      </c>
      <c r="I59" s="158">
        <v>0</v>
      </c>
      <c r="J59" s="157">
        <v>288513</v>
      </c>
      <c r="K59" s="159">
        <f t="shared" si="5"/>
        <v>126959</v>
      </c>
    </row>
    <row r="60" spans="1:11" ht="18" customHeight="1">
      <c r="A60" s="151" t="s">
        <v>99</v>
      </c>
      <c r="B60" s="411"/>
      <c r="C60" s="412"/>
      <c r="D60" s="413"/>
      <c r="F60" s="156"/>
      <c r="G60" s="156"/>
      <c r="H60" s="157"/>
      <c r="I60" s="158">
        <v>0</v>
      </c>
      <c r="J60" s="157"/>
      <c r="K60" s="159">
        <f t="shared" si="5"/>
        <v>0</v>
      </c>
    </row>
    <row r="61" spans="1:11" ht="18" customHeight="1">
      <c r="A61" s="151" t="s">
        <v>100</v>
      </c>
      <c r="B61" s="411"/>
      <c r="C61" s="412"/>
      <c r="D61" s="413"/>
      <c r="F61" s="156"/>
      <c r="G61" s="156"/>
      <c r="H61" s="157"/>
      <c r="I61" s="158">
        <v>0</v>
      </c>
      <c r="J61" s="157"/>
      <c r="K61" s="159">
        <f t="shared" si="5"/>
        <v>0</v>
      </c>
    </row>
    <row r="62" spans="1:11" ht="18" customHeight="1">
      <c r="A62" s="151" t="s">
        <v>101</v>
      </c>
      <c r="B62" s="901"/>
      <c r="C62" s="902"/>
      <c r="D62" s="903"/>
      <c r="F62" s="156"/>
      <c r="G62" s="156"/>
      <c r="H62" s="157"/>
      <c r="I62" s="158">
        <v>0</v>
      </c>
      <c r="J62" s="157"/>
      <c r="K62" s="159">
        <f t="shared" si="5"/>
        <v>0</v>
      </c>
    </row>
    <row r="63" spans="1:11" ht="18" customHeight="1">
      <c r="A63" s="151"/>
      <c r="I63" s="173"/>
    </row>
    <row r="64" spans="1:11" ht="18" customHeight="1">
      <c r="A64" s="151" t="s">
        <v>144</v>
      </c>
      <c r="B64" s="150" t="s">
        <v>145</v>
      </c>
      <c r="E64" s="150" t="s">
        <v>7</v>
      </c>
      <c r="F64" s="162">
        <f t="shared" ref="F64:K64" si="6">SUM(F53:F62)</f>
        <v>34</v>
      </c>
      <c r="G64" s="162">
        <f t="shared" si="6"/>
        <v>7</v>
      </c>
      <c r="H64" s="159">
        <f t="shared" si="6"/>
        <v>5908910</v>
      </c>
      <c r="I64" s="159">
        <f t="shared" si="6"/>
        <v>0</v>
      </c>
      <c r="J64" s="159">
        <f t="shared" si="6"/>
        <v>393351</v>
      </c>
      <c r="K64" s="159">
        <f t="shared" si="6"/>
        <v>5515559</v>
      </c>
    </row>
    <row r="65" spans="1:11" ht="18" customHeight="1">
      <c r="F65" s="174"/>
      <c r="G65" s="174"/>
      <c r="H65" s="174"/>
      <c r="I65" s="174"/>
      <c r="J65" s="174"/>
      <c r="K65" s="174"/>
    </row>
    <row r="66" spans="1:11" ht="42.75" customHeight="1">
      <c r="F66" s="175" t="s">
        <v>9</v>
      </c>
      <c r="G66" s="175" t="s">
        <v>37</v>
      </c>
      <c r="H66" s="175" t="s">
        <v>29</v>
      </c>
      <c r="I66" s="175" t="s">
        <v>30</v>
      </c>
      <c r="J66" s="175" t="s">
        <v>33</v>
      </c>
      <c r="K66" s="175" t="s">
        <v>34</v>
      </c>
    </row>
    <row r="67" spans="1:11" ht="18" customHeight="1">
      <c r="A67" s="154" t="s">
        <v>102</v>
      </c>
      <c r="B67" s="150" t="s">
        <v>12</v>
      </c>
      <c r="F67" s="176"/>
      <c r="G67" s="176"/>
      <c r="H67" s="176"/>
      <c r="I67" s="177"/>
      <c r="J67" s="176"/>
      <c r="K67" s="178"/>
    </row>
    <row r="68" spans="1:11" ht="18" customHeight="1">
      <c r="A68" s="151" t="s">
        <v>103</v>
      </c>
      <c r="B68" s="147" t="s">
        <v>52</v>
      </c>
      <c r="F68" s="179"/>
      <c r="G68" s="179"/>
      <c r="H68" s="179"/>
      <c r="I68" s="158">
        <v>0</v>
      </c>
      <c r="J68" s="179"/>
      <c r="K68" s="159">
        <f>(H68+I68)-J68</f>
        <v>0</v>
      </c>
    </row>
    <row r="69" spans="1:11" ht="18" customHeight="1">
      <c r="A69" s="151" t="s">
        <v>104</v>
      </c>
      <c r="B69" s="155" t="s">
        <v>53</v>
      </c>
      <c r="F69" s="179">
        <v>5</v>
      </c>
      <c r="G69" s="179">
        <v>0</v>
      </c>
      <c r="H69" s="179">
        <v>164</v>
      </c>
      <c r="I69" s="158">
        <v>0</v>
      </c>
      <c r="J69" s="179"/>
      <c r="K69" s="159">
        <f>(H69+I69)-J69</f>
        <v>164</v>
      </c>
    </row>
    <row r="70" spans="1:11" ht="18" customHeight="1">
      <c r="A70" s="151" t="s">
        <v>178</v>
      </c>
      <c r="B70" s="411"/>
      <c r="C70" s="412"/>
      <c r="D70" s="413"/>
      <c r="E70" s="150"/>
      <c r="F70" s="180"/>
      <c r="G70" s="180"/>
      <c r="H70" s="181"/>
      <c r="I70" s="158">
        <v>0</v>
      </c>
      <c r="J70" s="181"/>
      <c r="K70" s="159">
        <f>(H70+I70)-J70</f>
        <v>0</v>
      </c>
    </row>
    <row r="71" spans="1:11" ht="18" customHeight="1">
      <c r="A71" s="151" t="s">
        <v>179</v>
      </c>
      <c r="B71" s="411"/>
      <c r="C71" s="412"/>
      <c r="D71" s="413"/>
      <c r="E71" s="150"/>
      <c r="F71" s="180"/>
      <c r="G71" s="180"/>
      <c r="H71" s="181"/>
      <c r="I71" s="158">
        <v>0</v>
      </c>
      <c r="J71" s="181"/>
      <c r="K71" s="159">
        <f>(H71+I71)-J71</f>
        <v>0</v>
      </c>
    </row>
    <row r="72" spans="1:11" ht="18" customHeight="1">
      <c r="A72" s="151" t="s">
        <v>180</v>
      </c>
      <c r="B72" s="414"/>
      <c r="C72" s="415"/>
      <c r="D72" s="182"/>
      <c r="E72" s="150"/>
      <c r="F72" s="156"/>
      <c r="G72" s="156"/>
      <c r="H72" s="157"/>
      <c r="I72" s="158">
        <v>0</v>
      </c>
      <c r="J72" s="157"/>
      <c r="K72" s="159">
        <f>(H72+I72)-J72</f>
        <v>0</v>
      </c>
    </row>
    <row r="73" spans="1:11" ht="18" customHeight="1">
      <c r="A73" s="151"/>
      <c r="B73" s="155"/>
      <c r="E73" s="150"/>
      <c r="F73" s="183"/>
      <c r="G73" s="183"/>
      <c r="H73" s="184"/>
      <c r="I73" s="177"/>
      <c r="J73" s="184"/>
      <c r="K73" s="178"/>
    </row>
    <row r="74" spans="1:11" ht="18" customHeight="1">
      <c r="A74" s="154" t="s">
        <v>146</v>
      </c>
      <c r="B74" s="150" t="s">
        <v>147</v>
      </c>
      <c r="E74" s="150" t="s">
        <v>7</v>
      </c>
      <c r="F74" s="185">
        <f t="shared" ref="F74:K74" si="7">SUM(F68:F72)</f>
        <v>5</v>
      </c>
      <c r="G74" s="185">
        <f t="shared" si="7"/>
        <v>0</v>
      </c>
      <c r="H74" s="185">
        <f t="shared" si="7"/>
        <v>164</v>
      </c>
      <c r="I74" s="186">
        <f t="shared" si="7"/>
        <v>0</v>
      </c>
      <c r="J74" s="185">
        <f t="shared" si="7"/>
        <v>0</v>
      </c>
      <c r="K74" s="187">
        <f t="shared" si="7"/>
        <v>164</v>
      </c>
    </row>
    <row r="75" spans="1:11" ht="42.75" customHeight="1">
      <c r="F75" s="153" t="s">
        <v>9</v>
      </c>
      <c r="G75" s="153" t="s">
        <v>37</v>
      </c>
      <c r="H75" s="153" t="s">
        <v>29</v>
      </c>
      <c r="I75" s="153" t="s">
        <v>30</v>
      </c>
      <c r="J75" s="153" t="s">
        <v>33</v>
      </c>
      <c r="K75" s="153" t="s">
        <v>34</v>
      </c>
    </row>
    <row r="76" spans="1:11" ht="18" customHeight="1">
      <c r="A76" s="154" t="s">
        <v>105</v>
      </c>
      <c r="B76" s="150" t="s">
        <v>106</v>
      </c>
    </row>
    <row r="77" spans="1:11" ht="18" customHeight="1">
      <c r="A77" s="151" t="s">
        <v>107</v>
      </c>
      <c r="B77" s="155" t="s">
        <v>54</v>
      </c>
      <c r="F77" s="156"/>
      <c r="G77" s="156"/>
      <c r="H77" s="157"/>
      <c r="I77" s="158">
        <v>0</v>
      </c>
      <c r="J77" s="157"/>
      <c r="K77" s="159">
        <f>(H77+I77)-J77</f>
        <v>0</v>
      </c>
    </row>
    <row r="78" spans="1:11" ht="18" customHeight="1">
      <c r="A78" s="151" t="s">
        <v>108</v>
      </c>
      <c r="B78" s="155" t="s">
        <v>55</v>
      </c>
      <c r="F78" s="156">
        <v>16</v>
      </c>
      <c r="G78" s="156"/>
      <c r="H78" s="157">
        <v>440</v>
      </c>
      <c r="I78" s="158">
        <v>0</v>
      </c>
      <c r="J78" s="157"/>
      <c r="K78" s="159">
        <f>(H78+I78)-J78</f>
        <v>440</v>
      </c>
    </row>
    <row r="79" spans="1:11" ht="18" customHeight="1">
      <c r="A79" s="151" t="s">
        <v>109</v>
      </c>
      <c r="B79" s="155" t="s">
        <v>13</v>
      </c>
      <c r="F79" s="156">
        <v>199.8</v>
      </c>
      <c r="G79" s="156">
        <v>12823</v>
      </c>
      <c r="H79" s="157">
        <v>92585</v>
      </c>
      <c r="I79" s="158">
        <v>0</v>
      </c>
      <c r="J79" s="157"/>
      <c r="K79" s="159">
        <f>(H79+I79)-J79</f>
        <v>92585</v>
      </c>
    </row>
    <row r="80" spans="1:11" ht="18" customHeight="1">
      <c r="A80" s="151" t="s">
        <v>110</v>
      </c>
      <c r="B80" s="155" t="s">
        <v>56</v>
      </c>
      <c r="F80" s="156"/>
      <c r="G80" s="156"/>
      <c r="H80" s="157"/>
      <c r="I80" s="158">
        <v>0</v>
      </c>
      <c r="J80" s="157"/>
      <c r="K80" s="159">
        <f>(H80+I80)-J80</f>
        <v>0</v>
      </c>
    </row>
    <row r="81" spans="1:11" ht="18" customHeight="1">
      <c r="A81" s="151"/>
      <c r="K81" s="188"/>
    </row>
    <row r="82" spans="1:11" ht="18" customHeight="1">
      <c r="A82" s="151" t="s">
        <v>148</v>
      </c>
      <c r="B82" s="150" t="s">
        <v>149</v>
      </c>
      <c r="E82" s="150" t="s">
        <v>7</v>
      </c>
      <c r="F82" s="185">
        <f t="shared" ref="F82:K82" si="8">SUM(F77:F80)</f>
        <v>215.8</v>
      </c>
      <c r="G82" s="185">
        <f t="shared" si="8"/>
        <v>12823</v>
      </c>
      <c r="H82" s="187">
        <f t="shared" si="8"/>
        <v>93025</v>
      </c>
      <c r="I82" s="187">
        <f t="shared" si="8"/>
        <v>0</v>
      </c>
      <c r="J82" s="187">
        <f t="shared" si="8"/>
        <v>0</v>
      </c>
      <c r="K82" s="187">
        <f t="shared" si="8"/>
        <v>93025</v>
      </c>
    </row>
    <row r="83" spans="1:11" ht="18" customHeight="1" thickBot="1">
      <c r="A83" s="151"/>
      <c r="F83" s="172"/>
      <c r="G83" s="172"/>
      <c r="H83" s="172"/>
      <c r="I83" s="172"/>
      <c r="J83" s="172"/>
      <c r="K83" s="172"/>
    </row>
    <row r="84" spans="1:11" ht="42.75" customHeight="1">
      <c r="F84" s="153" t="s">
        <v>9</v>
      </c>
      <c r="G84" s="153" t="s">
        <v>37</v>
      </c>
      <c r="H84" s="153" t="s">
        <v>29</v>
      </c>
      <c r="I84" s="153" t="s">
        <v>30</v>
      </c>
      <c r="J84" s="153" t="s">
        <v>33</v>
      </c>
      <c r="K84" s="153" t="s">
        <v>34</v>
      </c>
    </row>
    <row r="85" spans="1:11" ht="18" customHeight="1">
      <c r="A85" s="154" t="s">
        <v>111</v>
      </c>
      <c r="B85" s="150" t="s">
        <v>57</v>
      </c>
    </row>
    <row r="86" spans="1:11" ht="18" customHeight="1">
      <c r="A86" s="151" t="s">
        <v>112</v>
      </c>
      <c r="B86" s="155" t="s">
        <v>113</v>
      </c>
      <c r="F86" s="156"/>
      <c r="G86" s="156"/>
      <c r="H86" s="157"/>
      <c r="I86" s="158">
        <f t="shared" ref="I86:I96" si="9">H86*F$114</f>
        <v>0</v>
      </c>
      <c r="J86" s="157"/>
      <c r="K86" s="159">
        <f t="shared" ref="K86:K96" si="10">(H86+I86)-J86</f>
        <v>0</v>
      </c>
    </row>
    <row r="87" spans="1:11" ht="18" customHeight="1">
      <c r="A87" s="151" t="s">
        <v>114</v>
      </c>
      <c r="B87" s="155" t="s">
        <v>14</v>
      </c>
      <c r="F87" s="156">
        <v>24</v>
      </c>
      <c r="G87" s="156">
        <v>134</v>
      </c>
      <c r="H87" s="157">
        <v>1532</v>
      </c>
      <c r="I87" s="158">
        <f t="shared" si="9"/>
        <v>1106.104</v>
      </c>
      <c r="J87" s="157"/>
      <c r="K87" s="159">
        <f t="shared" si="10"/>
        <v>2638.1040000000003</v>
      </c>
    </row>
    <row r="88" spans="1:11" ht="18" customHeight="1">
      <c r="A88" s="151" t="s">
        <v>115</v>
      </c>
      <c r="B88" s="155" t="s">
        <v>116</v>
      </c>
      <c r="F88" s="156">
        <v>992.8</v>
      </c>
      <c r="G88" s="156">
        <v>2682</v>
      </c>
      <c r="H88" s="157">
        <v>135071</v>
      </c>
      <c r="I88" s="158">
        <f t="shared" si="9"/>
        <v>97521.262000000002</v>
      </c>
      <c r="J88" s="157"/>
      <c r="K88" s="159">
        <f t="shared" si="10"/>
        <v>232592.26199999999</v>
      </c>
    </row>
    <row r="89" spans="1:11" ht="18" customHeight="1">
      <c r="A89" s="151" t="s">
        <v>117</v>
      </c>
      <c r="B89" s="155" t="s">
        <v>58</v>
      </c>
      <c r="F89" s="156"/>
      <c r="G89" s="156"/>
      <c r="H89" s="157"/>
      <c r="I89" s="158">
        <f t="shared" si="9"/>
        <v>0</v>
      </c>
      <c r="J89" s="157"/>
      <c r="K89" s="159">
        <f t="shared" si="10"/>
        <v>0</v>
      </c>
    </row>
    <row r="90" spans="1:11" ht="18" customHeight="1">
      <c r="A90" s="151" t="s">
        <v>118</v>
      </c>
      <c r="B90" s="904" t="s">
        <v>59</v>
      </c>
      <c r="C90" s="907"/>
      <c r="F90" s="156"/>
      <c r="G90" s="156"/>
      <c r="H90" s="157"/>
      <c r="I90" s="158">
        <f t="shared" si="9"/>
        <v>0</v>
      </c>
      <c r="J90" s="157"/>
      <c r="K90" s="159">
        <f t="shared" si="10"/>
        <v>0</v>
      </c>
    </row>
    <row r="91" spans="1:11" ht="18" customHeight="1">
      <c r="A91" s="151" t="s">
        <v>119</v>
      </c>
      <c r="B91" s="155" t="s">
        <v>60</v>
      </c>
      <c r="F91" s="156">
        <v>240</v>
      </c>
      <c r="G91" s="156">
        <v>3196</v>
      </c>
      <c r="H91" s="157">
        <v>12856</v>
      </c>
      <c r="I91" s="158">
        <f t="shared" si="9"/>
        <v>9282.0319999999992</v>
      </c>
      <c r="J91" s="157"/>
      <c r="K91" s="159">
        <f t="shared" si="10"/>
        <v>22138.031999999999</v>
      </c>
    </row>
    <row r="92" spans="1:11" ht="18" customHeight="1">
      <c r="A92" s="151" t="s">
        <v>120</v>
      </c>
      <c r="B92" s="155" t="s">
        <v>121</v>
      </c>
      <c r="F92" s="189">
        <v>139</v>
      </c>
      <c r="G92" s="189">
        <v>328</v>
      </c>
      <c r="H92" s="190">
        <v>52530</v>
      </c>
      <c r="I92" s="158">
        <f t="shared" si="9"/>
        <v>37926.659999999996</v>
      </c>
      <c r="J92" s="190"/>
      <c r="K92" s="159">
        <f t="shared" si="10"/>
        <v>90456.66</v>
      </c>
    </row>
    <row r="93" spans="1:11" ht="18" customHeight="1">
      <c r="A93" s="151" t="s">
        <v>122</v>
      </c>
      <c r="B93" s="155" t="s">
        <v>123</v>
      </c>
      <c r="F93" s="156">
        <v>99.5</v>
      </c>
      <c r="G93" s="156">
        <v>80</v>
      </c>
      <c r="H93" s="157">
        <v>5234</v>
      </c>
      <c r="I93" s="158">
        <f t="shared" si="9"/>
        <v>3778.9479999999999</v>
      </c>
      <c r="J93" s="157"/>
      <c r="K93" s="159">
        <f t="shared" si="10"/>
        <v>9012.9480000000003</v>
      </c>
    </row>
    <row r="94" spans="1:11" ht="18" customHeight="1">
      <c r="A94" s="151" t="s">
        <v>124</v>
      </c>
      <c r="B94" s="901" t="s">
        <v>339</v>
      </c>
      <c r="C94" s="902"/>
      <c r="D94" s="903"/>
      <c r="F94" s="156">
        <v>6660</v>
      </c>
      <c r="G94" s="156">
        <v>0</v>
      </c>
      <c r="H94" s="157">
        <v>90653</v>
      </c>
      <c r="I94" s="158">
        <f t="shared" si="9"/>
        <v>65451.466</v>
      </c>
      <c r="J94" s="157"/>
      <c r="K94" s="159">
        <f t="shared" si="10"/>
        <v>156104.46600000001</v>
      </c>
    </row>
    <row r="95" spans="1:11" ht="18" customHeight="1">
      <c r="A95" s="151" t="s">
        <v>125</v>
      </c>
      <c r="B95" s="901"/>
      <c r="C95" s="902"/>
      <c r="D95" s="903"/>
      <c r="F95" s="156"/>
      <c r="G95" s="156"/>
      <c r="H95" s="157"/>
      <c r="I95" s="158">
        <f t="shared" si="9"/>
        <v>0</v>
      </c>
      <c r="J95" s="157"/>
      <c r="K95" s="159">
        <f t="shared" si="10"/>
        <v>0</v>
      </c>
    </row>
    <row r="96" spans="1:11" ht="18" customHeight="1">
      <c r="A96" s="151" t="s">
        <v>126</v>
      </c>
      <c r="B96" s="901"/>
      <c r="C96" s="902"/>
      <c r="D96" s="903"/>
      <c r="F96" s="156"/>
      <c r="G96" s="156"/>
      <c r="H96" s="157"/>
      <c r="I96" s="158">
        <f t="shared" si="9"/>
        <v>0</v>
      </c>
      <c r="J96" s="157"/>
      <c r="K96" s="159">
        <f t="shared" si="10"/>
        <v>0</v>
      </c>
    </row>
    <row r="97" spans="1:11" ht="18" customHeight="1">
      <c r="A97" s="151"/>
      <c r="B97" s="155"/>
    </row>
    <row r="98" spans="1:11" ht="18" customHeight="1">
      <c r="A98" s="154" t="s">
        <v>150</v>
      </c>
      <c r="B98" s="150" t="s">
        <v>151</v>
      </c>
      <c r="E98" s="150" t="s">
        <v>7</v>
      </c>
      <c r="F98" s="162">
        <f t="shared" ref="F98:K98" si="11">SUM(F86:F96)</f>
        <v>8155.3</v>
      </c>
      <c r="G98" s="162">
        <f t="shared" si="11"/>
        <v>6420</v>
      </c>
      <c r="H98" s="162">
        <f t="shared" si="11"/>
        <v>297876</v>
      </c>
      <c r="I98" s="162">
        <f t="shared" si="11"/>
        <v>215066.47200000001</v>
      </c>
      <c r="J98" s="162">
        <f t="shared" si="11"/>
        <v>0</v>
      </c>
      <c r="K98" s="162">
        <f t="shared" si="11"/>
        <v>512942.47199999995</v>
      </c>
    </row>
    <row r="99" spans="1:11" ht="18" customHeight="1" thickBot="1">
      <c r="B99" s="150"/>
      <c r="F99" s="172"/>
      <c r="G99" s="172"/>
      <c r="H99" s="172"/>
      <c r="I99" s="172"/>
      <c r="J99" s="172"/>
      <c r="K99" s="172"/>
    </row>
    <row r="100" spans="1:11" ht="42.75" customHeight="1">
      <c r="F100" s="153" t="s">
        <v>9</v>
      </c>
      <c r="G100" s="153" t="s">
        <v>37</v>
      </c>
      <c r="H100" s="153" t="s">
        <v>29</v>
      </c>
      <c r="I100" s="153" t="s">
        <v>30</v>
      </c>
      <c r="J100" s="153" t="s">
        <v>33</v>
      </c>
      <c r="K100" s="153" t="s">
        <v>34</v>
      </c>
    </row>
    <row r="101" spans="1:11" ht="18" customHeight="1">
      <c r="A101" s="154" t="s">
        <v>130</v>
      </c>
      <c r="B101" s="150" t="s">
        <v>63</v>
      </c>
    </row>
    <row r="102" spans="1:11" ht="18" customHeight="1">
      <c r="A102" s="151" t="s">
        <v>131</v>
      </c>
      <c r="B102" s="155" t="s">
        <v>152</v>
      </c>
      <c r="F102" s="156">
        <v>53</v>
      </c>
      <c r="G102" s="156">
        <v>75</v>
      </c>
      <c r="H102" s="157">
        <f>286876+22330</f>
        <v>309206</v>
      </c>
      <c r="I102" s="158">
        <f>H102*F$114</f>
        <v>223246.73199999999</v>
      </c>
      <c r="J102" s="157"/>
      <c r="K102" s="159">
        <f>(H102+I102)-J102</f>
        <v>532452.73199999996</v>
      </c>
    </row>
    <row r="103" spans="1:11" ht="18" customHeight="1">
      <c r="A103" s="151" t="s">
        <v>132</v>
      </c>
      <c r="B103" s="904" t="s">
        <v>62</v>
      </c>
      <c r="C103" s="904"/>
      <c r="F103" s="156">
        <v>9</v>
      </c>
      <c r="G103" s="156">
        <v>43</v>
      </c>
      <c r="H103" s="157">
        <v>429</v>
      </c>
      <c r="I103" s="158">
        <f>H103*F$114</f>
        <v>309.738</v>
      </c>
      <c r="J103" s="157"/>
      <c r="K103" s="159">
        <f>(H103+I103)-J103</f>
        <v>738.73800000000006</v>
      </c>
    </row>
    <row r="104" spans="1:11" ht="18" customHeight="1">
      <c r="A104" s="151" t="s">
        <v>128</v>
      </c>
      <c r="B104" s="901"/>
      <c r="C104" s="902"/>
      <c r="D104" s="903"/>
      <c r="F104" s="156"/>
      <c r="G104" s="156"/>
      <c r="H104" s="157"/>
      <c r="I104" s="158">
        <f>H104*F$114</f>
        <v>0</v>
      </c>
      <c r="J104" s="157"/>
      <c r="K104" s="159">
        <f>(H104+I104)-J104</f>
        <v>0</v>
      </c>
    </row>
    <row r="105" spans="1:11" ht="18" customHeight="1">
      <c r="A105" s="151" t="s">
        <v>127</v>
      </c>
      <c r="B105" s="901"/>
      <c r="C105" s="902"/>
      <c r="D105" s="903"/>
      <c r="F105" s="156"/>
      <c r="G105" s="156"/>
      <c r="H105" s="157"/>
      <c r="I105" s="158">
        <f>H105*F$114</f>
        <v>0</v>
      </c>
      <c r="J105" s="157"/>
      <c r="K105" s="159">
        <f>(H105+I105)-J105</f>
        <v>0</v>
      </c>
    </row>
    <row r="106" spans="1:11" ht="18" customHeight="1">
      <c r="A106" s="151" t="s">
        <v>129</v>
      </c>
      <c r="B106" s="901"/>
      <c r="C106" s="902"/>
      <c r="D106" s="903"/>
      <c r="F106" s="156"/>
      <c r="G106" s="156"/>
      <c r="H106" s="157"/>
      <c r="I106" s="158">
        <f>H106*F$114</f>
        <v>0</v>
      </c>
      <c r="J106" s="157"/>
      <c r="K106" s="159">
        <f>(H106+I106)-J106</f>
        <v>0</v>
      </c>
    </row>
    <row r="107" spans="1:11" ht="18" customHeight="1">
      <c r="B107" s="150"/>
    </row>
    <row r="108" spans="1:11" s="167" customFormat="1" ht="18" customHeight="1">
      <c r="A108" s="154" t="s">
        <v>153</v>
      </c>
      <c r="B108" s="191" t="s">
        <v>154</v>
      </c>
      <c r="C108" s="147"/>
      <c r="D108" s="147"/>
      <c r="E108" s="150" t="s">
        <v>7</v>
      </c>
      <c r="F108" s="162">
        <f t="shared" ref="F108:K108" si="12">SUM(F102:F106)</f>
        <v>62</v>
      </c>
      <c r="G108" s="162">
        <f t="shared" si="12"/>
        <v>118</v>
      </c>
      <c r="H108" s="159">
        <f t="shared" si="12"/>
        <v>309635</v>
      </c>
      <c r="I108" s="159">
        <f t="shared" si="12"/>
        <v>223556.47</v>
      </c>
      <c r="J108" s="159">
        <f t="shared" si="12"/>
        <v>0</v>
      </c>
      <c r="K108" s="159">
        <f t="shared" si="12"/>
        <v>533191.47</v>
      </c>
    </row>
    <row r="109" spans="1:11" s="167" customFormat="1" ht="18" customHeight="1" thickBot="1">
      <c r="A109" s="192"/>
      <c r="B109" s="193"/>
      <c r="C109" s="194"/>
      <c r="D109" s="194"/>
      <c r="E109" s="194"/>
      <c r="F109" s="172"/>
      <c r="G109" s="172"/>
      <c r="H109" s="172"/>
      <c r="I109" s="172"/>
      <c r="J109" s="172"/>
      <c r="K109" s="172"/>
    </row>
    <row r="110" spans="1:11" s="167" customFormat="1" ht="18" customHeight="1">
      <c r="A110" s="154" t="s">
        <v>156</v>
      </c>
      <c r="B110" s="150" t="s">
        <v>39</v>
      </c>
      <c r="C110" s="147"/>
      <c r="D110" s="147"/>
      <c r="E110" s="147"/>
      <c r="F110" s="147"/>
      <c r="G110" s="147"/>
      <c r="H110" s="147"/>
      <c r="I110" s="147"/>
      <c r="J110" s="147"/>
      <c r="K110" s="147"/>
    </row>
    <row r="111" spans="1:11" ht="18" customHeight="1">
      <c r="A111" s="154" t="s">
        <v>155</v>
      </c>
      <c r="B111" s="150" t="s">
        <v>164</v>
      </c>
      <c r="E111" s="150" t="s">
        <v>7</v>
      </c>
      <c r="F111" s="157">
        <v>2952568</v>
      </c>
    </row>
    <row r="112" spans="1:11" ht="18" customHeight="1">
      <c r="B112" s="150"/>
      <c r="E112" s="150"/>
      <c r="F112" s="195"/>
    </row>
    <row r="113" spans="1:6" ht="18" customHeight="1">
      <c r="A113" s="154"/>
      <c r="B113" s="150" t="s">
        <v>15</v>
      </c>
    </row>
    <row r="114" spans="1:6" ht="18" customHeight="1">
      <c r="A114" s="151" t="s">
        <v>171</v>
      </c>
      <c r="B114" s="155" t="s">
        <v>35</v>
      </c>
      <c r="F114" s="196">
        <v>0.72199999999999998</v>
      </c>
    </row>
    <row r="115" spans="1:6" ht="18" customHeight="1">
      <c r="A115" s="151"/>
      <c r="B115" s="150"/>
    </row>
    <row r="116" spans="1:6" ht="18" customHeight="1">
      <c r="A116" s="151" t="s">
        <v>170</v>
      </c>
      <c r="B116" s="150" t="s">
        <v>16</v>
      </c>
    </row>
    <row r="117" spans="1:6" ht="18" customHeight="1">
      <c r="A117" s="151" t="s">
        <v>172</v>
      </c>
      <c r="B117" s="155" t="s">
        <v>17</v>
      </c>
      <c r="F117" s="157">
        <v>106117345</v>
      </c>
    </row>
    <row r="118" spans="1:6" ht="18" customHeight="1">
      <c r="A118" s="151" t="s">
        <v>173</v>
      </c>
      <c r="B118" s="147" t="s">
        <v>18</v>
      </c>
      <c r="F118" s="157">
        <v>2887759</v>
      </c>
    </row>
    <row r="119" spans="1:6" ht="18" customHeight="1">
      <c r="A119" s="151" t="s">
        <v>174</v>
      </c>
      <c r="B119" s="150" t="s">
        <v>19</v>
      </c>
      <c r="F119" s="187">
        <f>SUM(F117:F118)</f>
        <v>109005104</v>
      </c>
    </row>
    <row r="120" spans="1:6" ht="18" customHeight="1">
      <c r="A120" s="151"/>
      <c r="B120" s="150"/>
    </row>
    <row r="121" spans="1:6" ht="18" customHeight="1">
      <c r="A121" s="151" t="s">
        <v>167</v>
      </c>
      <c r="B121" s="150" t="s">
        <v>36</v>
      </c>
      <c r="F121" s="157">
        <v>108255887</v>
      </c>
    </row>
    <row r="122" spans="1:6" ht="18" customHeight="1">
      <c r="A122" s="151"/>
    </row>
    <row r="123" spans="1:6" ht="18" customHeight="1">
      <c r="A123" s="151" t="s">
        <v>175</v>
      </c>
      <c r="B123" s="150" t="s">
        <v>20</v>
      </c>
      <c r="F123" s="157">
        <f>+F119-F121</f>
        <v>749217</v>
      </c>
    </row>
    <row r="124" spans="1:6" ht="18" customHeight="1">
      <c r="A124" s="151"/>
    </row>
    <row r="125" spans="1:6" ht="18" customHeight="1">
      <c r="A125" s="151" t="s">
        <v>176</v>
      </c>
      <c r="B125" s="150" t="s">
        <v>21</v>
      </c>
      <c r="F125" s="157">
        <v>1696436</v>
      </c>
    </row>
    <row r="126" spans="1:6" ht="18" customHeight="1">
      <c r="A126" s="151"/>
    </row>
    <row r="127" spans="1:6" ht="18" customHeight="1">
      <c r="A127" s="151" t="s">
        <v>177</v>
      </c>
      <c r="B127" s="150" t="s">
        <v>22</v>
      </c>
      <c r="F127" s="157">
        <f>+F123+F125</f>
        <v>2445653</v>
      </c>
    </row>
    <row r="128" spans="1:6" ht="18" customHeight="1">
      <c r="A128" s="151"/>
    </row>
    <row r="129" spans="1:11" ht="42.75" customHeight="1">
      <c r="F129" s="153" t="s">
        <v>9</v>
      </c>
      <c r="G129" s="153" t="s">
        <v>37</v>
      </c>
      <c r="H129" s="153" t="s">
        <v>29</v>
      </c>
      <c r="I129" s="153" t="s">
        <v>30</v>
      </c>
      <c r="J129" s="153" t="s">
        <v>33</v>
      </c>
      <c r="K129" s="153" t="s">
        <v>34</v>
      </c>
    </row>
    <row r="130" spans="1:11" ht="18" customHeight="1">
      <c r="A130" s="154" t="s">
        <v>157</v>
      </c>
      <c r="B130" s="150" t="s">
        <v>23</v>
      </c>
    </row>
    <row r="131" spans="1:11" ht="18" customHeight="1">
      <c r="A131" s="151" t="s">
        <v>158</v>
      </c>
      <c r="B131" s="147" t="s">
        <v>24</v>
      </c>
      <c r="F131" s="156"/>
      <c r="G131" s="156"/>
      <c r="H131" s="157"/>
      <c r="I131" s="158">
        <v>0</v>
      </c>
      <c r="J131" s="157"/>
      <c r="K131" s="159">
        <f>(H131+I131)-J131</f>
        <v>0</v>
      </c>
    </row>
    <row r="132" spans="1:11" ht="18" customHeight="1">
      <c r="A132" s="151" t="s">
        <v>159</v>
      </c>
      <c r="B132" s="147" t="s">
        <v>25</v>
      </c>
      <c r="F132" s="156"/>
      <c r="G132" s="156"/>
      <c r="H132" s="157"/>
      <c r="I132" s="158">
        <v>0</v>
      </c>
      <c r="J132" s="157"/>
      <c r="K132" s="159">
        <f>(H132+I132)-J132</f>
        <v>0</v>
      </c>
    </row>
    <row r="133" spans="1:11" ht="18" customHeight="1">
      <c r="A133" s="151" t="s">
        <v>160</v>
      </c>
      <c r="B133" s="898"/>
      <c r="C133" s="899"/>
      <c r="D133" s="900"/>
      <c r="F133" s="156"/>
      <c r="G133" s="156"/>
      <c r="H133" s="157"/>
      <c r="I133" s="158">
        <v>0</v>
      </c>
      <c r="J133" s="157"/>
      <c r="K133" s="159">
        <f>(H133+I133)-J133</f>
        <v>0</v>
      </c>
    </row>
    <row r="134" spans="1:11" ht="18" customHeight="1">
      <c r="A134" s="151" t="s">
        <v>161</v>
      </c>
      <c r="B134" s="898"/>
      <c r="C134" s="899"/>
      <c r="D134" s="900"/>
      <c r="F134" s="156"/>
      <c r="G134" s="156"/>
      <c r="H134" s="157"/>
      <c r="I134" s="158">
        <v>0</v>
      </c>
      <c r="J134" s="157"/>
      <c r="K134" s="159">
        <f>(H134+I134)-J134</f>
        <v>0</v>
      </c>
    </row>
    <row r="135" spans="1:11" ht="18" customHeight="1">
      <c r="A135" s="151" t="s">
        <v>162</v>
      </c>
      <c r="B135" s="898"/>
      <c r="C135" s="899"/>
      <c r="D135" s="900"/>
      <c r="F135" s="156"/>
      <c r="G135" s="156"/>
      <c r="H135" s="157"/>
      <c r="I135" s="158">
        <v>0</v>
      </c>
      <c r="J135" s="157"/>
      <c r="K135" s="159">
        <f>(H135+I135)-J135</f>
        <v>0</v>
      </c>
    </row>
    <row r="136" spans="1:11" ht="18" customHeight="1">
      <c r="A136" s="154"/>
    </row>
    <row r="137" spans="1:11" ht="18" customHeight="1">
      <c r="A137" s="154" t="s">
        <v>163</v>
      </c>
      <c r="B137" s="150" t="s">
        <v>27</v>
      </c>
      <c r="F137" s="162">
        <f t="shared" ref="F137:K137" si="13">SUM(F131:F135)</f>
        <v>0</v>
      </c>
      <c r="G137" s="162">
        <f t="shared" si="13"/>
        <v>0</v>
      </c>
      <c r="H137" s="159">
        <f t="shared" si="13"/>
        <v>0</v>
      </c>
      <c r="I137" s="159">
        <f t="shared" si="13"/>
        <v>0</v>
      </c>
      <c r="J137" s="159">
        <f t="shared" si="13"/>
        <v>0</v>
      </c>
      <c r="K137" s="159">
        <f t="shared" si="13"/>
        <v>0</v>
      </c>
    </row>
    <row r="138" spans="1:11" ht="18" customHeight="1">
      <c r="A138" s="147"/>
    </row>
    <row r="139" spans="1:11" ht="42.75" customHeight="1">
      <c r="F139" s="153" t="s">
        <v>9</v>
      </c>
      <c r="G139" s="153" t="s">
        <v>37</v>
      </c>
      <c r="H139" s="153" t="s">
        <v>29</v>
      </c>
      <c r="I139" s="153" t="s">
        <v>30</v>
      </c>
      <c r="J139" s="153" t="s">
        <v>33</v>
      </c>
      <c r="K139" s="153" t="s">
        <v>34</v>
      </c>
    </row>
    <row r="140" spans="1:11" ht="18" customHeight="1">
      <c r="A140" s="154" t="s">
        <v>166</v>
      </c>
      <c r="B140" s="150" t="s">
        <v>26</v>
      </c>
    </row>
    <row r="141" spans="1:11" ht="18" customHeight="1">
      <c r="A141" s="151" t="s">
        <v>137</v>
      </c>
      <c r="B141" s="150" t="s">
        <v>64</v>
      </c>
      <c r="F141" s="197">
        <f t="shared" ref="F141:K141" si="14">F36</f>
        <v>11264.8</v>
      </c>
      <c r="G141" s="197">
        <f t="shared" si="14"/>
        <v>42493</v>
      </c>
      <c r="H141" s="197">
        <f t="shared" si="14"/>
        <v>721731</v>
      </c>
      <c r="I141" s="197">
        <f t="shared" si="14"/>
        <v>521089.78200000001</v>
      </c>
      <c r="J141" s="197">
        <f t="shared" si="14"/>
        <v>6046</v>
      </c>
      <c r="K141" s="197">
        <f t="shared" si="14"/>
        <v>1236774.7820000001</v>
      </c>
    </row>
    <row r="142" spans="1:11" ht="18" customHeight="1">
      <c r="A142" s="151" t="s">
        <v>142</v>
      </c>
      <c r="B142" s="150" t="s">
        <v>65</v>
      </c>
      <c r="F142" s="197">
        <f t="shared" ref="F142:K142" si="15">F49</f>
        <v>17644</v>
      </c>
      <c r="G142" s="197">
        <f t="shared" si="15"/>
        <v>1568</v>
      </c>
      <c r="H142" s="197">
        <f t="shared" si="15"/>
        <v>890834</v>
      </c>
      <c r="I142" s="197">
        <f t="shared" si="15"/>
        <v>0</v>
      </c>
      <c r="J142" s="197">
        <f t="shared" si="15"/>
        <v>0</v>
      </c>
      <c r="K142" s="197">
        <f t="shared" si="15"/>
        <v>890834</v>
      </c>
    </row>
    <row r="143" spans="1:11" ht="18" customHeight="1">
      <c r="A143" s="151" t="s">
        <v>144</v>
      </c>
      <c r="B143" s="150" t="s">
        <v>66</v>
      </c>
      <c r="F143" s="197">
        <f t="shared" ref="F143:K143" si="16">F64</f>
        <v>34</v>
      </c>
      <c r="G143" s="197">
        <f t="shared" si="16"/>
        <v>7</v>
      </c>
      <c r="H143" s="197">
        <f t="shared" si="16"/>
        <v>5908910</v>
      </c>
      <c r="I143" s="197">
        <f t="shared" si="16"/>
        <v>0</v>
      </c>
      <c r="J143" s="197">
        <f t="shared" si="16"/>
        <v>393351</v>
      </c>
      <c r="K143" s="197">
        <f t="shared" si="16"/>
        <v>5515559</v>
      </c>
    </row>
    <row r="144" spans="1:11" ht="18" customHeight="1">
      <c r="A144" s="151" t="s">
        <v>146</v>
      </c>
      <c r="B144" s="150" t="s">
        <v>67</v>
      </c>
      <c r="F144" s="197">
        <f t="shared" ref="F144:K144" si="17">F74</f>
        <v>5</v>
      </c>
      <c r="G144" s="197">
        <f t="shared" si="17"/>
        <v>0</v>
      </c>
      <c r="H144" s="197">
        <f t="shared" si="17"/>
        <v>164</v>
      </c>
      <c r="I144" s="197">
        <f t="shared" si="17"/>
        <v>0</v>
      </c>
      <c r="J144" s="197">
        <f t="shared" si="17"/>
        <v>0</v>
      </c>
      <c r="K144" s="197">
        <f t="shared" si="17"/>
        <v>164</v>
      </c>
    </row>
    <row r="145" spans="1:11" ht="18" customHeight="1">
      <c r="A145" s="151" t="s">
        <v>148</v>
      </c>
      <c r="B145" s="150" t="s">
        <v>68</v>
      </c>
      <c r="F145" s="197">
        <f t="shared" ref="F145:K145" si="18">F82</f>
        <v>215.8</v>
      </c>
      <c r="G145" s="197">
        <f t="shared" si="18"/>
        <v>12823</v>
      </c>
      <c r="H145" s="197">
        <f t="shared" si="18"/>
        <v>93025</v>
      </c>
      <c r="I145" s="197">
        <f t="shared" si="18"/>
        <v>0</v>
      </c>
      <c r="J145" s="197">
        <f t="shared" si="18"/>
        <v>0</v>
      </c>
      <c r="K145" s="197">
        <f t="shared" si="18"/>
        <v>93025</v>
      </c>
    </row>
    <row r="146" spans="1:11" ht="18" customHeight="1">
      <c r="A146" s="151" t="s">
        <v>150</v>
      </c>
      <c r="B146" s="150" t="s">
        <v>69</v>
      </c>
      <c r="F146" s="197">
        <f t="shared" ref="F146:K146" si="19">F98</f>
        <v>8155.3</v>
      </c>
      <c r="G146" s="197">
        <f t="shared" si="19"/>
        <v>6420</v>
      </c>
      <c r="H146" s="197">
        <f t="shared" si="19"/>
        <v>297876</v>
      </c>
      <c r="I146" s="197">
        <f t="shared" si="19"/>
        <v>215066.47200000001</v>
      </c>
      <c r="J146" s="197">
        <f t="shared" si="19"/>
        <v>0</v>
      </c>
      <c r="K146" s="197">
        <f t="shared" si="19"/>
        <v>512942.47199999995</v>
      </c>
    </row>
    <row r="147" spans="1:11" ht="18" customHeight="1">
      <c r="A147" s="151" t="s">
        <v>153</v>
      </c>
      <c r="B147" s="150" t="s">
        <v>61</v>
      </c>
      <c r="F147" s="162">
        <f t="shared" ref="F147:K147" si="20">F108</f>
        <v>62</v>
      </c>
      <c r="G147" s="162">
        <f t="shared" si="20"/>
        <v>118</v>
      </c>
      <c r="H147" s="162">
        <f t="shared" si="20"/>
        <v>309635</v>
      </c>
      <c r="I147" s="162">
        <f t="shared" si="20"/>
        <v>223556.47</v>
      </c>
      <c r="J147" s="162">
        <f t="shared" si="20"/>
        <v>0</v>
      </c>
      <c r="K147" s="162">
        <f t="shared" si="20"/>
        <v>533191.47</v>
      </c>
    </row>
    <row r="148" spans="1:11" ht="18" customHeight="1">
      <c r="A148" s="151" t="s">
        <v>155</v>
      </c>
      <c r="B148" s="150" t="s">
        <v>70</v>
      </c>
      <c r="F148" s="198" t="s">
        <v>73</v>
      </c>
      <c r="G148" s="198" t="s">
        <v>73</v>
      </c>
      <c r="H148" s="199" t="s">
        <v>73</v>
      </c>
      <c r="I148" s="199" t="s">
        <v>73</v>
      </c>
      <c r="J148" s="199" t="s">
        <v>73</v>
      </c>
      <c r="K148" s="200">
        <f>F111</f>
        <v>2952568</v>
      </c>
    </row>
    <row r="149" spans="1:11" ht="18" customHeight="1">
      <c r="A149" s="151" t="s">
        <v>163</v>
      </c>
      <c r="B149" s="150" t="s">
        <v>71</v>
      </c>
      <c r="F149" s="162">
        <f t="shared" ref="F149:K149" si="21">F137</f>
        <v>0</v>
      </c>
      <c r="G149" s="162">
        <f t="shared" si="21"/>
        <v>0</v>
      </c>
      <c r="H149" s="162">
        <f t="shared" si="21"/>
        <v>0</v>
      </c>
      <c r="I149" s="162">
        <f t="shared" si="21"/>
        <v>0</v>
      </c>
      <c r="J149" s="162">
        <f t="shared" si="21"/>
        <v>0</v>
      </c>
      <c r="K149" s="162">
        <f t="shared" si="21"/>
        <v>0</v>
      </c>
    </row>
    <row r="150" spans="1:11" ht="18" customHeight="1">
      <c r="A150" s="151" t="s">
        <v>185</v>
      </c>
      <c r="B150" s="150" t="s">
        <v>186</v>
      </c>
      <c r="F150" s="198" t="s">
        <v>73</v>
      </c>
      <c r="G150" s="198" t="s">
        <v>73</v>
      </c>
      <c r="H150" s="162">
        <f>H18</f>
        <v>2537991</v>
      </c>
      <c r="I150" s="162">
        <f>I18</f>
        <v>0</v>
      </c>
      <c r="J150" s="162">
        <f>J18</f>
        <v>2170300</v>
      </c>
      <c r="K150" s="162">
        <f>K18</f>
        <v>367691</v>
      </c>
    </row>
    <row r="151" spans="1:11" ht="18" customHeight="1">
      <c r="B151" s="150"/>
      <c r="F151" s="174"/>
      <c r="G151" s="174"/>
      <c r="H151" s="174"/>
      <c r="I151" s="174"/>
      <c r="J151" s="174"/>
      <c r="K151" s="174"/>
    </row>
    <row r="152" spans="1:11" ht="18" customHeight="1">
      <c r="A152" s="154" t="s">
        <v>165</v>
      </c>
      <c r="B152" s="150" t="s">
        <v>26</v>
      </c>
      <c r="F152" s="201">
        <f t="shared" ref="F152:K152" si="22">SUM(F141:F150)</f>
        <v>37380.9</v>
      </c>
      <c r="G152" s="201">
        <f t="shared" si="22"/>
        <v>63429</v>
      </c>
      <c r="H152" s="201">
        <f t="shared" si="22"/>
        <v>10760166</v>
      </c>
      <c r="I152" s="201">
        <f t="shared" si="22"/>
        <v>959712.72399999993</v>
      </c>
      <c r="J152" s="201">
        <f t="shared" si="22"/>
        <v>2569697</v>
      </c>
      <c r="K152" s="201">
        <f t="shared" si="22"/>
        <v>12102749.723999999</v>
      </c>
    </row>
    <row r="154" spans="1:11" ht="18" customHeight="1">
      <c r="A154" s="154" t="s">
        <v>168</v>
      </c>
      <c r="B154" s="150" t="s">
        <v>28</v>
      </c>
      <c r="F154" s="53">
        <f>K152/F121</f>
        <v>0.111797612669323</v>
      </c>
    </row>
    <row r="155" spans="1:11" ht="18" customHeight="1">
      <c r="A155" s="154" t="s">
        <v>169</v>
      </c>
      <c r="B155" s="150" t="s">
        <v>72</v>
      </c>
      <c r="F155" s="53">
        <f>K152/F127</f>
        <v>4.9486782155931355</v>
      </c>
      <c r="G155" s="150"/>
    </row>
    <row r="156" spans="1:11" ht="18" customHeight="1">
      <c r="G156" s="150"/>
    </row>
  </sheetData>
  <sheetProtection algorithmName="SHA-512" hashValue="iVvdvBFvLJrCQayOzWBOnlmmkvSOlg0vsuWfxw4ykvUWsRMIU69Eos4F9LU4n3blGdfrud4L5z60Zw6vfmvLvQ==" saltValue="dNfDTr1s26G+Dg2uXX89nw==" spinCount="100000" sheet="1" objects="1" scenarios="1"/>
  <mergeCells count="34">
    <mergeCell ref="B106:D106"/>
    <mergeCell ref="B133:D133"/>
    <mergeCell ref="B134:D134"/>
    <mergeCell ref="B135:D135"/>
    <mergeCell ref="B94:D94"/>
    <mergeCell ref="B95:D95"/>
    <mergeCell ref="B96:D96"/>
    <mergeCell ref="B103:C103"/>
    <mergeCell ref="B104:D104"/>
    <mergeCell ref="B105:D105"/>
    <mergeCell ref="B90:C90"/>
    <mergeCell ref="B44:D44"/>
    <mergeCell ref="B45:D45"/>
    <mergeCell ref="B46:D46"/>
    <mergeCell ref="B47:D47"/>
    <mergeCell ref="B52:C52"/>
    <mergeCell ref="B53:D53"/>
    <mergeCell ref="B55:D55"/>
    <mergeCell ref="B56:D56"/>
    <mergeCell ref="B57:D57"/>
    <mergeCell ref="B58:D58"/>
    <mergeCell ref="B62:D62"/>
    <mergeCell ref="B41:C41"/>
    <mergeCell ref="D2:H2"/>
    <mergeCell ref="C5:G5"/>
    <mergeCell ref="C6:G6"/>
    <mergeCell ref="C7:G7"/>
    <mergeCell ref="C9:G9"/>
    <mergeCell ref="C10:G10"/>
    <mergeCell ref="C11:G11"/>
    <mergeCell ref="B13:H13"/>
    <mergeCell ref="B30:D30"/>
    <mergeCell ref="B31:D31"/>
    <mergeCell ref="B34:D34"/>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K156"/>
  <sheetViews>
    <sheetView showGridLines="0" topLeftCell="A6" zoomScaleNormal="100" zoomScaleSheetLayoutView="100" workbookViewId="0">
      <selection activeCell="K18" sqref="K18"/>
    </sheetView>
  </sheetViews>
  <sheetFormatPr defaultRowHeight="18" customHeight="1"/>
  <cols>
    <col min="1" max="1" width="8.28515625" style="146" customWidth="1"/>
    <col min="2" max="2" width="55.42578125" style="147" bestFit="1" customWidth="1"/>
    <col min="3" max="3" width="9.5703125" style="147" customWidth="1"/>
    <col min="4" max="4" width="9.140625" style="147"/>
    <col min="5" max="5" width="12.42578125" style="147" customWidth="1"/>
    <col min="6" max="6" width="18.5703125" style="147" customWidth="1"/>
    <col min="7" max="7" width="23.5703125" style="147" customWidth="1"/>
    <col min="8" max="8" width="17.140625" style="147" customWidth="1"/>
    <col min="9" max="9" width="21.140625" style="147" customWidth="1"/>
    <col min="10" max="10" width="19.85546875" style="147" customWidth="1"/>
    <col min="11" max="11" width="17.5703125" style="147" customWidth="1"/>
    <col min="12" max="16384" width="9.140625" style="147"/>
  </cols>
  <sheetData>
    <row r="1" spans="1:11" ht="18" customHeight="1">
      <c r="C1" s="148"/>
      <c r="D1" s="149"/>
      <c r="E1" s="148"/>
      <c r="F1" s="148"/>
      <c r="G1" s="148"/>
      <c r="H1" s="148"/>
      <c r="I1" s="148"/>
      <c r="J1" s="148"/>
      <c r="K1" s="148"/>
    </row>
    <row r="2" spans="1:11" ht="18" customHeight="1">
      <c r="D2" s="910" t="s">
        <v>713</v>
      </c>
      <c r="E2" s="911"/>
      <c r="F2" s="911"/>
      <c r="G2" s="911"/>
      <c r="H2" s="911"/>
    </row>
    <row r="3" spans="1:11" ht="18" customHeight="1">
      <c r="B3" s="150" t="s">
        <v>0</v>
      </c>
    </row>
    <row r="5" spans="1:11" ht="18" customHeight="1">
      <c r="B5" s="151" t="s">
        <v>40</v>
      </c>
      <c r="C5" s="917" t="s">
        <v>852</v>
      </c>
      <c r="D5" s="918"/>
      <c r="E5" s="918"/>
      <c r="F5" s="918"/>
      <c r="G5" s="919"/>
    </row>
    <row r="6" spans="1:11" ht="18" customHeight="1">
      <c r="B6" s="151" t="s">
        <v>3</v>
      </c>
      <c r="C6" s="929">
        <v>62</v>
      </c>
      <c r="D6" s="921"/>
      <c r="E6" s="921"/>
      <c r="F6" s="921"/>
      <c r="G6" s="922"/>
    </row>
    <row r="7" spans="1:11" ht="18" customHeight="1">
      <c r="B7" s="151" t="s">
        <v>4</v>
      </c>
      <c r="C7" s="930">
        <v>1605</v>
      </c>
      <c r="D7" s="924"/>
      <c r="E7" s="924"/>
      <c r="F7" s="924"/>
      <c r="G7" s="925"/>
    </row>
    <row r="9" spans="1:11" ht="18" customHeight="1">
      <c r="B9" s="151" t="s">
        <v>1</v>
      </c>
      <c r="C9" s="917" t="s">
        <v>503</v>
      </c>
      <c r="D9" s="918"/>
      <c r="E9" s="918"/>
      <c r="F9" s="918"/>
      <c r="G9" s="919"/>
    </row>
    <row r="10" spans="1:11" ht="18" customHeight="1">
      <c r="B10" s="151" t="s">
        <v>2</v>
      </c>
      <c r="C10" s="980" t="s">
        <v>491</v>
      </c>
      <c r="D10" s="927"/>
      <c r="E10" s="927"/>
      <c r="F10" s="927"/>
      <c r="G10" s="928"/>
    </row>
    <row r="11" spans="1:11" ht="18" customHeight="1">
      <c r="B11" s="151" t="s">
        <v>32</v>
      </c>
      <c r="C11" s="917" t="s">
        <v>498</v>
      </c>
      <c r="D11" s="913"/>
      <c r="E11" s="913"/>
      <c r="F11" s="913"/>
      <c r="G11" s="913"/>
    </row>
    <row r="12" spans="1:11" ht="18" customHeight="1">
      <c r="B12" s="151"/>
      <c r="C12" s="151"/>
      <c r="D12" s="151"/>
      <c r="E12" s="151"/>
      <c r="F12" s="151"/>
      <c r="G12" s="151"/>
    </row>
    <row r="13" spans="1:11" ht="24.6" customHeight="1">
      <c r="B13" s="914"/>
      <c r="C13" s="915"/>
      <c r="D13" s="915"/>
      <c r="E13" s="915"/>
      <c r="F13" s="915"/>
      <c r="G13" s="915"/>
      <c r="H13" s="916"/>
      <c r="I13" s="148"/>
    </row>
    <row r="14" spans="1:11" ht="18" customHeight="1">
      <c r="B14" s="152"/>
    </row>
    <row r="15" spans="1:11" ht="18" customHeight="1">
      <c r="B15" s="152"/>
    </row>
    <row r="16" spans="1:11" ht="45" customHeight="1">
      <c r="A16" s="149" t="s">
        <v>181</v>
      </c>
      <c r="B16" s="148"/>
      <c r="C16" s="148"/>
      <c r="D16" s="148"/>
      <c r="E16" s="148"/>
      <c r="F16" s="153" t="s">
        <v>9</v>
      </c>
      <c r="G16" s="153" t="s">
        <v>37</v>
      </c>
      <c r="H16" s="153" t="s">
        <v>29</v>
      </c>
      <c r="I16" s="153" t="s">
        <v>30</v>
      </c>
      <c r="J16" s="153" t="s">
        <v>33</v>
      </c>
      <c r="K16" s="153" t="s">
        <v>34</v>
      </c>
    </row>
    <row r="17" spans="1:11" ht="18" customHeight="1">
      <c r="A17" s="154" t="s">
        <v>184</v>
      </c>
      <c r="B17" s="150" t="s">
        <v>182</v>
      </c>
    </row>
    <row r="18" spans="1:11" ht="18" customHeight="1">
      <c r="A18" s="151" t="s">
        <v>185</v>
      </c>
      <c r="B18" s="155" t="s">
        <v>183</v>
      </c>
      <c r="F18" s="156" t="s">
        <v>73</v>
      </c>
      <c r="G18" s="156" t="s">
        <v>73</v>
      </c>
      <c r="H18" s="157">
        <v>5810552</v>
      </c>
      <c r="I18" s="158">
        <v>0</v>
      </c>
      <c r="J18" s="157">
        <v>4968748</v>
      </c>
      <c r="K18" s="159">
        <f>(H18+I18)-J18</f>
        <v>841804</v>
      </c>
    </row>
    <row r="19" spans="1:11" ht="45" customHeight="1">
      <c r="A19" s="149" t="s">
        <v>8</v>
      </c>
      <c r="B19" s="148"/>
      <c r="C19" s="148"/>
      <c r="D19" s="148"/>
      <c r="E19" s="148"/>
      <c r="F19" s="153" t="s">
        <v>9</v>
      </c>
      <c r="G19" s="153" t="s">
        <v>37</v>
      </c>
      <c r="H19" s="153" t="s">
        <v>29</v>
      </c>
      <c r="I19" s="153" t="s">
        <v>30</v>
      </c>
      <c r="J19" s="153" t="s">
        <v>33</v>
      </c>
      <c r="K19" s="153" t="s">
        <v>34</v>
      </c>
    </row>
    <row r="20" spans="1:11" ht="18" customHeight="1">
      <c r="A20" s="154" t="s">
        <v>74</v>
      </c>
      <c r="B20" s="150" t="s">
        <v>41</v>
      </c>
    </row>
    <row r="21" spans="1:11" ht="18" customHeight="1">
      <c r="A21" s="151" t="s">
        <v>75</v>
      </c>
      <c r="B21" s="155" t="s">
        <v>42</v>
      </c>
      <c r="F21" s="156">
        <v>411.5</v>
      </c>
      <c r="G21" s="156">
        <v>2828</v>
      </c>
      <c r="H21" s="157">
        <v>17791</v>
      </c>
      <c r="I21" s="158">
        <v>9671</v>
      </c>
      <c r="J21" s="157"/>
      <c r="K21" s="159">
        <f t="shared" ref="K21:K34" si="0">(H21+I21)-J21</f>
        <v>27462</v>
      </c>
    </row>
    <row r="22" spans="1:11" ht="18" customHeight="1">
      <c r="A22" s="151" t="s">
        <v>76</v>
      </c>
      <c r="B22" s="147" t="s">
        <v>6</v>
      </c>
      <c r="F22" s="156"/>
      <c r="G22" s="156"/>
      <c r="H22" s="157"/>
      <c r="I22" s="158">
        <f t="shared" ref="I22:I34" si="1">H22*F$114</f>
        <v>0</v>
      </c>
      <c r="J22" s="157"/>
      <c r="K22" s="159">
        <f t="shared" si="0"/>
        <v>0</v>
      </c>
    </row>
    <row r="23" spans="1:11" ht="18" customHeight="1">
      <c r="A23" s="151" t="s">
        <v>77</v>
      </c>
      <c r="B23" s="147" t="s">
        <v>43</v>
      </c>
      <c r="F23" s="156"/>
      <c r="G23" s="156"/>
      <c r="H23" s="157"/>
      <c r="I23" s="158">
        <f t="shared" si="1"/>
        <v>0</v>
      </c>
      <c r="J23" s="157"/>
      <c r="K23" s="159">
        <f t="shared" si="0"/>
        <v>0</v>
      </c>
    </row>
    <row r="24" spans="1:11" ht="18" customHeight="1">
      <c r="A24" s="151" t="s">
        <v>78</v>
      </c>
      <c r="B24" s="147" t="s">
        <v>44</v>
      </c>
      <c r="F24" s="156">
        <v>340.5</v>
      </c>
      <c r="G24" s="156">
        <v>5607</v>
      </c>
      <c r="H24" s="157">
        <v>13287</v>
      </c>
      <c r="I24" s="158">
        <v>1981</v>
      </c>
      <c r="J24" s="157"/>
      <c r="K24" s="159">
        <f t="shared" si="0"/>
        <v>15268</v>
      </c>
    </row>
    <row r="25" spans="1:11" ht="18" customHeight="1">
      <c r="A25" s="151" t="s">
        <v>79</v>
      </c>
      <c r="B25" s="147" t="s">
        <v>5</v>
      </c>
      <c r="F25" s="156"/>
      <c r="G25" s="156"/>
      <c r="H25" s="157"/>
      <c r="I25" s="158">
        <f t="shared" si="1"/>
        <v>0</v>
      </c>
      <c r="J25" s="157"/>
      <c r="K25" s="159">
        <f t="shared" si="0"/>
        <v>0</v>
      </c>
    </row>
    <row r="26" spans="1:11" ht="18" customHeight="1">
      <c r="A26" s="151" t="s">
        <v>80</v>
      </c>
      <c r="B26" s="147" t="s">
        <v>45</v>
      </c>
      <c r="F26" s="156"/>
      <c r="G26" s="156"/>
      <c r="H26" s="157"/>
      <c r="I26" s="158">
        <f t="shared" si="1"/>
        <v>0</v>
      </c>
      <c r="J26" s="157"/>
      <c r="K26" s="159">
        <f t="shared" si="0"/>
        <v>0</v>
      </c>
    </row>
    <row r="27" spans="1:11" ht="18" customHeight="1">
      <c r="A27" s="151" t="s">
        <v>81</v>
      </c>
      <c r="B27" s="147" t="s">
        <v>46</v>
      </c>
      <c r="F27" s="156"/>
      <c r="G27" s="156"/>
      <c r="H27" s="157"/>
      <c r="I27" s="158">
        <f t="shared" si="1"/>
        <v>0</v>
      </c>
      <c r="J27" s="157"/>
      <c r="K27" s="159">
        <f t="shared" si="0"/>
        <v>0</v>
      </c>
    </row>
    <row r="28" spans="1:11" ht="18" customHeight="1">
      <c r="A28" s="151" t="s">
        <v>82</v>
      </c>
      <c r="B28" s="147" t="s">
        <v>47</v>
      </c>
      <c r="F28" s="156"/>
      <c r="G28" s="156"/>
      <c r="H28" s="157"/>
      <c r="I28" s="158">
        <f t="shared" si="1"/>
        <v>0</v>
      </c>
      <c r="J28" s="157"/>
      <c r="K28" s="159">
        <f t="shared" si="0"/>
        <v>0</v>
      </c>
    </row>
    <row r="29" spans="1:11" ht="18" customHeight="1">
      <c r="A29" s="151" t="s">
        <v>83</v>
      </c>
      <c r="B29" s="147" t="s">
        <v>48</v>
      </c>
      <c r="F29" s="156"/>
      <c r="G29" s="156"/>
      <c r="H29" s="157">
        <v>22289</v>
      </c>
      <c r="I29" s="158">
        <v>5893</v>
      </c>
      <c r="J29" s="157"/>
      <c r="K29" s="159">
        <f t="shared" si="0"/>
        <v>28182</v>
      </c>
    </row>
    <row r="30" spans="1:11" ht="18" customHeight="1">
      <c r="A30" s="151" t="s">
        <v>84</v>
      </c>
      <c r="B30" s="898" t="s">
        <v>853</v>
      </c>
      <c r="C30" s="899"/>
      <c r="D30" s="900"/>
      <c r="F30" s="156">
        <v>3313</v>
      </c>
      <c r="G30" s="156">
        <v>14377</v>
      </c>
      <c r="H30" s="157">
        <v>175491</v>
      </c>
      <c r="I30" s="158">
        <v>100140</v>
      </c>
      <c r="J30" s="157"/>
      <c r="K30" s="159">
        <f t="shared" si="0"/>
        <v>275631</v>
      </c>
    </row>
    <row r="31" spans="1:11" ht="18" customHeight="1">
      <c r="A31" s="151" t="s">
        <v>133</v>
      </c>
      <c r="B31" s="898"/>
      <c r="C31" s="899"/>
      <c r="D31" s="900"/>
      <c r="F31" s="156"/>
      <c r="G31" s="156"/>
      <c r="H31" s="157"/>
      <c r="I31" s="158">
        <f t="shared" si="1"/>
        <v>0</v>
      </c>
      <c r="J31" s="157"/>
      <c r="K31" s="159">
        <f t="shared" si="0"/>
        <v>0</v>
      </c>
    </row>
    <row r="32" spans="1:11" ht="18" customHeight="1">
      <c r="A32" s="151" t="s">
        <v>134</v>
      </c>
      <c r="B32" s="408"/>
      <c r="C32" s="409"/>
      <c r="D32" s="410"/>
      <c r="F32" s="156"/>
      <c r="G32" s="160"/>
      <c r="H32" s="157"/>
      <c r="I32" s="158">
        <f t="shared" si="1"/>
        <v>0</v>
      </c>
      <c r="J32" s="157"/>
      <c r="K32" s="159">
        <f t="shared" si="0"/>
        <v>0</v>
      </c>
    </row>
    <row r="33" spans="1:11" ht="18" customHeight="1">
      <c r="A33" s="151" t="s">
        <v>135</v>
      </c>
      <c r="B33" s="408"/>
      <c r="C33" s="409"/>
      <c r="D33" s="410"/>
      <c r="F33" s="156"/>
      <c r="G33" s="160" t="s">
        <v>85</v>
      </c>
      <c r="H33" s="157"/>
      <c r="I33" s="158">
        <f t="shared" si="1"/>
        <v>0</v>
      </c>
      <c r="J33" s="157"/>
      <c r="K33" s="159">
        <f t="shared" si="0"/>
        <v>0</v>
      </c>
    </row>
    <row r="34" spans="1:11" ht="18" customHeight="1">
      <c r="A34" s="151" t="s">
        <v>136</v>
      </c>
      <c r="B34" s="898"/>
      <c r="C34" s="899"/>
      <c r="D34" s="900"/>
      <c r="F34" s="156"/>
      <c r="G34" s="160" t="s">
        <v>85</v>
      </c>
      <c r="H34" s="157"/>
      <c r="I34" s="158">
        <f t="shared" si="1"/>
        <v>0</v>
      </c>
      <c r="J34" s="157"/>
      <c r="K34" s="159">
        <f t="shared" si="0"/>
        <v>0</v>
      </c>
    </row>
    <row r="35" spans="1:11" ht="18" customHeight="1">
      <c r="K35" s="161"/>
    </row>
    <row r="36" spans="1:11" ht="18" customHeight="1">
      <c r="A36" s="154" t="s">
        <v>137</v>
      </c>
      <c r="B36" s="150" t="s">
        <v>138</v>
      </c>
      <c r="E36" s="150" t="s">
        <v>7</v>
      </c>
      <c r="F36" s="162">
        <f t="shared" ref="F36:K36" si="2">SUM(F21:F34)</f>
        <v>4065</v>
      </c>
      <c r="G36" s="162">
        <f t="shared" si="2"/>
        <v>22812</v>
      </c>
      <c r="H36" s="162">
        <f t="shared" si="2"/>
        <v>228858</v>
      </c>
      <c r="I36" s="159">
        <f t="shared" si="2"/>
        <v>117685</v>
      </c>
      <c r="J36" s="159">
        <f t="shared" si="2"/>
        <v>0</v>
      </c>
      <c r="K36" s="159">
        <f t="shared" si="2"/>
        <v>346543</v>
      </c>
    </row>
    <row r="37" spans="1:11" ht="18" customHeight="1" thickBot="1">
      <c r="B37" s="150"/>
      <c r="F37" s="163"/>
      <c r="G37" s="163"/>
      <c r="H37" s="164"/>
      <c r="I37" s="164"/>
      <c r="J37" s="164"/>
      <c r="K37" s="165"/>
    </row>
    <row r="38" spans="1:11" ht="42.75" customHeight="1">
      <c r="F38" s="153" t="s">
        <v>9</v>
      </c>
      <c r="G38" s="153" t="s">
        <v>37</v>
      </c>
      <c r="H38" s="153" t="s">
        <v>29</v>
      </c>
      <c r="I38" s="153" t="s">
        <v>30</v>
      </c>
      <c r="J38" s="153" t="s">
        <v>33</v>
      </c>
      <c r="K38" s="153" t="s">
        <v>34</v>
      </c>
    </row>
    <row r="39" spans="1:11" ht="18.75" customHeight="1">
      <c r="A39" s="154" t="s">
        <v>86</v>
      </c>
      <c r="B39" s="150" t="s">
        <v>49</v>
      </c>
    </row>
    <row r="40" spans="1:11" ht="18" customHeight="1">
      <c r="A40" s="151" t="s">
        <v>87</v>
      </c>
      <c r="B40" s="147" t="s">
        <v>31</v>
      </c>
      <c r="F40" s="156"/>
      <c r="G40" s="156"/>
      <c r="H40" s="157"/>
      <c r="I40" s="158">
        <v>0</v>
      </c>
      <c r="J40" s="157"/>
      <c r="K40" s="159">
        <f t="shared" ref="K40:K47" si="3">(H40+I40)-J40</f>
        <v>0</v>
      </c>
    </row>
    <row r="41" spans="1:11" ht="18" customHeight="1">
      <c r="A41" s="151" t="s">
        <v>88</v>
      </c>
      <c r="B41" s="904" t="s">
        <v>50</v>
      </c>
      <c r="C41" s="907"/>
      <c r="F41" s="156">
        <v>25848</v>
      </c>
      <c r="G41" s="156">
        <v>461</v>
      </c>
      <c r="H41" s="157">
        <v>995429</v>
      </c>
      <c r="I41" s="158">
        <v>688839</v>
      </c>
      <c r="J41" s="157"/>
      <c r="K41" s="159">
        <f t="shared" si="3"/>
        <v>1684268</v>
      </c>
    </row>
    <row r="42" spans="1:11" ht="18" customHeight="1">
      <c r="A42" s="151" t="s">
        <v>89</v>
      </c>
      <c r="B42" s="155" t="s">
        <v>11</v>
      </c>
      <c r="F42" s="156">
        <v>3222</v>
      </c>
      <c r="G42" s="156">
        <f>28+10</f>
        <v>38</v>
      </c>
      <c r="H42" s="157">
        <v>131985</v>
      </c>
      <c r="I42" s="158">
        <v>91334</v>
      </c>
      <c r="J42" s="157"/>
      <c r="K42" s="159">
        <f t="shared" si="3"/>
        <v>223319</v>
      </c>
    </row>
    <row r="43" spans="1:11" ht="18" customHeight="1">
      <c r="A43" s="151" t="s">
        <v>90</v>
      </c>
      <c r="B43" s="166" t="s">
        <v>10</v>
      </c>
      <c r="C43" s="167"/>
      <c r="D43" s="167"/>
      <c r="F43" s="156"/>
      <c r="G43" s="156"/>
      <c r="H43" s="157"/>
      <c r="I43" s="158">
        <v>0</v>
      </c>
      <c r="J43" s="157"/>
      <c r="K43" s="159">
        <f t="shared" si="3"/>
        <v>0</v>
      </c>
    </row>
    <row r="44" spans="1:11" ht="18" customHeight="1">
      <c r="A44" s="151" t="s">
        <v>91</v>
      </c>
      <c r="B44" s="1121" t="s">
        <v>854</v>
      </c>
      <c r="C44" s="899"/>
      <c r="D44" s="900"/>
      <c r="F44" s="168">
        <v>1926</v>
      </c>
      <c r="G44" s="168">
        <v>59</v>
      </c>
      <c r="H44" s="168">
        <v>50633</v>
      </c>
      <c r="I44" s="158">
        <v>35039</v>
      </c>
      <c r="J44" s="168"/>
      <c r="K44" s="170">
        <f t="shared" si="3"/>
        <v>85672</v>
      </c>
    </row>
    <row r="45" spans="1:11" ht="18" customHeight="1">
      <c r="A45" s="151" t="s">
        <v>139</v>
      </c>
      <c r="B45" s="898" t="s">
        <v>855</v>
      </c>
      <c r="C45" s="899"/>
      <c r="D45" s="900"/>
      <c r="F45" s="156"/>
      <c r="G45" s="156"/>
      <c r="H45" s="157"/>
      <c r="I45" s="158">
        <f>H45*F$114</f>
        <v>0</v>
      </c>
      <c r="J45" s="157"/>
      <c r="K45" s="159">
        <f t="shared" si="3"/>
        <v>0</v>
      </c>
    </row>
    <row r="46" spans="1:11" ht="18" customHeight="1">
      <c r="A46" s="151" t="s">
        <v>140</v>
      </c>
      <c r="B46" s="898" t="s">
        <v>511</v>
      </c>
      <c r="C46" s="899"/>
      <c r="D46" s="900"/>
      <c r="F46" s="156"/>
      <c r="G46" s="156"/>
      <c r="H46" s="157"/>
      <c r="I46" s="158">
        <f>H46*F$114</f>
        <v>0</v>
      </c>
      <c r="J46" s="157"/>
      <c r="K46" s="159">
        <f t="shared" si="3"/>
        <v>0</v>
      </c>
    </row>
    <row r="47" spans="1:11" ht="18" customHeight="1">
      <c r="A47" s="151" t="s">
        <v>141</v>
      </c>
      <c r="B47" s="898"/>
      <c r="C47" s="899"/>
      <c r="D47" s="900"/>
      <c r="F47" s="156"/>
      <c r="G47" s="156"/>
      <c r="H47" s="157"/>
      <c r="I47" s="158">
        <v>0</v>
      </c>
      <c r="J47" s="157"/>
      <c r="K47" s="159">
        <f t="shared" si="3"/>
        <v>0</v>
      </c>
    </row>
    <row r="49" spans="1:11" ht="18" customHeight="1">
      <c r="A49" s="154" t="s">
        <v>142</v>
      </c>
      <c r="B49" s="150" t="s">
        <v>143</v>
      </c>
      <c r="E49" s="150" t="s">
        <v>7</v>
      </c>
      <c r="F49" s="171">
        <f t="shared" ref="F49:K49" si="4">SUM(F40:F47)</f>
        <v>30996</v>
      </c>
      <c r="G49" s="171">
        <f t="shared" si="4"/>
        <v>558</v>
      </c>
      <c r="H49" s="159">
        <f t="shared" si="4"/>
        <v>1178047</v>
      </c>
      <c r="I49" s="159">
        <f t="shared" si="4"/>
        <v>815212</v>
      </c>
      <c r="J49" s="159">
        <f t="shared" si="4"/>
        <v>0</v>
      </c>
      <c r="K49" s="159">
        <f t="shared" si="4"/>
        <v>1993259</v>
      </c>
    </row>
    <row r="50" spans="1:11" ht="18" customHeight="1" thickBot="1">
      <c r="G50" s="172"/>
      <c r="H50" s="172"/>
      <c r="I50" s="172"/>
      <c r="J50" s="172"/>
      <c r="K50" s="172"/>
    </row>
    <row r="51" spans="1:11" ht="42.75" customHeight="1">
      <c r="F51" s="153" t="s">
        <v>9</v>
      </c>
      <c r="G51" s="153" t="s">
        <v>37</v>
      </c>
      <c r="H51" s="153" t="s">
        <v>29</v>
      </c>
      <c r="I51" s="153" t="s">
        <v>30</v>
      </c>
      <c r="J51" s="153" t="s">
        <v>33</v>
      </c>
      <c r="K51" s="153" t="s">
        <v>34</v>
      </c>
    </row>
    <row r="52" spans="1:11" ht="18" customHeight="1">
      <c r="A52" s="154" t="s">
        <v>92</v>
      </c>
      <c r="B52" s="905" t="s">
        <v>38</v>
      </c>
      <c r="C52" s="906"/>
    </row>
    <row r="53" spans="1:11" ht="18" customHeight="1">
      <c r="A53" s="151" t="s">
        <v>51</v>
      </c>
      <c r="B53" s="1118" t="s">
        <v>856</v>
      </c>
      <c r="C53" s="909"/>
      <c r="D53" s="903"/>
      <c r="F53" s="156">
        <f>19050*4</f>
        <v>76200</v>
      </c>
      <c r="G53" s="156">
        <v>7329</v>
      </c>
      <c r="H53" s="157">
        <v>5262573</v>
      </c>
      <c r="I53" s="158">
        <v>0</v>
      </c>
      <c r="J53" s="157">
        <v>1671595</v>
      </c>
      <c r="K53" s="159">
        <f t="shared" ref="K53:K62" si="5">(H53+I53)-J53</f>
        <v>3590978</v>
      </c>
    </row>
    <row r="54" spans="1:11" ht="18" customHeight="1">
      <c r="A54" s="151" t="s">
        <v>93</v>
      </c>
      <c r="B54" s="411"/>
      <c r="C54" s="412"/>
      <c r="D54" s="413"/>
      <c r="F54" s="156"/>
      <c r="G54" s="156"/>
      <c r="H54" s="157"/>
      <c r="I54" s="158">
        <v>0</v>
      </c>
      <c r="J54" s="157"/>
      <c r="K54" s="159">
        <f t="shared" si="5"/>
        <v>0</v>
      </c>
    </row>
    <row r="55" spans="1:11" ht="18" customHeight="1">
      <c r="A55" s="151" t="s">
        <v>94</v>
      </c>
      <c r="B55" s="901"/>
      <c r="C55" s="902"/>
      <c r="D55" s="903"/>
      <c r="F55" s="156"/>
      <c r="G55" s="156"/>
      <c r="H55" s="157"/>
      <c r="I55" s="158">
        <v>0</v>
      </c>
      <c r="J55" s="157"/>
      <c r="K55" s="159">
        <f t="shared" si="5"/>
        <v>0</v>
      </c>
    </row>
    <row r="56" spans="1:11" ht="18" customHeight="1">
      <c r="A56" s="151" t="s">
        <v>95</v>
      </c>
      <c r="B56" s="901"/>
      <c r="C56" s="902"/>
      <c r="D56" s="903"/>
      <c r="F56" s="156"/>
      <c r="G56" s="156"/>
      <c r="H56" s="157"/>
      <c r="I56" s="158">
        <v>0</v>
      </c>
      <c r="J56" s="157"/>
      <c r="K56" s="159">
        <f t="shared" si="5"/>
        <v>0</v>
      </c>
    </row>
    <row r="57" spans="1:11" ht="18" customHeight="1">
      <c r="A57" s="151" t="s">
        <v>96</v>
      </c>
      <c r="B57" s="901"/>
      <c r="C57" s="902"/>
      <c r="D57" s="903"/>
      <c r="F57" s="156"/>
      <c r="G57" s="156"/>
      <c r="H57" s="157"/>
      <c r="I57" s="158">
        <v>0</v>
      </c>
      <c r="J57" s="157"/>
      <c r="K57" s="159">
        <f t="shared" si="5"/>
        <v>0</v>
      </c>
    </row>
    <row r="58" spans="1:11" ht="18" customHeight="1">
      <c r="A58" s="151" t="s">
        <v>97</v>
      </c>
      <c r="B58" s="411"/>
      <c r="C58" s="412"/>
      <c r="D58" s="413"/>
      <c r="F58" s="156"/>
      <c r="G58" s="156"/>
      <c r="H58" s="157"/>
      <c r="I58" s="158">
        <v>0</v>
      </c>
      <c r="J58" s="157"/>
      <c r="K58" s="159">
        <f t="shared" si="5"/>
        <v>0</v>
      </c>
    </row>
    <row r="59" spans="1:11" ht="18" customHeight="1">
      <c r="A59" s="151" t="s">
        <v>98</v>
      </c>
      <c r="B59" s="901"/>
      <c r="C59" s="902"/>
      <c r="D59" s="903"/>
      <c r="F59" s="156"/>
      <c r="G59" s="156"/>
      <c r="H59" s="157"/>
      <c r="I59" s="158">
        <v>0</v>
      </c>
      <c r="J59" s="157"/>
      <c r="K59" s="159">
        <f t="shared" si="5"/>
        <v>0</v>
      </c>
    </row>
    <row r="60" spans="1:11" ht="18" customHeight="1">
      <c r="A60" s="151" t="s">
        <v>99</v>
      </c>
      <c r="B60" s="411"/>
      <c r="C60" s="412"/>
      <c r="D60" s="413"/>
      <c r="F60" s="156"/>
      <c r="G60" s="156"/>
      <c r="H60" s="157"/>
      <c r="I60" s="158">
        <v>0</v>
      </c>
      <c r="J60" s="157"/>
      <c r="K60" s="159">
        <f t="shared" si="5"/>
        <v>0</v>
      </c>
    </row>
    <row r="61" spans="1:11" ht="18" customHeight="1">
      <c r="A61" s="151" t="s">
        <v>100</v>
      </c>
      <c r="B61" s="411"/>
      <c r="C61" s="412"/>
      <c r="D61" s="413"/>
      <c r="F61" s="156"/>
      <c r="G61" s="156"/>
      <c r="H61" s="157"/>
      <c r="I61" s="158">
        <v>0</v>
      </c>
      <c r="J61" s="157"/>
      <c r="K61" s="159">
        <f t="shared" si="5"/>
        <v>0</v>
      </c>
    </row>
    <row r="62" spans="1:11" ht="18" customHeight="1">
      <c r="A62" s="151" t="s">
        <v>101</v>
      </c>
      <c r="B62" s="901"/>
      <c r="C62" s="902"/>
      <c r="D62" s="903"/>
      <c r="F62" s="156"/>
      <c r="G62" s="156"/>
      <c r="H62" s="157"/>
      <c r="I62" s="158">
        <v>0</v>
      </c>
      <c r="J62" s="157"/>
      <c r="K62" s="159">
        <f t="shared" si="5"/>
        <v>0</v>
      </c>
    </row>
    <row r="63" spans="1:11" ht="18" customHeight="1">
      <c r="A63" s="151"/>
      <c r="I63" s="173"/>
    </row>
    <row r="64" spans="1:11" ht="18" customHeight="1">
      <c r="A64" s="151" t="s">
        <v>144</v>
      </c>
      <c r="B64" s="150" t="s">
        <v>145</v>
      </c>
      <c r="E64" s="150" t="s">
        <v>7</v>
      </c>
      <c r="F64" s="162">
        <f t="shared" ref="F64:K64" si="6">SUM(F53:F62)</f>
        <v>76200</v>
      </c>
      <c r="G64" s="162">
        <f t="shared" si="6"/>
        <v>7329</v>
      </c>
      <c r="H64" s="159">
        <f t="shared" si="6"/>
        <v>5262573</v>
      </c>
      <c r="I64" s="159">
        <f t="shared" si="6"/>
        <v>0</v>
      </c>
      <c r="J64" s="159">
        <f t="shared" si="6"/>
        <v>1671595</v>
      </c>
      <c r="K64" s="159">
        <f t="shared" si="6"/>
        <v>3590978</v>
      </c>
    </row>
    <row r="65" spans="1:11" ht="18" customHeight="1">
      <c r="F65" s="174"/>
      <c r="G65" s="174"/>
      <c r="H65" s="174"/>
      <c r="I65" s="174"/>
      <c r="J65" s="174"/>
      <c r="K65" s="174"/>
    </row>
    <row r="66" spans="1:11" ht="42.75" customHeight="1">
      <c r="F66" s="175" t="s">
        <v>9</v>
      </c>
      <c r="G66" s="175" t="s">
        <v>37</v>
      </c>
      <c r="H66" s="175" t="s">
        <v>29</v>
      </c>
      <c r="I66" s="175" t="s">
        <v>30</v>
      </c>
      <c r="J66" s="175" t="s">
        <v>33</v>
      </c>
      <c r="K66" s="175" t="s">
        <v>34</v>
      </c>
    </row>
    <row r="67" spans="1:11" ht="18" customHeight="1">
      <c r="A67" s="154" t="s">
        <v>102</v>
      </c>
      <c r="B67" s="150" t="s">
        <v>12</v>
      </c>
      <c r="F67" s="176"/>
      <c r="G67" s="176"/>
      <c r="H67" s="176"/>
      <c r="I67" s="177"/>
      <c r="J67" s="176"/>
      <c r="K67" s="178"/>
    </row>
    <row r="68" spans="1:11" ht="18" customHeight="1">
      <c r="A68" s="151" t="s">
        <v>103</v>
      </c>
      <c r="B68" s="147" t="s">
        <v>52</v>
      </c>
      <c r="F68" s="179">
        <v>8</v>
      </c>
      <c r="G68" s="179">
        <v>9</v>
      </c>
      <c r="H68" s="179">
        <v>565</v>
      </c>
      <c r="I68" s="158">
        <v>353</v>
      </c>
      <c r="J68" s="179"/>
      <c r="K68" s="159">
        <f>(H68+I68)-J68</f>
        <v>918</v>
      </c>
    </row>
    <row r="69" spans="1:11" ht="18" customHeight="1">
      <c r="A69" s="151" t="s">
        <v>104</v>
      </c>
      <c r="B69" s="155" t="s">
        <v>53</v>
      </c>
      <c r="F69" s="179"/>
      <c r="G69" s="179"/>
      <c r="H69" s="179"/>
      <c r="I69" s="158">
        <v>0</v>
      </c>
      <c r="J69" s="179"/>
      <c r="K69" s="159">
        <f>(H69+I69)-J69</f>
        <v>0</v>
      </c>
    </row>
    <row r="70" spans="1:11" ht="18" customHeight="1">
      <c r="A70" s="151" t="s">
        <v>178</v>
      </c>
      <c r="B70" s="411"/>
      <c r="C70" s="412"/>
      <c r="D70" s="413"/>
      <c r="E70" s="150"/>
      <c r="F70" s="180"/>
      <c r="G70" s="180"/>
      <c r="H70" s="181"/>
      <c r="I70" s="158">
        <v>0</v>
      </c>
      <c r="J70" s="181"/>
      <c r="K70" s="159">
        <f>(H70+I70)-J70</f>
        <v>0</v>
      </c>
    </row>
    <row r="71" spans="1:11" ht="18" customHeight="1">
      <c r="A71" s="151" t="s">
        <v>179</v>
      </c>
      <c r="B71" s="411"/>
      <c r="C71" s="412"/>
      <c r="D71" s="413"/>
      <c r="E71" s="150"/>
      <c r="F71" s="180"/>
      <c r="G71" s="180"/>
      <c r="H71" s="181"/>
      <c r="I71" s="158">
        <v>0</v>
      </c>
      <c r="J71" s="181"/>
      <c r="K71" s="159">
        <f>(H71+I71)-J71</f>
        <v>0</v>
      </c>
    </row>
    <row r="72" spans="1:11" ht="18" customHeight="1">
      <c r="A72" s="151" t="s">
        <v>180</v>
      </c>
      <c r="B72" s="414"/>
      <c r="C72" s="415"/>
      <c r="D72" s="182"/>
      <c r="E72" s="150"/>
      <c r="F72" s="156"/>
      <c r="G72" s="156"/>
      <c r="H72" s="157"/>
      <c r="I72" s="158">
        <v>0</v>
      </c>
      <c r="J72" s="157"/>
      <c r="K72" s="159">
        <f>(H72+I72)-J72</f>
        <v>0</v>
      </c>
    </row>
    <row r="73" spans="1:11" ht="18" customHeight="1">
      <c r="A73" s="151"/>
      <c r="B73" s="155"/>
      <c r="E73" s="150"/>
      <c r="F73" s="183"/>
      <c r="G73" s="183"/>
      <c r="H73" s="184"/>
      <c r="I73" s="177"/>
      <c r="J73" s="184"/>
      <c r="K73" s="178"/>
    </row>
    <row r="74" spans="1:11" ht="18" customHeight="1">
      <c r="A74" s="154" t="s">
        <v>146</v>
      </c>
      <c r="B74" s="150" t="s">
        <v>147</v>
      </c>
      <c r="E74" s="150" t="s">
        <v>7</v>
      </c>
      <c r="F74" s="185">
        <f t="shared" ref="F74:K74" si="7">SUM(F68:F72)</f>
        <v>8</v>
      </c>
      <c r="G74" s="185">
        <f t="shared" si="7"/>
        <v>9</v>
      </c>
      <c r="H74" s="185">
        <f t="shared" si="7"/>
        <v>565</v>
      </c>
      <c r="I74" s="186">
        <f t="shared" si="7"/>
        <v>353</v>
      </c>
      <c r="J74" s="185">
        <f t="shared" si="7"/>
        <v>0</v>
      </c>
      <c r="K74" s="187">
        <f t="shared" si="7"/>
        <v>918</v>
      </c>
    </row>
    <row r="75" spans="1:11" ht="42.75" customHeight="1">
      <c r="F75" s="153" t="s">
        <v>9</v>
      </c>
      <c r="G75" s="153" t="s">
        <v>37</v>
      </c>
      <c r="H75" s="153" t="s">
        <v>29</v>
      </c>
      <c r="I75" s="153" t="s">
        <v>30</v>
      </c>
      <c r="J75" s="153" t="s">
        <v>33</v>
      </c>
      <c r="K75" s="153" t="s">
        <v>34</v>
      </c>
    </row>
    <row r="76" spans="1:11" ht="18" customHeight="1">
      <c r="A76" s="154" t="s">
        <v>105</v>
      </c>
      <c r="B76" s="150" t="s">
        <v>106</v>
      </c>
    </row>
    <row r="77" spans="1:11" ht="18" customHeight="1">
      <c r="A77" s="151" t="s">
        <v>107</v>
      </c>
      <c r="B77" s="155" t="s">
        <v>54</v>
      </c>
      <c r="F77" s="156"/>
      <c r="G77" s="156"/>
      <c r="H77" s="157">
        <v>21950</v>
      </c>
      <c r="I77" s="158">
        <v>0</v>
      </c>
      <c r="J77" s="157"/>
      <c r="K77" s="159">
        <f>(H77+I77)-J77</f>
        <v>21950</v>
      </c>
    </row>
    <row r="78" spans="1:11" ht="18" customHeight="1">
      <c r="A78" s="151" t="s">
        <v>108</v>
      </c>
      <c r="B78" s="155" t="s">
        <v>55</v>
      </c>
      <c r="F78" s="156"/>
      <c r="G78" s="156"/>
      <c r="H78" s="157"/>
      <c r="I78" s="158">
        <v>0</v>
      </c>
      <c r="J78" s="157"/>
      <c r="K78" s="159">
        <f>(H78+I78)-J78</f>
        <v>0</v>
      </c>
    </row>
    <row r="79" spans="1:11" ht="18" customHeight="1">
      <c r="A79" s="151" t="s">
        <v>109</v>
      </c>
      <c r="B79" s="155" t="s">
        <v>13</v>
      </c>
      <c r="F79" s="156"/>
      <c r="G79" s="156"/>
      <c r="H79" s="157"/>
      <c r="I79" s="158">
        <v>0</v>
      </c>
      <c r="J79" s="157"/>
      <c r="K79" s="159">
        <f>(H79+I79)-J79</f>
        <v>0</v>
      </c>
    </row>
    <row r="80" spans="1:11" ht="18" customHeight="1">
      <c r="A80" s="151" t="s">
        <v>110</v>
      </c>
      <c r="B80" s="155" t="s">
        <v>56</v>
      </c>
      <c r="F80" s="156"/>
      <c r="G80" s="156"/>
      <c r="H80" s="157"/>
      <c r="I80" s="158">
        <v>0</v>
      </c>
      <c r="J80" s="157"/>
      <c r="K80" s="159">
        <f>(H80+I80)-J80</f>
        <v>0</v>
      </c>
    </row>
    <row r="81" spans="1:11" ht="18" customHeight="1">
      <c r="A81" s="151"/>
      <c r="K81" s="188"/>
    </row>
    <row r="82" spans="1:11" ht="18" customHeight="1">
      <c r="A82" s="151" t="s">
        <v>148</v>
      </c>
      <c r="B82" s="150" t="s">
        <v>149</v>
      </c>
      <c r="E82" s="150" t="s">
        <v>7</v>
      </c>
      <c r="F82" s="185">
        <f t="shared" ref="F82:K82" si="8">SUM(F77:F80)</f>
        <v>0</v>
      </c>
      <c r="G82" s="185">
        <f t="shared" si="8"/>
        <v>0</v>
      </c>
      <c r="H82" s="187">
        <f t="shared" si="8"/>
        <v>21950</v>
      </c>
      <c r="I82" s="187">
        <f t="shared" si="8"/>
        <v>0</v>
      </c>
      <c r="J82" s="187">
        <f t="shared" si="8"/>
        <v>0</v>
      </c>
      <c r="K82" s="187">
        <f t="shared" si="8"/>
        <v>21950</v>
      </c>
    </row>
    <row r="83" spans="1:11" ht="18" customHeight="1" thickBot="1">
      <c r="A83" s="151"/>
      <c r="F83" s="172"/>
      <c r="G83" s="172"/>
      <c r="H83" s="172"/>
      <c r="I83" s="172"/>
      <c r="J83" s="172"/>
      <c r="K83" s="172"/>
    </row>
    <row r="84" spans="1:11" ht="42.75" customHeight="1">
      <c r="F84" s="153" t="s">
        <v>9</v>
      </c>
      <c r="G84" s="153" t="s">
        <v>37</v>
      </c>
      <c r="H84" s="153" t="s">
        <v>29</v>
      </c>
      <c r="I84" s="153" t="s">
        <v>30</v>
      </c>
      <c r="J84" s="153" t="s">
        <v>33</v>
      </c>
      <c r="K84" s="153" t="s">
        <v>34</v>
      </c>
    </row>
    <row r="85" spans="1:11" ht="18" customHeight="1">
      <c r="A85" s="154" t="s">
        <v>111</v>
      </c>
      <c r="B85" s="150" t="s">
        <v>57</v>
      </c>
    </row>
    <row r="86" spans="1:11" ht="18" customHeight="1">
      <c r="A86" s="151" t="s">
        <v>112</v>
      </c>
      <c r="B86" s="155" t="s">
        <v>113</v>
      </c>
      <c r="F86" s="156"/>
      <c r="G86" s="156"/>
      <c r="H86" s="157"/>
      <c r="I86" s="158">
        <f t="shared" ref="I86:I96" si="9">H86*F$114</f>
        <v>0</v>
      </c>
      <c r="J86" s="157"/>
      <c r="K86" s="159">
        <f t="shared" ref="K86:K96" si="10">(H86+I86)-J86</f>
        <v>0</v>
      </c>
    </row>
    <row r="87" spans="1:11" ht="18" customHeight="1">
      <c r="A87" s="151" t="s">
        <v>114</v>
      </c>
      <c r="B87" s="155" t="s">
        <v>14</v>
      </c>
      <c r="F87" s="156"/>
      <c r="G87" s="156"/>
      <c r="H87" s="157"/>
      <c r="I87" s="158">
        <f t="shared" si="9"/>
        <v>0</v>
      </c>
      <c r="J87" s="157"/>
      <c r="K87" s="159">
        <f t="shared" si="10"/>
        <v>0</v>
      </c>
    </row>
    <row r="88" spans="1:11" ht="18" customHeight="1">
      <c r="A88" s="151" t="s">
        <v>115</v>
      </c>
      <c r="B88" s="155" t="s">
        <v>116</v>
      </c>
      <c r="F88" s="156"/>
      <c r="G88" s="156"/>
      <c r="H88" s="157"/>
      <c r="I88" s="158">
        <f t="shared" si="9"/>
        <v>0</v>
      </c>
      <c r="J88" s="157"/>
      <c r="K88" s="159">
        <f t="shared" si="10"/>
        <v>0</v>
      </c>
    </row>
    <row r="89" spans="1:11" ht="18" customHeight="1">
      <c r="A89" s="151" t="s">
        <v>117</v>
      </c>
      <c r="B89" s="155" t="s">
        <v>58</v>
      </c>
      <c r="F89" s="156"/>
      <c r="G89" s="156"/>
      <c r="H89" s="157"/>
      <c r="I89" s="158">
        <f t="shared" si="9"/>
        <v>0</v>
      </c>
      <c r="J89" s="157"/>
      <c r="K89" s="159">
        <f t="shared" si="10"/>
        <v>0</v>
      </c>
    </row>
    <row r="90" spans="1:11" ht="18" customHeight="1">
      <c r="A90" s="151" t="s">
        <v>118</v>
      </c>
      <c r="B90" s="904" t="s">
        <v>59</v>
      </c>
      <c r="C90" s="907"/>
      <c r="F90" s="156"/>
      <c r="G90" s="156"/>
      <c r="H90" s="157"/>
      <c r="I90" s="158">
        <f t="shared" si="9"/>
        <v>0</v>
      </c>
      <c r="J90" s="157"/>
      <c r="K90" s="159">
        <f t="shared" si="10"/>
        <v>0</v>
      </c>
    </row>
    <row r="91" spans="1:11" ht="18" customHeight="1">
      <c r="A91" s="151" t="s">
        <v>119</v>
      </c>
      <c r="B91" s="155" t="s">
        <v>60</v>
      </c>
      <c r="F91" s="156"/>
      <c r="G91" s="156"/>
      <c r="H91" s="157"/>
      <c r="I91" s="158">
        <f t="shared" si="9"/>
        <v>0</v>
      </c>
      <c r="J91" s="157"/>
      <c r="K91" s="159">
        <f t="shared" si="10"/>
        <v>0</v>
      </c>
    </row>
    <row r="92" spans="1:11" ht="18" customHeight="1">
      <c r="A92" s="151" t="s">
        <v>120</v>
      </c>
      <c r="B92" s="155" t="s">
        <v>121</v>
      </c>
      <c r="F92" s="189">
        <v>25</v>
      </c>
      <c r="G92" s="189">
        <v>345</v>
      </c>
      <c r="H92" s="190">
        <v>30400</v>
      </c>
      <c r="I92" s="158">
        <v>0</v>
      </c>
      <c r="J92" s="190"/>
      <c r="K92" s="159">
        <f t="shared" si="10"/>
        <v>30400</v>
      </c>
    </row>
    <row r="93" spans="1:11" ht="18" customHeight="1">
      <c r="A93" s="151" t="s">
        <v>122</v>
      </c>
      <c r="B93" s="155" t="s">
        <v>123</v>
      </c>
      <c r="F93" s="156">
        <v>14485</v>
      </c>
      <c r="G93" s="156">
        <v>14802</v>
      </c>
      <c r="H93" s="157">
        <v>452338</v>
      </c>
      <c r="I93" s="158">
        <v>313017</v>
      </c>
      <c r="J93" s="157"/>
      <c r="K93" s="159">
        <f t="shared" si="10"/>
        <v>765355</v>
      </c>
    </row>
    <row r="94" spans="1:11" ht="18" customHeight="1">
      <c r="A94" s="151" t="s">
        <v>124</v>
      </c>
      <c r="B94" s="901"/>
      <c r="C94" s="902"/>
      <c r="D94" s="903"/>
      <c r="F94" s="156"/>
      <c r="G94" s="156"/>
      <c r="H94" s="157"/>
      <c r="I94" s="158">
        <f t="shared" si="9"/>
        <v>0</v>
      </c>
      <c r="J94" s="157"/>
      <c r="K94" s="159">
        <f t="shared" si="10"/>
        <v>0</v>
      </c>
    </row>
    <row r="95" spans="1:11" ht="18" customHeight="1">
      <c r="A95" s="151" t="s">
        <v>125</v>
      </c>
      <c r="B95" s="901"/>
      <c r="C95" s="902"/>
      <c r="D95" s="903"/>
      <c r="F95" s="156"/>
      <c r="G95" s="156"/>
      <c r="H95" s="157"/>
      <c r="I95" s="158">
        <f t="shared" si="9"/>
        <v>0</v>
      </c>
      <c r="J95" s="157"/>
      <c r="K95" s="159">
        <f t="shared" si="10"/>
        <v>0</v>
      </c>
    </row>
    <row r="96" spans="1:11" ht="18" customHeight="1">
      <c r="A96" s="151" t="s">
        <v>126</v>
      </c>
      <c r="B96" s="901"/>
      <c r="C96" s="902"/>
      <c r="D96" s="903"/>
      <c r="F96" s="156"/>
      <c r="G96" s="156"/>
      <c r="H96" s="157"/>
      <c r="I96" s="158">
        <f t="shared" si="9"/>
        <v>0</v>
      </c>
      <c r="J96" s="157"/>
      <c r="K96" s="159">
        <f t="shared" si="10"/>
        <v>0</v>
      </c>
    </row>
    <row r="97" spans="1:11" ht="18" customHeight="1">
      <c r="A97" s="151"/>
      <c r="B97" s="155"/>
    </row>
    <row r="98" spans="1:11" ht="18" customHeight="1">
      <c r="A98" s="154" t="s">
        <v>150</v>
      </c>
      <c r="B98" s="150" t="s">
        <v>151</v>
      </c>
      <c r="E98" s="150" t="s">
        <v>7</v>
      </c>
      <c r="F98" s="162">
        <f t="shared" ref="F98:K98" si="11">SUM(F86:F96)</f>
        <v>14510</v>
      </c>
      <c r="G98" s="162">
        <f t="shared" si="11"/>
        <v>15147</v>
      </c>
      <c r="H98" s="162">
        <f t="shared" si="11"/>
        <v>482738</v>
      </c>
      <c r="I98" s="162">
        <f t="shared" si="11"/>
        <v>313017</v>
      </c>
      <c r="J98" s="162">
        <f t="shared" si="11"/>
        <v>0</v>
      </c>
      <c r="K98" s="162">
        <f t="shared" si="11"/>
        <v>795755</v>
      </c>
    </row>
    <row r="99" spans="1:11" ht="18" customHeight="1" thickBot="1">
      <c r="B99" s="150"/>
      <c r="F99" s="172"/>
      <c r="G99" s="172"/>
      <c r="H99" s="172"/>
      <c r="I99" s="172"/>
      <c r="J99" s="172"/>
      <c r="K99" s="172"/>
    </row>
    <row r="100" spans="1:11" ht="42.75" customHeight="1">
      <c r="F100" s="153" t="s">
        <v>9</v>
      </c>
      <c r="G100" s="153" t="s">
        <v>37</v>
      </c>
      <c r="H100" s="153" t="s">
        <v>29</v>
      </c>
      <c r="I100" s="153" t="s">
        <v>30</v>
      </c>
      <c r="J100" s="153" t="s">
        <v>33</v>
      </c>
      <c r="K100" s="153" t="s">
        <v>34</v>
      </c>
    </row>
    <row r="101" spans="1:11" ht="18" customHeight="1">
      <c r="A101" s="154" t="s">
        <v>130</v>
      </c>
      <c r="B101" s="150" t="s">
        <v>63</v>
      </c>
    </row>
    <row r="102" spans="1:11" ht="18" customHeight="1">
      <c r="A102" s="151" t="s">
        <v>131</v>
      </c>
      <c r="B102" s="155" t="s">
        <v>152</v>
      </c>
      <c r="F102" s="156">
        <v>11715</v>
      </c>
      <c r="G102" s="156"/>
      <c r="H102" s="157">
        <v>389847</v>
      </c>
      <c r="I102" s="158">
        <v>269774</v>
      </c>
      <c r="J102" s="157"/>
      <c r="K102" s="159">
        <f>(H102+I102)-J102</f>
        <v>659621</v>
      </c>
    </row>
    <row r="103" spans="1:11" ht="18" customHeight="1">
      <c r="A103" s="151" t="s">
        <v>132</v>
      </c>
      <c r="B103" s="904" t="s">
        <v>62</v>
      </c>
      <c r="C103" s="904"/>
      <c r="F103" s="156"/>
      <c r="G103" s="156"/>
      <c r="H103" s="157"/>
      <c r="I103" s="158">
        <f>H103*F$114</f>
        <v>0</v>
      </c>
      <c r="J103" s="157"/>
      <c r="K103" s="159">
        <f>(H103+I103)-J103</f>
        <v>0</v>
      </c>
    </row>
    <row r="104" spans="1:11" ht="18" customHeight="1">
      <c r="A104" s="151" t="s">
        <v>128</v>
      </c>
      <c r="B104" s="1092" t="s">
        <v>857</v>
      </c>
      <c r="C104" s="902"/>
      <c r="D104" s="903"/>
      <c r="F104" s="156">
        <v>7</v>
      </c>
      <c r="G104" s="156"/>
      <c r="H104" s="157">
        <v>264</v>
      </c>
      <c r="I104" s="158">
        <v>182</v>
      </c>
      <c r="J104" s="157"/>
      <c r="K104" s="159">
        <f>(H104+I104)-J104</f>
        <v>446</v>
      </c>
    </row>
    <row r="105" spans="1:11" ht="18" customHeight="1">
      <c r="A105" s="151" t="s">
        <v>127</v>
      </c>
      <c r="B105" s="901"/>
      <c r="C105" s="902"/>
      <c r="D105" s="903"/>
      <c r="F105" s="156"/>
      <c r="G105" s="156"/>
      <c r="H105" s="157"/>
      <c r="I105" s="158">
        <f>H105*F$114</f>
        <v>0</v>
      </c>
      <c r="J105" s="157"/>
      <c r="K105" s="159">
        <f>(H105+I105)-J105</f>
        <v>0</v>
      </c>
    </row>
    <row r="106" spans="1:11" ht="18" customHeight="1">
      <c r="A106" s="151" t="s">
        <v>129</v>
      </c>
      <c r="B106" s="901"/>
      <c r="C106" s="902"/>
      <c r="D106" s="903"/>
      <c r="F106" s="156"/>
      <c r="G106" s="156"/>
      <c r="H106" s="157"/>
      <c r="I106" s="158">
        <f>H106*F$114</f>
        <v>0</v>
      </c>
      <c r="J106" s="157"/>
      <c r="K106" s="159">
        <f>(H106+I106)-J106</f>
        <v>0</v>
      </c>
    </row>
    <row r="107" spans="1:11" ht="18" customHeight="1">
      <c r="B107" s="150"/>
    </row>
    <row r="108" spans="1:11" s="167" customFormat="1" ht="18" customHeight="1">
      <c r="A108" s="154" t="s">
        <v>153</v>
      </c>
      <c r="B108" s="191" t="s">
        <v>154</v>
      </c>
      <c r="C108" s="147"/>
      <c r="D108" s="147"/>
      <c r="E108" s="150" t="s">
        <v>7</v>
      </c>
      <c r="F108" s="162">
        <f t="shared" ref="F108:K108" si="12">SUM(F102:F106)</f>
        <v>11722</v>
      </c>
      <c r="G108" s="162">
        <f t="shared" si="12"/>
        <v>0</v>
      </c>
      <c r="H108" s="159">
        <f t="shared" si="12"/>
        <v>390111</v>
      </c>
      <c r="I108" s="159">
        <f t="shared" si="12"/>
        <v>269956</v>
      </c>
      <c r="J108" s="159">
        <f t="shared" si="12"/>
        <v>0</v>
      </c>
      <c r="K108" s="159">
        <f t="shared" si="12"/>
        <v>660067</v>
      </c>
    </row>
    <row r="109" spans="1:11" s="167" customFormat="1" ht="18" customHeight="1" thickBot="1">
      <c r="A109" s="192"/>
      <c r="B109" s="193"/>
      <c r="C109" s="194"/>
      <c r="D109" s="194"/>
      <c r="E109" s="194"/>
      <c r="F109" s="172"/>
      <c r="G109" s="172"/>
      <c r="H109" s="172"/>
      <c r="I109" s="172"/>
      <c r="J109" s="172"/>
      <c r="K109" s="172"/>
    </row>
    <row r="110" spans="1:11" s="167" customFormat="1" ht="18" customHeight="1">
      <c r="A110" s="154" t="s">
        <v>156</v>
      </c>
      <c r="B110" s="150" t="s">
        <v>39</v>
      </c>
      <c r="C110" s="147"/>
      <c r="D110" s="147"/>
      <c r="E110" s="147"/>
      <c r="F110" s="147"/>
      <c r="G110" s="147"/>
      <c r="H110" s="147"/>
      <c r="I110" s="147"/>
      <c r="J110" s="147"/>
      <c r="K110" s="147"/>
    </row>
    <row r="111" spans="1:11" ht="18" customHeight="1">
      <c r="A111" s="154" t="s">
        <v>155</v>
      </c>
      <c r="B111" s="150" t="s">
        <v>164</v>
      </c>
      <c r="E111" s="150" t="s">
        <v>7</v>
      </c>
      <c r="F111" s="157">
        <v>2514686</v>
      </c>
    </row>
    <row r="112" spans="1:11" ht="18" customHeight="1">
      <c r="B112" s="150"/>
      <c r="E112" s="150"/>
      <c r="F112" s="195"/>
    </row>
    <row r="113" spans="1:6" ht="18" customHeight="1">
      <c r="A113" s="154"/>
      <c r="B113" s="150" t="s">
        <v>15</v>
      </c>
    </row>
    <row r="114" spans="1:6" ht="18" customHeight="1">
      <c r="A114" s="151" t="s">
        <v>171</v>
      </c>
      <c r="B114" s="155" t="s">
        <v>35</v>
      </c>
      <c r="F114" s="196">
        <v>0.69210000000000005</v>
      </c>
    </row>
    <row r="115" spans="1:6" ht="18" customHeight="1">
      <c r="A115" s="151"/>
      <c r="B115" s="150"/>
    </row>
    <row r="116" spans="1:6" ht="18" customHeight="1">
      <c r="A116" s="151" t="s">
        <v>170</v>
      </c>
      <c r="B116" s="150" t="s">
        <v>16</v>
      </c>
    </row>
    <row r="117" spans="1:6" ht="18" customHeight="1">
      <c r="A117" s="151" t="s">
        <v>172</v>
      </c>
      <c r="B117" s="155" t="s">
        <v>17</v>
      </c>
      <c r="F117" s="157">
        <v>220719842</v>
      </c>
    </row>
    <row r="118" spans="1:6" ht="18" customHeight="1">
      <c r="A118" s="151" t="s">
        <v>173</v>
      </c>
      <c r="B118" s="147" t="s">
        <v>18</v>
      </c>
      <c r="F118" s="157">
        <v>5086705</v>
      </c>
    </row>
    <row r="119" spans="1:6" ht="18" customHeight="1">
      <c r="A119" s="151" t="s">
        <v>174</v>
      </c>
      <c r="B119" s="150" t="s">
        <v>19</v>
      </c>
      <c r="F119" s="187">
        <f>SUM(F117:F118)</f>
        <v>225806547</v>
      </c>
    </row>
    <row r="120" spans="1:6" ht="18" customHeight="1">
      <c r="A120" s="151"/>
      <c r="B120" s="150"/>
    </row>
    <row r="121" spans="1:6" ht="18" customHeight="1">
      <c r="A121" s="151" t="s">
        <v>167</v>
      </c>
      <c r="B121" s="150" t="s">
        <v>36</v>
      </c>
      <c r="F121" s="157">
        <v>233355690</v>
      </c>
    </row>
    <row r="122" spans="1:6" ht="18" customHeight="1">
      <c r="A122" s="151"/>
    </row>
    <row r="123" spans="1:6" ht="18" customHeight="1">
      <c r="A123" s="151" t="s">
        <v>175</v>
      </c>
      <c r="B123" s="150" t="s">
        <v>20</v>
      </c>
      <c r="F123" s="157">
        <f>+F119-F121</f>
        <v>-7549143</v>
      </c>
    </row>
    <row r="124" spans="1:6" ht="18" customHeight="1">
      <c r="A124" s="151"/>
    </row>
    <row r="125" spans="1:6" ht="18" customHeight="1">
      <c r="A125" s="151" t="s">
        <v>176</v>
      </c>
      <c r="B125" s="150" t="s">
        <v>21</v>
      </c>
      <c r="F125" s="157">
        <v>20445</v>
      </c>
    </row>
    <row r="126" spans="1:6" ht="18" customHeight="1">
      <c r="A126" s="151"/>
    </row>
    <row r="127" spans="1:6" ht="18" customHeight="1">
      <c r="A127" s="151" t="s">
        <v>177</v>
      </c>
      <c r="B127" s="150" t="s">
        <v>22</v>
      </c>
      <c r="F127" s="157">
        <f>+F123+F125</f>
        <v>-7528698</v>
      </c>
    </row>
    <row r="128" spans="1:6" ht="18" customHeight="1">
      <c r="A128" s="151"/>
    </row>
    <row r="129" spans="1:11" ht="42.75" customHeight="1">
      <c r="F129" s="153" t="s">
        <v>9</v>
      </c>
      <c r="G129" s="153" t="s">
        <v>37</v>
      </c>
      <c r="H129" s="153" t="s">
        <v>29</v>
      </c>
      <c r="I129" s="153" t="s">
        <v>30</v>
      </c>
      <c r="J129" s="153" t="s">
        <v>33</v>
      </c>
      <c r="K129" s="153" t="s">
        <v>34</v>
      </c>
    </row>
    <row r="130" spans="1:11" ht="18" customHeight="1">
      <c r="A130" s="154" t="s">
        <v>157</v>
      </c>
      <c r="B130" s="150" t="s">
        <v>23</v>
      </c>
    </row>
    <row r="131" spans="1:11" ht="18" customHeight="1">
      <c r="A131" s="151" t="s">
        <v>158</v>
      </c>
      <c r="B131" s="147" t="s">
        <v>24</v>
      </c>
      <c r="F131" s="156"/>
      <c r="G131" s="156"/>
      <c r="H131" s="157"/>
      <c r="I131" s="158">
        <v>0</v>
      </c>
      <c r="J131" s="157"/>
      <c r="K131" s="159">
        <f>(H131+I131)-J131</f>
        <v>0</v>
      </c>
    </row>
    <row r="132" spans="1:11" ht="18" customHeight="1">
      <c r="A132" s="151" t="s">
        <v>159</v>
      </c>
      <c r="B132" s="147" t="s">
        <v>25</v>
      </c>
      <c r="F132" s="156"/>
      <c r="G132" s="156"/>
      <c r="H132" s="157"/>
      <c r="I132" s="158">
        <v>0</v>
      </c>
      <c r="J132" s="157"/>
      <c r="K132" s="159">
        <f>(H132+I132)-J132</f>
        <v>0</v>
      </c>
    </row>
    <row r="133" spans="1:11" ht="18" customHeight="1">
      <c r="A133" s="151" t="s">
        <v>160</v>
      </c>
      <c r="B133" s="898"/>
      <c r="C133" s="899"/>
      <c r="D133" s="900"/>
      <c r="F133" s="156"/>
      <c r="G133" s="156"/>
      <c r="H133" s="157"/>
      <c r="I133" s="158">
        <v>0</v>
      </c>
      <c r="J133" s="157"/>
      <c r="K133" s="159">
        <f>(H133+I133)-J133</f>
        <v>0</v>
      </c>
    </row>
    <row r="134" spans="1:11" ht="18" customHeight="1">
      <c r="A134" s="151" t="s">
        <v>161</v>
      </c>
      <c r="B134" s="898"/>
      <c r="C134" s="899"/>
      <c r="D134" s="900"/>
      <c r="F134" s="156"/>
      <c r="G134" s="156"/>
      <c r="H134" s="157"/>
      <c r="I134" s="158">
        <v>0</v>
      </c>
      <c r="J134" s="157"/>
      <c r="K134" s="159">
        <f>(H134+I134)-J134</f>
        <v>0</v>
      </c>
    </row>
    <row r="135" spans="1:11" ht="18" customHeight="1">
      <c r="A135" s="151" t="s">
        <v>162</v>
      </c>
      <c r="B135" s="898"/>
      <c r="C135" s="899"/>
      <c r="D135" s="900"/>
      <c r="F135" s="156"/>
      <c r="G135" s="156"/>
      <c r="H135" s="157"/>
      <c r="I135" s="158">
        <v>0</v>
      </c>
      <c r="J135" s="157"/>
      <c r="K135" s="159">
        <f>(H135+I135)-J135</f>
        <v>0</v>
      </c>
    </row>
    <row r="136" spans="1:11" ht="18" customHeight="1">
      <c r="A136" s="154"/>
    </row>
    <row r="137" spans="1:11" ht="18" customHeight="1">
      <c r="A137" s="154" t="s">
        <v>163</v>
      </c>
      <c r="B137" s="150" t="s">
        <v>27</v>
      </c>
      <c r="F137" s="162">
        <f t="shared" ref="F137:K137" si="13">SUM(F131:F135)</f>
        <v>0</v>
      </c>
      <c r="G137" s="162">
        <f t="shared" si="13"/>
        <v>0</v>
      </c>
      <c r="H137" s="159">
        <f t="shared" si="13"/>
        <v>0</v>
      </c>
      <c r="I137" s="159">
        <f t="shared" si="13"/>
        <v>0</v>
      </c>
      <c r="J137" s="159">
        <f t="shared" si="13"/>
        <v>0</v>
      </c>
      <c r="K137" s="159">
        <f t="shared" si="13"/>
        <v>0</v>
      </c>
    </row>
    <row r="138" spans="1:11" ht="18" customHeight="1">
      <c r="A138" s="147"/>
    </row>
    <row r="139" spans="1:11" ht="42.75" customHeight="1">
      <c r="F139" s="153" t="s">
        <v>9</v>
      </c>
      <c r="G139" s="153" t="s">
        <v>37</v>
      </c>
      <c r="H139" s="153" t="s">
        <v>29</v>
      </c>
      <c r="I139" s="153" t="s">
        <v>30</v>
      </c>
      <c r="J139" s="153" t="s">
        <v>33</v>
      </c>
      <c r="K139" s="153" t="s">
        <v>34</v>
      </c>
    </row>
    <row r="140" spans="1:11" ht="18" customHeight="1">
      <c r="A140" s="154" t="s">
        <v>166</v>
      </c>
      <c r="B140" s="150" t="s">
        <v>26</v>
      </c>
    </row>
    <row r="141" spans="1:11" ht="18" customHeight="1">
      <c r="A141" s="151" t="s">
        <v>137</v>
      </c>
      <c r="B141" s="150" t="s">
        <v>64</v>
      </c>
      <c r="F141" s="197">
        <f t="shared" ref="F141:K141" si="14">F36</f>
        <v>4065</v>
      </c>
      <c r="G141" s="197">
        <f t="shared" si="14"/>
        <v>22812</v>
      </c>
      <c r="H141" s="197">
        <f t="shared" si="14"/>
        <v>228858</v>
      </c>
      <c r="I141" s="197">
        <f t="shared" si="14"/>
        <v>117685</v>
      </c>
      <c r="J141" s="197">
        <f t="shared" si="14"/>
        <v>0</v>
      </c>
      <c r="K141" s="197">
        <f t="shared" si="14"/>
        <v>346543</v>
      </c>
    </row>
    <row r="142" spans="1:11" ht="18" customHeight="1">
      <c r="A142" s="151" t="s">
        <v>142</v>
      </c>
      <c r="B142" s="150" t="s">
        <v>65</v>
      </c>
      <c r="F142" s="197">
        <f t="shared" ref="F142:K142" si="15">F49</f>
        <v>30996</v>
      </c>
      <c r="G142" s="197">
        <f t="shared" si="15"/>
        <v>558</v>
      </c>
      <c r="H142" s="197">
        <f t="shared" si="15"/>
        <v>1178047</v>
      </c>
      <c r="I142" s="197">
        <f t="shared" si="15"/>
        <v>815212</v>
      </c>
      <c r="J142" s="197">
        <f t="shared" si="15"/>
        <v>0</v>
      </c>
      <c r="K142" s="197">
        <f t="shared" si="15"/>
        <v>1993259</v>
      </c>
    </row>
    <row r="143" spans="1:11" ht="18" customHeight="1">
      <c r="A143" s="151" t="s">
        <v>144</v>
      </c>
      <c r="B143" s="150" t="s">
        <v>66</v>
      </c>
      <c r="F143" s="197">
        <f t="shared" ref="F143:K143" si="16">F64</f>
        <v>76200</v>
      </c>
      <c r="G143" s="197">
        <f t="shared" si="16"/>
        <v>7329</v>
      </c>
      <c r="H143" s="197">
        <f t="shared" si="16"/>
        <v>5262573</v>
      </c>
      <c r="I143" s="197">
        <f t="shared" si="16"/>
        <v>0</v>
      </c>
      <c r="J143" s="197">
        <f t="shared" si="16"/>
        <v>1671595</v>
      </c>
      <c r="K143" s="197">
        <f t="shared" si="16"/>
        <v>3590978</v>
      </c>
    </row>
    <row r="144" spans="1:11" ht="18" customHeight="1">
      <c r="A144" s="151" t="s">
        <v>146</v>
      </c>
      <c r="B144" s="150" t="s">
        <v>67</v>
      </c>
      <c r="F144" s="197">
        <f t="shared" ref="F144:K144" si="17">F74</f>
        <v>8</v>
      </c>
      <c r="G144" s="197">
        <f t="shared" si="17"/>
        <v>9</v>
      </c>
      <c r="H144" s="197">
        <f t="shared" si="17"/>
        <v>565</v>
      </c>
      <c r="I144" s="197">
        <f t="shared" si="17"/>
        <v>353</v>
      </c>
      <c r="J144" s="197">
        <f t="shared" si="17"/>
        <v>0</v>
      </c>
      <c r="K144" s="197">
        <f t="shared" si="17"/>
        <v>918</v>
      </c>
    </row>
    <row r="145" spans="1:11" ht="18" customHeight="1">
      <c r="A145" s="151" t="s">
        <v>148</v>
      </c>
      <c r="B145" s="150" t="s">
        <v>68</v>
      </c>
      <c r="F145" s="197">
        <f t="shared" ref="F145:K145" si="18">F82</f>
        <v>0</v>
      </c>
      <c r="G145" s="197">
        <f t="shared" si="18"/>
        <v>0</v>
      </c>
      <c r="H145" s="197">
        <f t="shared" si="18"/>
        <v>21950</v>
      </c>
      <c r="I145" s="197">
        <f t="shared" si="18"/>
        <v>0</v>
      </c>
      <c r="J145" s="197">
        <f t="shared" si="18"/>
        <v>0</v>
      </c>
      <c r="K145" s="197">
        <f t="shared" si="18"/>
        <v>21950</v>
      </c>
    </row>
    <row r="146" spans="1:11" ht="18" customHeight="1">
      <c r="A146" s="151" t="s">
        <v>150</v>
      </c>
      <c r="B146" s="150" t="s">
        <v>69</v>
      </c>
      <c r="F146" s="197">
        <f t="shared" ref="F146:K146" si="19">F98</f>
        <v>14510</v>
      </c>
      <c r="G146" s="197">
        <f t="shared" si="19"/>
        <v>15147</v>
      </c>
      <c r="H146" s="197">
        <f t="shared" si="19"/>
        <v>482738</v>
      </c>
      <c r="I146" s="197">
        <f t="shared" si="19"/>
        <v>313017</v>
      </c>
      <c r="J146" s="197">
        <f t="shared" si="19"/>
        <v>0</v>
      </c>
      <c r="K146" s="197">
        <f t="shared" si="19"/>
        <v>795755</v>
      </c>
    </row>
    <row r="147" spans="1:11" ht="18" customHeight="1">
      <c r="A147" s="151" t="s">
        <v>153</v>
      </c>
      <c r="B147" s="150" t="s">
        <v>61</v>
      </c>
      <c r="F147" s="162">
        <f t="shared" ref="F147:K147" si="20">F108</f>
        <v>11722</v>
      </c>
      <c r="G147" s="162">
        <f t="shared" si="20"/>
        <v>0</v>
      </c>
      <c r="H147" s="162">
        <f t="shared" si="20"/>
        <v>390111</v>
      </c>
      <c r="I147" s="162">
        <f t="shared" si="20"/>
        <v>269956</v>
      </c>
      <c r="J147" s="162">
        <f t="shared" si="20"/>
        <v>0</v>
      </c>
      <c r="K147" s="162">
        <f t="shared" si="20"/>
        <v>660067</v>
      </c>
    </row>
    <row r="148" spans="1:11" ht="18" customHeight="1">
      <c r="A148" s="151" t="s">
        <v>155</v>
      </c>
      <c r="B148" s="150" t="s">
        <v>70</v>
      </c>
      <c r="F148" s="198" t="s">
        <v>73</v>
      </c>
      <c r="G148" s="198" t="s">
        <v>73</v>
      </c>
      <c r="H148" s="199" t="s">
        <v>73</v>
      </c>
      <c r="I148" s="199" t="s">
        <v>73</v>
      </c>
      <c r="J148" s="199" t="s">
        <v>73</v>
      </c>
      <c r="K148" s="200">
        <f>F111</f>
        <v>2514686</v>
      </c>
    </row>
    <row r="149" spans="1:11" ht="18" customHeight="1">
      <c r="A149" s="151" t="s">
        <v>163</v>
      </c>
      <c r="B149" s="150" t="s">
        <v>71</v>
      </c>
      <c r="F149" s="162">
        <f t="shared" ref="F149:K149" si="21">F137</f>
        <v>0</v>
      </c>
      <c r="G149" s="162">
        <f t="shared" si="21"/>
        <v>0</v>
      </c>
      <c r="H149" s="162">
        <f t="shared" si="21"/>
        <v>0</v>
      </c>
      <c r="I149" s="162">
        <f t="shared" si="21"/>
        <v>0</v>
      </c>
      <c r="J149" s="162">
        <f t="shared" si="21"/>
        <v>0</v>
      </c>
      <c r="K149" s="162">
        <f t="shared" si="21"/>
        <v>0</v>
      </c>
    </row>
    <row r="150" spans="1:11" ht="18" customHeight="1">
      <c r="A150" s="151" t="s">
        <v>185</v>
      </c>
      <c r="B150" s="150" t="s">
        <v>186</v>
      </c>
      <c r="F150" s="198" t="s">
        <v>73</v>
      </c>
      <c r="G150" s="198" t="s">
        <v>73</v>
      </c>
      <c r="H150" s="162">
        <f>H18</f>
        <v>5810552</v>
      </c>
      <c r="I150" s="162">
        <f>I18</f>
        <v>0</v>
      </c>
      <c r="J150" s="162">
        <f>J18</f>
        <v>4968748</v>
      </c>
      <c r="K150" s="162">
        <f>K18</f>
        <v>841804</v>
      </c>
    </row>
    <row r="151" spans="1:11" ht="18" customHeight="1">
      <c r="B151" s="150"/>
      <c r="F151" s="174"/>
      <c r="G151" s="174"/>
      <c r="H151" s="174"/>
      <c r="I151" s="174"/>
      <c r="J151" s="174"/>
      <c r="K151" s="174"/>
    </row>
    <row r="152" spans="1:11" ht="18" customHeight="1">
      <c r="A152" s="154" t="s">
        <v>165</v>
      </c>
      <c r="B152" s="150" t="s">
        <v>26</v>
      </c>
      <c r="F152" s="201">
        <f t="shared" ref="F152:K152" si="22">SUM(F141:F150)</f>
        <v>137501</v>
      </c>
      <c r="G152" s="201">
        <f t="shared" si="22"/>
        <v>45855</v>
      </c>
      <c r="H152" s="201">
        <f t="shared" si="22"/>
        <v>13375394</v>
      </c>
      <c r="I152" s="201">
        <f t="shared" si="22"/>
        <v>1516223</v>
      </c>
      <c r="J152" s="201">
        <f t="shared" si="22"/>
        <v>6640343</v>
      </c>
      <c r="K152" s="201">
        <f t="shared" si="22"/>
        <v>10765960</v>
      </c>
    </row>
    <row r="154" spans="1:11" ht="18" customHeight="1">
      <c r="A154" s="154" t="s">
        <v>168</v>
      </c>
      <c r="B154" s="150" t="s">
        <v>28</v>
      </c>
      <c r="F154" s="53">
        <f>K152/F121</f>
        <v>4.6135408140251473E-2</v>
      </c>
    </row>
    <row r="155" spans="1:11" ht="18" customHeight="1">
      <c r="A155" s="154" t="s">
        <v>169</v>
      </c>
      <c r="B155" s="150" t="s">
        <v>72</v>
      </c>
      <c r="F155" s="53">
        <f>K152/F127</f>
        <v>-1.4299896210473577</v>
      </c>
      <c r="G155" s="150"/>
    </row>
    <row r="156" spans="1:11" ht="18" customHeight="1">
      <c r="G156" s="150"/>
    </row>
  </sheetData>
  <sheetProtection algorithmName="SHA-512" hashValue="iVvdvBFvLJrCQayOzWBOnlmmkvSOlg0vsuWfxw4ykvUWsRMIU69Eos4F9LU4n3blGdfrud4L5z60Zw6vfmvLvQ==" saltValue="dNfDTr1s26G+Dg2uXX89nw==" spinCount="100000" sheet="1" objects="1" scenarios="1"/>
  <mergeCells count="34">
    <mergeCell ref="B106:D106"/>
    <mergeCell ref="B133:D133"/>
    <mergeCell ref="B134:D134"/>
    <mergeCell ref="B135:D135"/>
    <mergeCell ref="B94:D94"/>
    <mergeCell ref="B95:D95"/>
    <mergeCell ref="B96:D96"/>
    <mergeCell ref="B103:C103"/>
    <mergeCell ref="B104:D104"/>
    <mergeCell ref="B105:D105"/>
    <mergeCell ref="B90:C90"/>
    <mergeCell ref="B44:D44"/>
    <mergeCell ref="B45:D45"/>
    <mergeCell ref="B46:D46"/>
    <mergeCell ref="B47:D47"/>
    <mergeCell ref="B52:C52"/>
    <mergeCell ref="B53:D53"/>
    <mergeCell ref="B55:D55"/>
    <mergeCell ref="B56:D56"/>
    <mergeCell ref="B57:D57"/>
    <mergeCell ref="B59:D59"/>
    <mergeCell ref="B62:D62"/>
    <mergeCell ref="B41:C41"/>
    <mergeCell ref="D2:H2"/>
    <mergeCell ref="C5:G5"/>
    <mergeCell ref="C6:G6"/>
    <mergeCell ref="C7:G7"/>
    <mergeCell ref="C9:G9"/>
    <mergeCell ref="C10:G10"/>
    <mergeCell ref="C11:G11"/>
    <mergeCell ref="B13:H13"/>
    <mergeCell ref="B30:D30"/>
    <mergeCell ref="B31:D31"/>
    <mergeCell ref="B34:D34"/>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tabColor theme="0"/>
    <pageSetUpPr fitToPage="1"/>
  </sheetPr>
  <dimension ref="A1:L156"/>
  <sheetViews>
    <sheetView zoomScaleNormal="100" workbookViewId="0">
      <selection activeCell="K18" sqref="K18"/>
    </sheetView>
  </sheetViews>
  <sheetFormatPr defaultRowHeight="15"/>
  <cols>
    <col min="1" max="1" width="17.5703125" style="418" customWidth="1"/>
    <col min="2" max="2" width="19.5703125" style="418" customWidth="1"/>
    <col min="3" max="3" width="15.5703125" style="418" customWidth="1"/>
    <col min="4" max="4" width="16.42578125" style="418" customWidth="1"/>
    <col min="5" max="5" width="15" style="418" customWidth="1"/>
    <col min="6" max="6" width="20.28515625" style="418" customWidth="1"/>
    <col min="7" max="7" width="16" style="418" customWidth="1"/>
    <col min="8" max="8" width="16.5703125" style="418" customWidth="1"/>
    <col min="9" max="9" width="19.42578125" style="418" customWidth="1"/>
    <col min="10" max="10" width="14.7109375" style="418" customWidth="1"/>
    <col min="11" max="11" width="15.140625" style="418" customWidth="1"/>
    <col min="12" max="16384" width="9.140625" style="418"/>
  </cols>
  <sheetData>
    <row r="1" spans="1:11">
      <c r="A1" s="420"/>
      <c r="C1" s="484"/>
      <c r="D1" s="485"/>
      <c r="E1" s="484"/>
      <c r="F1" s="484"/>
      <c r="G1" s="484"/>
      <c r="H1" s="484"/>
      <c r="I1" s="484"/>
      <c r="J1" s="484"/>
      <c r="K1" s="484"/>
    </row>
    <row r="2" spans="1:11" ht="15.75">
      <c r="A2" s="420"/>
      <c r="D2" s="1023" t="s">
        <v>713</v>
      </c>
      <c r="E2" s="997"/>
      <c r="F2" s="997"/>
      <c r="G2" s="997"/>
      <c r="H2" s="997"/>
    </row>
    <row r="3" spans="1:11">
      <c r="A3" s="420"/>
      <c r="B3" s="419" t="s">
        <v>0</v>
      </c>
    </row>
    <row r="4" spans="1:11">
      <c r="A4" s="420"/>
    </row>
    <row r="5" spans="1:11">
      <c r="A5" s="420"/>
      <c r="B5" s="427" t="s">
        <v>40</v>
      </c>
      <c r="C5" s="1024" t="s">
        <v>613</v>
      </c>
      <c r="D5" s="1025"/>
      <c r="E5" s="1025"/>
      <c r="F5" s="1025"/>
      <c r="G5" s="1026"/>
    </row>
    <row r="6" spans="1:11">
      <c r="A6" s="420"/>
      <c r="B6" s="427" t="s">
        <v>3</v>
      </c>
      <c r="C6" s="1128" t="s">
        <v>974</v>
      </c>
      <c r="D6" s="1028"/>
      <c r="E6" s="1028"/>
      <c r="F6" s="1028"/>
      <c r="G6" s="1029"/>
    </row>
    <row r="7" spans="1:11">
      <c r="A7" s="420"/>
      <c r="B7" s="427" t="s">
        <v>4</v>
      </c>
      <c r="C7" s="1030">
        <v>2044</v>
      </c>
      <c r="D7" s="1031"/>
      <c r="E7" s="1031"/>
      <c r="F7" s="1031"/>
      <c r="G7" s="1032"/>
    </row>
    <row r="8" spans="1:11">
      <c r="A8" s="420"/>
    </row>
    <row r="9" spans="1:11">
      <c r="A9" s="420"/>
      <c r="B9" s="427" t="s">
        <v>1</v>
      </c>
      <c r="C9" s="1024" t="s">
        <v>719</v>
      </c>
      <c r="D9" s="1025"/>
      <c r="E9" s="1025"/>
      <c r="F9" s="1025"/>
      <c r="G9" s="1026"/>
    </row>
    <row r="10" spans="1:11">
      <c r="A10" s="420"/>
      <c r="B10" s="427" t="s">
        <v>2</v>
      </c>
      <c r="C10" s="1083" t="s">
        <v>718</v>
      </c>
      <c r="D10" s="1084"/>
      <c r="E10" s="1084"/>
      <c r="F10" s="1084"/>
      <c r="G10" s="1085"/>
    </row>
    <row r="11" spans="1:11">
      <c r="A11" s="420"/>
      <c r="B11" s="427" t="s">
        <v>32</v>
      </c>
      <c r="C11" s="962" t="s">
        <v>717</v>
      </c>
      <c r="D11" s="1087"/>
      <c r="E11" s="1087"/>
      <c r="F11" s="1087"/>
      <c r="G11" s="1087"/>
    </row>
    <row r="12" spans="1:11" s="489" customFormat="1">
      <c r="A12" s="490"/>
      <c r="B12" s="488"/>
      <c r="C12" s="487"/>
      <c r="D12" s="486"/>
      <c r="E12" s="486"/>
      <c r="F12" s="486"/>
      <c r="G12" s="486"/>
    </row>
    <row r="13" spans="1:11" s="489" customFormat="1">
      <c r="A13" s="490"/>
      <c r="B13" s="488"/>
      <c r="C13" s="487"/>
      <c r="D13" s="486"/>
      <c r="E13" s="486"/>
      <c r="F13" s="486"/>
      <c r="G13" s="486"/>
    </row>
    <row r="14" spans="1:11">
      <c r="A14" s="420"/>
      <c r="B14" s="488"/>
      <c r="C14" s="487"/>
      <c r="D14" s="486"/>
      <c r="E14" s="486"/>
      <c r="F14" s="486"/>
      <c r="G14" s="486"/>
    </row>
    <row r="15" spans="1:11">
      <c r="A15" s="420"/>
      <c r="B15" s="488"/>
      <c r="C15" s="487"/>
      <c r="D15" s="486"/>
      <c r="E15" s="486"/>
      <c r="F15" s="486"/>
      <c r="G15" s="486"/>
    </row>
    <row r="16" spans="1:11" ht="39">
      <c r="A16" s="485" t="s">
        <v>181</v>
      </c>
      <c r="B16" s="484"/>
      <c r="C16" s="484"/>
      <c r="D16" s="484"/>
      <c r="E16" s="484"/>
      <c r="F16" s="431" t="s">
        <v>9</v>
      </c>
      <c r="G16" s="431" t="s">
        <v>37</v>
      </c>
      <c r="H16" s="431" t="s">
        <v>29</v>
      </c>
      <c r="I16" s="431" t="s">
        <v>30</v>
      </c>
      <c r="J16" s="431" t="s">
        <v>33</v>
      </c>
      <c r="K16" s="431" t="s">
        <v>34</v>
      </c>
    </row>
    <row r="17" spans="1:11">
      <c r="A17" s="422" t="s">
        <v>184</v>
      </c>
      <c r="B17" s="419" t="s">
        <v>182</v>
      </c>
    </row>
    <row r="18" spans="1:11">
      <c r="A18" s="427" t="s">
        <v>185</v>
      </c>
      <c r="B18" s="439" t="s">
        <v>183</v>
      </c>
      <c r="F18" s="435" t="s">
        <v>73</v>
      </c>
      <c r="G18" s="435" t="s">
        <v>73</v>
      </c>
      <c r="H18" s="433">
        <v>8243421.2000000002</v>
      </c>
      <c r="I18" s="434">
        <v>0</v>
      </c>
      <c r="J18" s="433">
        <v>7049155.8200000003</v>
      </c>
      <c r="K18" s="432">
        <v>1194265.3700000001</v>
      </c>
    </row>
    <row r="19" spans="1:11" ht="39">
      <c r="A19" s="485" t="s">
        <v>8</v>
      </c>
      <c r="B19" s="484"/>
      <c r="C19" s="484"/>
      <c r="D19" s="484"/>
      <c r="E19" s="484"/>
      <c r="F19" s="431" t="s">
        <v>9</v>
      </c>
      <c r="G19" s="431" t="s">
        <v>37</v>
      </c>
      <c r="H19" s="431" t="s">
        <v>29</v>
      </c>
      <c r="I19" s="431" t="s">
        <v>30</v>
      </c>
      <c r="J19" s="431" t="s">
        <v>33</v>
      </c>
      <c r="K19" s="431" t="s">
        <v>34</v>
      </c>
    </row>
    <row r="20" spans="1:11">
      <c r="A20" s="422" t="s">
        <v>74</v>
      </c>
      <c r="B20" s="419" t="s">
        <v>41</v>
      </c>
    </row>
    <row r="21" spans="1:11">
      <c r="A21" s="427" t="s">
        <v>75</v>
      </c>
      <c r="B21" s="439" t="s">
        <v>42</v>
      </c>
      <c r="F21" s="435">
        <v>1320</v>
      </c>
      <c r="G21" s="435">
        <v>31554</v>
      </c>
      <c r="H21" s="433">
        <v>63355</v>
      </c>
      <c r="I21" s="434">
        <v>31483.33</v>
      </c>
      <c r="J21" s="433">
        <v>2170</v>
      </c>
      <c r="K21" s="432">
        <v>92668.33</v>
      </c>
    </row>
    <row r="22" spans="1:11">
      <c r="A22" s="427" t="s">
        <v>76</v>
      </c>
      <c r="B22" s="418" t="s">
        <v>6</v>
      </c>
      <c r="F22" s="435">
        <v>165</v>
      </c>
      <c r="G22" s="435">
        <v>377</v>
      </c>
      <c r="H22" s="433">
        <v>7912</v>
      </c>
      <c r="I22" s="434">
        <v>3931.75</v>
      </c>
      <c r="J22" s="433">
        <v>0</v>
      </c>
      <c r="K22" s="432">
        <v>11843.75</v>
      </c>
    </row>
    <row r="23" spans="1:11">
      <c r="A23" s="427" t="s">
        <v>77</v>
      </c>
      <c r="B23" s="418" t="s">
        <v>43</v>
      </c>
      <c r="F23" s="435">
        <v>0</v>
      </c>
      <c r="G23" s="435">
        <v>0</v>
      </c>
      <c r="H23" s="433">
        <v>0</v>
      </c>
      <c r="I23" s="434">
        <v>0</v>
      </c>
      <c r="J23" s="433">
        <v>0</v>
      </c>
      <c r="K23" s="432">
        <v>0</v>
      </c>
    </row>
    <row r="24" spans="1:11">
      <c r="A24" s="427" t="s">
        <v>78</v>
      </c>
      <c r="B24" s="418" t="s">
        <v>44</v>
      </c>
      <c r="F24" s="435">
        <v>1874</v>
      </c>
      <c r="G24" s="435">
        <v>446</v>
      </c>
      <c r="H24" s="433">
        <v>89944</v>
      </c>
      <c r="I24" s="434">
        <v>44696.34</v>
      </c>
      <c r="J24" s="433">
        <v>0</v>
      </c>
      <c r="K24" s="432">
        <v>134640.34</v>
      </c>
    </row>
    <row r="25" spans="1:11">
      <c r="A25" s="427" t="s">
        <v>79</v>
      </c>
      <c r="B25" s="418" t="s">
        <v>5</v>
      </c>
      <c r="F25" s="435">
        <v>766</v>
      </c>
      <c r="G25" s="435">
        <v>1097</v>
      </c>
      <c r="H25" s="433">
        <v>36752</v>
      </c>
      <c r="I25" s="434">
        <v>18263.36</v>
      </c>
      <c r="J25" s="433">
        <v>0</v>
      </c>
      <c r="K25" s="432">
        <v>55015.360000000001</v>
      </c>
    </row>
    <row r="26" spans="1:11">
      <c r="A26" s="427" t="s">
        <v>80</v>
      </c>
      <c r="B26" s="418" t="s">
        <v>45</v>
      </c>
      <c r="F26" s="435">
        <v>992</v>
      </c>
      <c r="G26" s="435">
        <v>6158</v>
      </c>
      <c r="H26" s="433">
        <v>47591</v>
      </c>
      <c r="I26" s="434">
        <v>23649.64</v>
      </c>
      <c r="J26" s="433">
        <v>0</v>
      </c>
      <c r="K26" s="432">
        <v>71240.639999999999</v>
      </c>
    </row>
    <row r="27" spans="1:11">
      <c r="A27" s="427" t="s">
        <v>81</v>
      </c>
      <c r="B27" s="418" t="s">
        <v>46</v>
      </c>
      <c r="F27" s="435">
        <v>0</v>
      </c>
      <c r="G27" s="435">
        <v>229</v>
      </c>
      <c r="H27" s="433">
        <v>761434.2</v>
      </c>
      <c r="I27" s="434">
        <v>378383.45</v>
      </c>
      <c r="J27" s="433">
        <v>84847.26</v>
      </c>
      <c r="K27" s="432">
        <v>1054970.3899999999</v>
      </c>
    </row>
    <row r="28" spans="1:11">
      <c r="A28" s="427" t="s">
        <v>82</v>
      </c>
      <c r="B28" s="418" t="s">
        <v>47</v>
      </c>
      <c r="F28" s="435">
        <v>0</v>
      </c>
      <c r="G28" s="435">
        <v>0</v>
      </c>
      <c r="H28" s="433">
        <v>0</v>
      </c>
      <c r="I28" s="434">
        <v>0</v>
      </c>
      <c r="J28" s="433">
        <v>0</v>
      </c>
      <c r="K28" s="432">
        <v>0</v>
      </c>
    </row>
    <row r="29" spans="1:11">
      <c r="A29" s="427" t="s">
        <v>83</v>
      </c>
      <c r="B29" s="418" t="s">
        <v>48</v>
      </c>
      <c r="F29" s="435">
        <v>2001</v>
      </c>
      <c r="G29" s="435">
        <v>2</v>
      </c>
      <c r="H29" s="433">
        <v>96047</v>
      </c>
      <c r="I29" s="434">
        <v>47729.13</v>
      </c>
      <c r="J29" s="433">
        <v>0</v>
      </c>
      <c r="K29" s="432">
        <v>143776.13</v>
      </c>
    </row>
    <row r="30" spans="1:11">
      <c r="A30" s="427" t="s">
        <v>84</v>
      </c>
      <c r="B30" s="1125" t="s">
        <v>615</v>
      </c>
      <c r="C30" s="1126"/>
      <c r="D30" s="1124"/>
      <c r="F30" s="435">
        <v>154</v>
      </c>
      <c r="G30" s="435">
        <v>494</v>
      </c>
      <c r="H30" s="433">
        <v>7384</v>
      </c>
      <c r="I30" s="434">
        <v>3669.37</v>
      </c>
      <c r="J30" s="433">
        <v>0</v>
      </c>
      <c r="K30" s="432">
        <v>11053.37</v>
      </c>
    </row>
    <row r="31" spans="1:11">
      <c r="A31" s="427" t="s">
        <v>133</v>
      </c>
      <c r="B31" s="1016" t="s">
        <v>716</v>
      </c>
      <c r="C31" s="1017"/>
      <c r="D31" s="1018"/>
      <c r="F31" s="435">
        <v>1010</v>
      </c>
      <c r="G31" s="435">
        <v>0</v>
      </c>
      <c r="H31" s="433">
        <v>48485</v>
      </c>
      <c r="I31" s="434">
        <v>24093.9</v>
      </c>
      <c r="J31" s="433">
        <v>0</v>
      </c>
      <c r="K31" s="432">
        <v>72578.899999999994</v>
      </c>
    </row>
    <row r="32" spans="1:11">
      <c r="A32" s="427" t="s">
        <v>134</v>
      </c>
      <c r="B32" s="744"/>
      <c r="C32" s="745"/>
      <c r="D32" s="746"/>
      <c r="F32" s="435"/>
      <c r="G32" s="480" t="s">
        <v>85</v>
      </c>
      <c r="H32" s="433"/>
      <c r="I32" s="434">
        <v>0</v>
      </c>
      <c r="J32" s="433">
        <v>0</v>
      </c>
      <c r="K32" s="432">
        <v>0</v>
      </c>
    </row>
    <row r="33" spans="1:11">
      <c r="A33" s="427" t="s">
        <v>135</v>
      </c>
      <c r="B33" s="744"/>
      <c r="C33" s="745"/>
      <c r="D33" s="746"/>
      <c r="F33" s="435"/>
      <c r="G33" s="480" t="s">
        <v>85</v>
      </c>
      <c r="H33" s="433"/>
      <c r="I33" s="434">
        <v>0</v>
      </c>
      <c r="J33" s="433">
        <v>0</v>
      </c>
      <c r="K33" s="432">
        <v>0</v>
      </c>
    </row>
    <row r="34" spans="1:11">
      <c r="A34" s="427" t="s">
        <v>136</v>
      </c>
      <c r="B34" s="1016"/>
      <c r="C34" s="1017"/>
      <c r="D34" s="1018"/>
      <c r="F34" s="435"/>
      <c r="G34" s="480" t="s">
        <v>85</v>
      </c>
      <c r="H34" s="433"/>
      <c r="I34" s="434">
        <v>0</v>
      </c>
      <c r="J34" s="433">
        <v>0</v>
      </c>
      <c r="K34" s="432">
        <v>0</v>
      </c>
    </row>
    <row r="35" spans="1:11">
      <c r="A35" s="420"/>
      <c r="K35" s="479"/>
    </row>
    <row r="36" spans="1:11">
      <c r="A36" s="422" t="s">
        <v>137</v>
      </c>
      <c r="B36" s="419" t="s">
        <v>138</v>
      </c>
      <c r="E36" s="419" t="s">
        <v>7</v>
      </c>
      <c r="F36" s="425">
        <v>8282</v>
      </c>
      <c r="G36" s="425">
        <v>40357</v>
      </c>
      <c r="H36" s="425">
        <v>1158904</v>
      </c>
      <c r="I36" s="432">
        <v>575900.28</v>
      </c>
      <c r="J36" s="432">
        <v>87017.26</v>
      </c>
      <c r="K36" s="432">
        <v>1647787.22</v>
      </c>
    </row>
    <row r="37" spans="1:11" ht="15.75" thickBot="1">
      <c r="A37" s="420"/>
      <c r="B37" s="419"/>
      <c r="F37" s="478"/>
      <c r="G37" s="478"/>
      <c r="H37" s="477"/>
      <c r="I37" s="477"/>
      <c r="J37" s="477"/>
      <c r="K37" s="476"/>
    </row>
    <row r="38" spans="1:11" ht="39">
      <c r="A38" s="420"/>
      <c r="F38" s="431" t="s">
        <v>9</v>
      </c>
      <c r="G38" s="431" t="s">
        <v>37</v>
      </c>
      <c r="H38" s="431" t="s">
        <v>29</v>
      </c>
      <c r="I38" s="431" t="s">
        <v>30</v>
      </c>
      <c r="J38" s="431" t="s">
        <v>33</v>
      </c>
      <c r="K38" s="431" t="s">
        <v>34</v>
      </c>
    </row>
    <row r="39" spans="1:11">
      <c r="A39" s="422" t="s">
        <v>86</v>
      </c>
      <c r="B39" s="419" t="s">
        <v>49</v>
      </c>
    </row>
    <row r="40" spans="1:11">
      <c r="A40" s="427" t="s">
        <v>87</v>
      </c>
      <c r="B40" s="418" t="s">
        <v>31</v>
      </c>
      <c r="F40" s="435"/>
      <c r="G40" s="435"/>
      <c r="H40" s="433"/>
      <c r="I40" s="434">
        <v>0</v>
      </c>
      <c r="J40" s="433"/>
      <c r="K40" s="432">
        <v>0</v>
      </c>
    </row>
    <row r="41" spans="1:11">
      <c r="A41" s="427" t="s">
        <v>88</v>
      </c>
      <c r="B41" s="987" t="s">
        <v>50</v>
      </c>
      <c r="C41" s="1019"/>
      <c r="F41" s="435"/>
      <c r="G41" s="435"/>
      <c r="H41" s="433"/>
      <c r="I41" s="434">
        <v>0</v>
      </c>
      <c r="J41" s="433"/>
      <c r="K41" s="432">
        <v>0</v>
      </c>
    </row>
    <row r="42" spans="1:11">
      <c r="A42" s="427" t="s">
        <v>89</v>
      </c>
      <c r="B42" s="439" t="s">
        <v>11</v>
      </c>
      <c r="F42" s="435">
        <v>24519</v>
      </c>
      <c r="G42" s="435">
        <v>1104</v>
      </c>
      <c r="H42" s="433">
        <v>1176677</v>
      </c>
      <c r="I42" s="434">
        <v>584732.21</v>
      </c>
      <c r="J42" s="433">
        <v>0</v>
      </c>
      <c r="K42" s="432">
        <v>1761409.21</v>
      </c>
    </row>
    <row r="43" spans="1:11">
      <c r="A43" s="427" t="s">
        <v>90</v>
      </c>
      <c r="B43" s="475" t="s">
        <v>10</v>
      </c>
      <c r="C43" s="442"/>
      <c r="D43" s="442"/>
      <c r="F43" s="435"/>
      <c r="G43" s="435"/>
      <c r="H43" s="433"/>
      <c r="I43" s="434">
        <v>0</v>
      </c>
      <c r="J43" s="433"/>
      <c r="K43" s="432">
        <v>0</v>
      </c>
    </row>
    <row r="44" spans="1:11">
      <c r="A44" s="427" t="s">
        <v>91</v>
      </c>
      <c r="B44" s="1016"/>
      <c r="C44" s="1017"/>
      <c r="D44" s="1018"/>
      <c r="F44" s="473"/>
      <c r="G44" s="473"/>
      <c r="H44" s="473"/>
      <c r="I44" s="474">
        <v>0</v>
      </c>
      <c r="J44" s="473"/>
      <c r="K44" s="472">
        <v>0</v>
      </c>
    </row>
    <row r="45" spans="1:11">
      <c r="A45" s="427" t="s">
        <v>139</v>
      </c>
      <c r="B45" s="1016"/>
      <c r="C45" s="1017"/>
      <c r="D45" s="1018"/>
      <c r="F45" s="435"/>
      <c r="G45" s="435"/>
      <c r="H45" s="433"/>
      <c r="I45" s="434">
        <v>0</v>
      </c>
      <c r="J45" s="433"/>
      <c r="K45" s="432">
        <v>0</v>
      </c>
    </row>
    <row r="46" spans="1:11">
      <c r="A46" s="427" t="s">
        <v>140</v>
      </c>
      <c r="B46" s="1016"/>
      <c r="C46" s="1017"/>
      <c r="D46" s="1018"/>
      <c r="F46" s="435"/>
      <c r="G46" s="435"/>
      <c r="H46" s="433"/>
      <c r="I46" s="434">
        <v>0</v>
      </c>
      <c r="J46" s="433"/>
      <c r="K46" s="432">
        <v>0</v>
      </c>
    </row>
    <row r="47" spans="1:11">
      <c r="A47" s="427" t="s">
        <v>141</v>
      </c>
      <c r="B47" s="1016"/>
      <c r="C47" s="1017"/>
      <c r="D47" s="1018"/>
      <c r="F47" s="435"/>
      <c r="G47" s="435"/>
      <c r="H47" s="433"/>
      <c r="I47" s="434">
        <v>0</v>
      </c>
      <c r="J47" s="433"/>
      <c r="K47" s="432">
        <v>0</v>
      </c>
    </row>
    <row r="48" spans="1:11">
      <c r="A48" s="420"/>
    </row>
    <row r="49" spans="1:11">
      <c r="A49" s="422" t="s">
        <v>142</v>
      </c>
      <c r="B49" s="419" t="s">
        <v>143</v>
      </c>
      <c r="E49" s="419" t="s">
        <v>7</v>
      </c>
      <c r="F49" s="471">
        <v>24519</v>
      </c>
      <c r="G49" s="471">
        <v>1104</v>
      </c>
      <c r="H49" s="432">
        <v>1176677</v>
      </c>
      <c r="I49" s="432">
        <v>584732.21</v>
      </c>
      <c r="J49" s="432">
        <v>0</v>
      </c>
      <c r="K49" s="432">
        <v>1761409.21</v>
      </c>
    </row>
    <row r="50" spans="1:11" ht="15.75" thickBot="1">
      <c r="A50" s="420"/>
      <c r="G50" s="443"/>
      <c r="H50" s="443"/>
      <c r="I50" s="443"/>
      <c r="J50" s="443"/>
      <c r="K50" s="443"/>
    </row>
    <row r="51" spans="1:11" ht="39">
      <c r="A51" s="420"/>
      <c r="F51" s="431" t="s">
        <v>9</v>
      </c>
      <c r="G51" s="431" t="s">
        <v>37</v>
      </c>
      <c r="H51" s="431" t="s">
        <v>29</v>
      </c>
      <c r="I51" s="431" t="s">
        <v>30</v>
      </c>
      <c r="J51" s="431" t="s">
        <v>33</v>
      </c>
      <c r="K51" s="431" t="s">
        <v>34</v>
      </c>
    </row>
    <row r="52" spans="1:11">
      <c r="A52" s="422" t="s">
        <v>92</v>
      </c>
      <c r="B52" s="992" t="s">
        <v>38</v>
      </c>
      <c r="C52" s="1020"/>
    </row>
    <row r="53" spans="1:11">
      <c r="A53" s="427" t="s">
        <v>51</v>
      </c>
      <c r="B53" s="1122" t="s">
        <v>533</v>
      </c>
      <c r="C53" s="1123"/>
      <c r="D53" s="1124"/>
      <c r="F53" s="435">
        <v>15020</v>
      </c>
      <c r="G53" s="435"/>
      <c r="H53" s="433">
        <v>2311686.06</v>
      </c>
      <c r="I53" s="434">
        <v>1148758.1499999999</v>
      </c>
      <c r="J53" s="433"/>
      <c r="K53" s="432">
        <v>3460444.21</v>
      </c>
    </row>
    <row r="54" spans="1:11">
      <c r="A54" s="427" t="s">
        <v>93</v>
      </c>
      <c r="B54" s="760" t="s">
        <v>616</v>
      </c>
      <c r="C54" s="761"/>
      <c r="D54" s="762"/>
      <c r="F54" s="435">
        <v>34758</v>
      </c>
      <c r="G54" s="435"/>
      <c r="H54" s="433">
        <v>5349565.38</v>
      </c>
      <c r="I54" s="434">
        <v>2658387.2799999998</v>
      </c>
      <c r="J54" s="433"/>
      <c r="K54" s="432">
        <v>8007952.6600000001</v>
      </c>
    </row>
    <row r="55" spans="1:11">
      <c r="A55" s="427" t="s">
        <v>94</v>
      </c>
      <c r="B55" s="1125" t="s">
        <v>617</v>
      </c>
      <c r="C55" s="1126"/>
      <c r="D55" s="1124"/>
      <c r="F55" s="435">
        <v>8366</v>
      </c>
      <c r="G55" s="435"/>
      <c r="H55" s="433">
        <v>1287565</v>
      </c>
      <c r="I55" s="434">
        <v>639836.36</v>
      </c>
      <c r="J55" s="433"/>
      <c r="K55" s="432">
        <v>1927401.36</v>
      </c>
    </row>
    <row r="56" spans="1:11">
      <c r="A56" s="427" t="s">
        <v>95</v>
      </c>
      <c r="B56" s="1125" t="s">
        <v>618</v>
      </c>
      <c r="C56" s="1126"/>
      <c r="D56" s="1124"/>
      <c r="F56" s="435">
        <v>5006</v>
      </c>
      <c r="G56" s="435"/>
      <c r="H56" s="433">
        <v>770411.33</v>
      </c>
      <c r="I56" s="434">
        <v>382844.5</v>
      </c>
      <c r="J56" s="433"/>
      <c r="K56" s="432">
        <v>1153255.83</v>
      </c>
    </row>
    <row r="57" spans="1:11">
      <c r="A57" s="427" t="s">
        <v>96</v>
      </c>
      <c r="B57" s="1125" t="s">
        <v>588</v>
      </c>
      <c r="C57" s="1126"/>
      <c r="D57" s="1124"/>
      <c r="F57" s="435">
        <v>19164</v>
      </c>
      <c r="G57" s="435"/>
      <c r="H57" s="433">
        <v>2949551.97</v>
      </c>
      <c r="I57" s="434">
        <v>1465736.16</v>
      </c>
      <c r="J57" s="433"/>
      <c r="K57" s="432">
        <v>4415288.13</v>
      </c>
    </row>
    <row r="58" spans="1:11">
      <c r="A58" s="427" t="s">
        <v>97</v>
      </c>
      <c r="B58" s="760" t="s">
        <v>619</v>
      </c>
      <c r="C58" s="761"/>
      <c r="D58" s="762"/>
      <c r="F58" s="435">
        <v>5076</v>
      </c>
      <c r="G58" s="435"/>
      <c r="H58" s="433">
        <v>781518.33</v>
      </c>
      <c r="I58" s="434">
        <v>388363.96</v>
      </c>
      <c r="J58" s="433"/>
      <c r="K58" s="432">
        <v>1169882.29</v>
      </c>
    </row>
    <row r="59" spans="1:11">
      <c r="A59" s="427" t="s">
        <v>98</v>
      </c>
      <c r="B59" s="1127" t="s">
        <v>620</v>
      </c>
      <c r="C59" s="1014"/>
      <c r="D59" s="1015"/>
      <c r="F59" s="435">
        <v>4920</v>
      </c>
      <c r="G59" s="435"/>
      <c r="H59" s="433">
        <v>757189.56</v>
      </c>
      <c r="I59" s="434">
        <v>376274.14</v>
      </c>
      <c r="J59" s="433"/>
      <c r="K59" s="432">
        <v>1133463.7</v>
      </c>
    </row>
    <row r="60" spans="1:11">
      <c r="A60" s="427" t="s">
        <v>99</v>
      </c>
      <c r="B60" s="741" t="s">
        <v>621</v>
      </c>
      <c r="C60" s="742"/>
      <c r="D60" s="743"/>
      <c r="F60" s="435">
        <v>1216</v>
      </c>
      <c r="G60" s="435"/>
      <c r="H60" s="433">
        <v>187200</v>
      </c>
      <c r="I60" s="434">
        <v>93026.27</v>
      </c>
      <c r="J60" s="433"/>
      <c r="K60" s="432">
        <v>280226.27</v>
      </c>
    </row>
    <row r="61" spans="1:11">
      <c r="A61" s="427" t="s">
        <v>100</v>
      </c>
      <c r="B61" s="741" t="s">
        <v>622</v>
      </c>
      <c r="C61" s="742"/>
      <c r="D61" s="743"/>
      <c r="F61" s="435">
        <v>1016</v>
      </c>
      <c r="G61" s="435"/>
      <c r="H61" s="433">
        <v>156390</v>
      </c>
      <c r="I61" s="434">
        <v>77715.69</v>
      </c>
      <c r="J61" s="433"/>
      <c r="K61" s="432">
        <v>234105.69</v>
      </c>
    </row>
    <row r="62" spans="1:11">
      <c r="A62" s="427" t="s">
        <v>101</v>
      </c>
      <c r="B62" s="1127" t="s">
        <v>715</v>
      </c>
      <c r="C62" s="1014"/>
      <c r="D62" s="1015"/>
      <c r="F62" s="435">
        <v>5934</v>
      </c>
      <c r="G62" s="435"/>
      <c r="H62" s="433">
        <v>913284.76</v>
      </c>
      <c r="I62" s="434">
        <v>453843.33</v>
      </c>
      <c r="J62" s="433"/>
      <c r="K62" s="432">
        <v>1367128.09</v>
      </c>
    </row>
    <row r="63" spans="1:11">
      <c r="A63" s="427"/>
      <c r="I63" s="470"/>
    </row>
    <row r="64" spans="1:11">
      <c r="A64" s="427" t="s">
        <v>144</v>
      </c>
      <c r="B64" s="419" t="s">
        <v>145</v>
      </c>
      <c r="E64" s="419" t="s">
        <v>7</v>
      </c>
      <c r="F64" s="425">
        <v>100475</v>
      </c>
      <c r="G64" s="425">
        <v>0</v>
      </c>
      <c r="H64" s="432">
        <v>15464362.390000001</v>
      </c>
      <c r="I64" s="432">
        <v>7684785.8300000001</v>
      </c>
      <c r="J64" s="432">
        <v>0</v>
      </c>
      <c r="K64" s="432">
        <v>23149148.219999999</v>
      </c>
    </row>
    <row r="65" spans="1:11">
      <c r="A65" s="420"/>
      <c r="F65" s="424"/>
      <c r="G65" s="424"/>
      <c r="H65" s="424"/>
      <c r="I65" s="424"/>
      <c r="J65" s="424"/>
      <c r="K65" s="424"/>
    </row>
    <row r="66" spans="1:11" ht="39">
      <c r="A66" s="420"/>
      <c r="F66" s="469" t="s">
        <v>9</v>
      </c>
      <c r="G66" s="469" t="s">
        <v>37</v>
      </c>
      <c r="H66" s="469" t="s">
        <v>29</v>
      </c>
      <c r="I66" s="469" t="s">
        <v>30</v>
      </c>
      <c r="J66" s="469" t="s">
        <v>33</v>
      </c>
      <c r="K66" s="469" t="s">
        <v>34</v>
      </c>
    </row>
    <row r="67" spans="1:11">
      <c r="A67" s="422" t="s">
        <v>102</v>
      </c>
      <c r="B67" s="419" t="s">
        <v>12</v>
      </c>
      <c r="F67" s="468"/>
      <c r="G67" s="468"/>
      <c r="H67" s="468"/>
      <c r="I67" s="457"/>
      <c r="J67" s="468"/>
      <c r="K67" s="455"/>
    </row>
    <row r="68" spans="1:11">
      <c r="A68" s="427" t="s">
        <v>103</v>
      </c>
      <c r="B68" s="418" t="s">
        <v>52</v>
      </c>
      <c r="F68" s="435">
        <v>0</v>
      </c>
      <c r="G68" s="453">
        <v>53</v>
      </c>
      <c r="H68" s="452">
        <v>243249.51</v>
      </c>
      <c r="I68" s="434">
        <v>120879.24</v>
      </c>
      <c r="J68" s="452">
        <v>33827.5</v>
      </c>
      <c r="K68" s="432">
        <v>330301.25</v>
      </c>
    </row>
    <row r="69" spans="1:11">
      <c r="A69" s="427" t="s">
        <v>104</v>
      </c>
      <c r="B69" s="439" t="s">
        <v>53</v>
      </c>
      <c r="F69" s="452"/>
      <c r="G69" s="452"/>
      <c r="H69" s="452"/>
      <c r="I69" s="434">
        <v>0</v>
      </c>
      <c r="J69" s="452"/>
      <c r="K69" s="432">
        <v>0</v>
      </c>
    </row>
    <row r="70" spans="1:11">
      <c r="A70" s="427" t="s">
        <v>178</v>
      </c>
      <c r="B70" s="759" t="s">
        <v>714</v>
      </c>
      <c r="C70" s="742"/>
      <c r="D70" s="743"/>
      <c r="E70" s="419"/>
      <c r="F70" s="435">
        <v>4617</v>
      </c>
      <c r="G70" s="435">
        <v>0</v>
      </c>
      <c r="H70" s="433">
        <v>221581</v>
      </c>
      <c r="I70" s="434">
        <v>110111.4</v>
      </c>
      <c r="J70" s="433">
        <v>0</v>
      </c>
      <c r="K70" s="432">
        <v>331692.40000000002</v>
      </c>
    </row>
    <row r="71" spans="1:11">
      <c r="A71" s="427" t="s">
        <v>179</v>
      </c>
      <c r="B71" s="741"/>
      <c r="C71" s="742"/>
      <c r="D71" s="743"/>
      <c r="E71" s="419"/>
      <c r="F71" s="463"/>
      <c r="G71" s="463"/>
      <c r="H71" s="462"/>
      <c r="I71" s="434">
        <v>0</v>
      </c>
      <c r="J71" s="462"/>
      <c r="K71" s="432">
        <v>0</v>
      </c>
    </row>
    <row r="72" spans="1:11">
      <c r="A72" s="427" t="s">
        <v>180</v>
      </c>
      <c r="B72" s="747"/>
      <c r="C72" s="748"/>
      <c r="D72" s="459"/>
      <c r="E72" s="419"/>
      <c r="F72" s="435"/>
      <c r="G72" s="435"/>
      <c r="H72" s="433"/>
      <c r="I72" s="434">
        <v>0</v>
      </c>
      <c r="J72" s="433"/>
      <c r="K72" s="432">
        <v>0</v>
      </c>
    </row>
    <row r="73" spans="1:11">
      <c r="A73" s="427"/>
      <c r="B73" s="439"/>
      <c r="E73" s="419"/>
      <c r="F73" s="458"/>
      <c r="G73" s="458"/>
      <c r="H73" s="456"/>
      <c r="I73" s="457"/>
      <c r="J73" s="456"/>
      <c r="K73" s="455"/>
    </row>
    <row r="74" spans="1:11">
      <c r="A74" s="422" t="s">
        <v>146</v>
      </c>
      <c r="B74" s="419" t="s">
        <v>147</v>
      </c>
      <c r="E74" s="419" t="s">
        <v>7</v>
      </c>
      <c r="F74" s="450">
        <v>4617.1365459999997</v>
      </c>
      <c r="G74" s="450">
        <v>53</v>
      </c>
      <c r="H74" s="450">
        <v>464830.51</v>
      </c>
      <c r="I74" s="454">
        <v>230990.64</v>
      </c>
      <c r="J74" s="450">
        <v>33827.5</v>
      </c>
      <c r="K74" s="438">
        <v>661993.65</v>
      </c>
    </row>
    <row r="75" spans="1:11" ht="39">
      <c r="A75" s="420"/>
      <c r="F75" s="431" t="s">
        <v>9</v>
      </c>
      <c r="G75" s="431" t="s">
        <v>37</v>
      </c>
      <c r="H75" s="431" t="s">
        <v>29</v>
      </c>
      <c r="I75" s="431" t="s">
        <v>30</v>
      </c>
      <c r="J75" s="431" t="s">
        <v>33</v>
      </c>
      <c r="K75" s="431" t="s">
        <v>34</v>
      </c>
    </row>
    <row r="76" spans="1:11">
      <c r="A76" s="422" t="s">
        <v>105</v>
      </c>
      <c r="B76" s="419" t="s">
        <v>106</v>
      </c>
    </row>
    <row r="77" spans="1:11">
      <c r="A77" s="427" t="s">
        <v>107</v>
      </c>
      <c r="B77" s="439" t="s">
        <v>54</v>
      </c>
      <c r="F77" s="435"/>
      <c r="G77" s="453"/>
      <c r="H77" s="452"/>
      <c r="I77" s="434">
        <v>0</v>
      </c>
      <c r="J77" s="452"/>
      <c r="K77" s="432">
        <v>0</v>
      </c>
    </row>
    <row r="78" spans="1:11">
      <c r="A78" s="427" t="s">
        <v>108</v>
      </c>
      <c r="B78" s="439" t="s">
        <v>55</v>
      </c>
      <c r="F78" s="435"/>
      <c r="G78" s="435"/>
      <c r="H78" s="433"/>
      <c r="I78" s="434">
        <v>0</v>
      </c>
      <c r="J78" s="433"/>
      <c r="K78" s="432">
        <v>0</v>
      </c>
    </row>
    <row r="79" spans="1:11">
      <c r="A79" s="427" t="s">
        <v>109</v>
      </c>
      <c r="B79" s="439" t="s">
        <v>13</v>
      </c>
      <c r="F79" s="435">
        <v>119</v>
      </c>
      <c r="G79" s="435">
        <v>198</v>
      </c>
      <c r="H79" s="433">
        <v>5693</v>
      </c>
      <c r="I79" s="434">
        <v>2829.05</v>
      </c>
      <c r="J79" s="433">
        <v>0</v>
      </c>
      <c r="K79" s="432">
        <v>8522.0499999999993</v>
      </c>
    </row>
    <row r="80" spans="1:11">
      <c r="A80" s="427" t="s">
        <v>110</v>
      </c>
      <c r="B80" s="439" t="s">
        <v>56</v>
      </c>
      <c r="F80" s="435"/>
      <c r="G80" s="435"/>
      <c r="H80" s="433"/>
      <c r="I80" s="434">
        <v>0</v>
      </c>
      <c r="J80" s="433"/>
      <c r="K80" s="432">
        <v>0</v>
      </c>
    </row>
    <row r="81" spans="1:11">
      <c r="A81" s="427"/>
      <c r="K81" s="451"/>
    </row>
    <row r="82" spans="1:11">
      <c r="A82" s="427" t="s">
        <v>148</v>
      </c>
      <c r="B82" s="419" t="s">
        <v>149</v>
      </c>
      <c r="E82" s="419" t="s">
        <v>7</v>
      </c>
      <c r="F82" s="450">
        <v>118.6264091</v>
      </c>
      <c r="G82" s="450">
        <v>198</v>
      </c>
      <c r="H82" s="438">
        <v>5693</v>
      </c>
      <c r="I82" s="438">
        <v>2829.05</v>
      </c>
      <c r="J82" s="438">
        <v>0</v>
      </c>
      <c r="K82" s="438">
        <v>8522.0499999999993</v>
      </c>
    </row>
    <row r="83" spans="1:11" ht="15.75" thickBot="1">
      <c r="A83" s="427"/>
      <c r="F83" s="443"/>
      <c r="G83" s="443"/>
      <c r="H83" s="443"/>
      <c r="I83" s="443"/>
      <c r="J83" s="443"/>
      <c r="K83" s="443"/>
    </row>
    <row r="84" spans="1:11" ht="27.2" customHeight="1">
      <c r="A84" s="420"/>
      <c r="F84" s="431" t="s">
        <v>9</v>
      </c>
      <c r="G84" s="431" t="s">
        <v>37</v>
      </c>
      <c r="H84" s="431" t="s">
        <v>29</v>
      </c>
      <c r="I84" s="431" t="s">
        <v>30</v>
      </c>
      <c r="J84" s="431" t="s">
        <v>33</v>
      </c>
      <c r="K84" s="431" t="s">
        <v>34</v>
      </c>
    </row>
    <row r="85" spans="1:11">
      <c r="A85" s="422" t="s">
        <v>111</v>
      </c>
      <c r="B85" s="419" t="s">
        <v>57</v>
      </c>
    </row>
    <row r="86" spans="1:11">
      <c r="A86" s="427" t="s">
        <v>112</v>
      </c>
      <c r="B86" s="439" t="s">
        <v>113</v>
      </c>
      <c r="F86" s="435"/>
      <c r="G86" s="435"/>
      <c r="H86" s="433"/>
      <c r="I86" s="434">
        <v>0</v>
      </c>
      <c r="J86" s="433"/>
      <c r="K86" s="432">
        <v>0</v>
      </c>
    </row>
    <row r="87" spans="1:11">
      <c r="A87" s="427" t="s">
        <v>114</v>
      </c>
      <c r="B87" s="439" t="s">
        <v>14</v>
      </c>
      <c r="F87" s="435"/>
      <c r="G87" s="435"/>
      <c r="H87" s="433"/>
      <c r="I87" s="434">
        <v>0</v>
      </c>
      <c r="J87" s="433"/>
      <c r="K87" s="432">
        <v>0</v>
      </c>
    </row>
    <row r="88" spans="1:11">
      <c r="A88" s="427" t="s">
        <v>115</v>
      </c>
      <c r="B88" s="439" t="s">
        <v>116</v>
      </c>
      <c r="F88" s="435"/>
      <c r="G88" s="435"/>
      <c r="H88" s="433"/>
      <c r="I88" s="434">
        <v>0</v>
      </c>
      <c r="J88" s="433"/>
      <c r="K88" s="432">
        <v>0</v>
      </c>
    </row>
    <row r="89" spans="1:11">
      <c r="A89" s="427" t="s">
        <v>117</v>
      </c>
      <c r="B89" s="439" t="s">
        <v>58</v>
      </c>
      <c r="F89" s="435"/>
      <c r="G89" s="435"/>
      <c r="H89" s="433"/>
      <c r="I89" s="434">
        <v>0</v>
      </c>
      <c r="J89" s="433"/>
      <c r="K89" s="432">
        <v>0</v>
      </c>
    </row>
    <row r="90" spans="1:11">
      <c r="A90" s="427" t="s">
        <v>118</v>
      </c>
      <c r="B90" s="987" t="s">
        <v>59</v>
      </c>
      <c r="C90" s="1019"/>
      <c r="F90" s="435"/>
      <c r="G90" s="435"/>
      <c r="H90" s="433"/>
      <c r="I90" s="434">
        <v>0</v>
      </c>
      <c r="J90" s="433"/>
      <c r="K90" s="432">
        <v>0</v>
      </c>
    </row>
    <row r="91" spans="1:11">
      <c r="A91" s="427" t="s">
        <v>119</v>
      </c>
      <c r="B91" s="439" t="s">
        <v>60</v>
      </c>
      <c r="F91" s="435">
        <v>922</v>
      </c>
      <c r="G91" s="435">
        <v>797</v>
      </c>
      <c r="H91" s="433">
        <v>44266</v>
      </c>
      <c r="I91" s="434">
        <v>21997.33</v>
      </c>
      <c r="J91" s="433">
        <v>0</v>
      </c>
      <c r="K91" s="432">
        <v>66263.33</v>
      </c>
    </row>
    <row r="92" spans="1:11">
      <c r="A92" s="427" t="s">
        <v>120</v>
      </c>
      <c r="B92" s="439" t="s">
        <v>121</v>
      </c>
      <c r="F92" s="449"/>
      <c r="G92" s="449"/>
      <c r="H92" s="448"/>
      <c r="I92" s="434">
        <v>0</v>
      </c>
      <c r="J92" s="448"/>
      <c r="K92" s="432">
        <v>0</v>
      </c>
    </row>
    <row r="93" spans="1:11">
      <c r="A93" s="427" t="s">
        <v>122</v>
      </c>
      <c r="B93" s="439" t="s">
        <v>123</v>
      </c>
      <c r="F93" s="435"/>
      <c r="G93" s="435"/>
      <c r="H93" s="433"/>
      <c r="I93" s="434">
        <v>0</v>
      </c>
      <c r="J93" s="433"/>
      <c r="K93" s="432">
        <v>0</v>
      </c>
    </row>
    <row r="94" spans="1:11">
      <c r="A94" s="427" t="s">
        <v>124</v>
      </c>
      <c r="B94" s="1013"/>
      <c r="C94" s="1014"/>
      <c r="D94" s="1015"/>
      <c r="F94" s="435"/>
      <c r="G94" s="435"/>
      <c r="H94" s="433"/>
      <c r="I94" s="434">
        <v>0</v>
      </c>
      <c r="J94" s="433"/>
      <c r="K94" s="432">
        <v>0</v>
      </c>
    </row>
    <row r="95" spans="1:11">
      <c r="A95" s="427" t="s">
        <v>125</v>
      </c>
      <c r="B95" s="1013"/>
      <c r="C95" s="1014"/>
      <c r="D95" s="1015"/>
      <c r="F95" s="435"/>
      <c r="G95" s="435"/>
      <c r="H95" s="433"/>
      <c r="I95" s="434">
        <v>0</v>
      </c>
      <c r="J95" s="433"/>
      <c r="K95" s="432">
        <v>0</v>
      </c>
    </row>
    <row r="96" spans="1:11">
      <c r="A96" s="427" t="s">
        <v>126</v>
      </c>
      <c r="B96" s="1013"/>
      <c r="C96" s="1014"/>
      <c r="D96" s="1015"/>
      <c r="F96" s="435"/>
      <c r="G96" s="435"/>
      <c r="H96" s="433"/>
      <c r="I96" s="434">
        <v>0</v>
      </c>
      <c r="J96" s="433"/>
      <c r="K96" s="432">
        <v>0</v>
      </c>
    </row>
    <row r="97" spans="1:12">
      <c r="A97" s="427"/>
      <c r="B97" s="439"/>
    </row>
    <row r="98" spans="1:12">
      <c r="A98" s="422" t="s">
        <v>150</v>
      </c>
      <c r="B98" s="419" t="s">
        <v>151</v>
      </c>
      <c r="E98" s="419" t="s">
        <v>7</v>
      </c>
      <c r="F98" s="425">
        <v>922</v>
      </c>
      <c r="G98" s="425">
        <v>797</v>
      </c>
      <c r="H98" s="425">
        <v>44266</v>
      </c>
      <c r="I98" s="425">
        <v>21997</v>
      </c>
      <c r="J98" s="425">
        <v>0</v>
      </c>
      <c r="K98" s="425">
        <v>66263</v>
      </c>
    </row>
    <row r="99" spans="1:12" ht="15.75" thickBot="1">
      <c r="A99" s="420"/>
      <c r="B99" s="419"/>
      <c r="F99" s="443"/>
      <c r="G99" s="443"/>
      <c r="H99" s="443"/>
      <c r="I99" s="443"/>
      <c r="J99" s="443"/>
      <c r="K99" s="443"/>
    </row>
    <row r="100" spans="1:12" ht="39">
      <c r="A100" s="420"/>
      <c r="F100" s="431" t="s">
        <v>9</v>
      </c>
      <c r="G100" s="431" t="s">
        <v>37</v>
      </c>
      <c r="H100" s="431" t="s">
        <v>29</v>
      </c>
      <c r="I100" s="431" t="s">
        <v>30</v>
      </c>
      <c r="J100" s="431" t="s">
        <v>33</v>
      </c>
      <c r="K100" s="431" t="s">
        <v>34</v>
      </c>
    </row>
    <row r="101" spans="1:12">
      <c r="A101" s="422" t="s">
        <v>130</v>
      </c>
      <c r="B101" s="419" t="s">
        <v>63</v>
      </c>
    </row>
    <row r="102" spans="1:12">
      <c r="A102" s="427" t="s">
        <v>131</v>
      </c>
      <c r="B102" s="439" t="s">
        <v>152</v>
      </c>
      <c r="F102" s="435"/>
      <c r="G102" s="435"/>
      <c r="H102" s="433"/>
      <c r="I102" s="434">
        <v>0</v>
      </c>
      <c r="J102" s="433"/>
      <c r="K102" s="432">
        <v>0</v>
      </c>
    </row>
    <row r="103" spans="1:12">
      <c r="A103" s="427" t="s">
        <v>132</v>
      </c>
      <c r="B103" s="987" t="s">
        <v>62</v>
      </c>
      <c r="C103" s="987"/>
      <c r="F103" s="435"/>
      <c r="G103" s="435"/>
      <c r="H103" s="433"/>
      <c r="I103" s="434">
        <v>0</v>
      </c>
      <c r="J103" s="433"/>
      <c r="K103" s="432">
        <v>0</v>
      </c>
    </row>
    <row r="104" spans="1:12">
      <c r="A104" s="427" t="s">
        <v>128</v>
      </c>
      <c r="B104" s="1013"/>
      <c r="C104" s="1014"/>
      <c r="D104" s="1015"/>
      <c r="F104" s="435"/>
      <c r="G104" s="435"/>
      <c r="H104" s="433"/>
      <c r="I104" s="434">
        <v>0</v>
      </c>
      <c r="J104" s="433"/>
      <c r="K104" s="432">
        <v>0</v>
      </c>
    </row>
    <row r="105" spans="1:12">
      <c r="A105" s="427" t="s">
        <v>127</v>
      </c>
      <c r="B105" s="1013"/>
      <c r="C105" s="1014"/>
      <c r="D105" s="1015"/>
      <c r="F105" s="435"/>
      <c r="G105" s="435"/>
      <c r="H105" s="433"/>
      <c r="I105" s="434">
        <v>0</v>
      </c>
      <c r="J105" s="433"/>
      <c r="K105" s="432">
        <v>0</v>
      </c>
    </row>
    <row r="106" spans="1:12">
      <c r="A106" s="427" t="s">
        <v>129</v>
      </c>
      <c r="B106" s="1013"/>
      <c r="C106" s="1014"/>
      <c r="D106" s="1015"/>
      <c r="F106" s="435"/>
      <c r="G106" s="435"/>
      <c r="H106" s="433"/>
      <c r="I106" s="434">
        <v>0</v>
      </c>
      <c r="J106" s="433"/>
      <c r="K106" s="432">
        <v>0</v>
      </c>
    </row>
    <row r="107" spans="1:12">
      <c r="A107" s="420"/>
      <c r="B107" s="419"/>
    </row>
    <row r="108" spans="1:12">
      <c r="A108" s="422" t="s">
        <v>153</v>
      </c>
      <c r="B108" s="447" t="s">
        <v>154</v>
      </c>
      <c r="E108" s="419" t="s">
        <v>7</v>
      </c>
      <c r="F108" s="425">
        <v>0</v>
      </c>
      <c r="G108" s="425">
        <v>0</v>
      </c>
      <c r="H108" s="432">
        <v>0</v>
      </c>
      <c r="I108" s="432">
        <v>0</v>
      </c>
      <c r="J108" s="432">
        <v>0</v>
      </c>
      <c r="K108" s="432">
        <v>0</v>
      </c>
      <c r="L108" s="442"/>
    </row>
    <row r="109" spans="1:12" ht="15.75" thickBot="1">
      <c r="A109" s="446"/>
      <c r="B109" s="445"/>
      <c r="C109" s="444"/>
      <c r="D109" s="444"/>
      <c r="E109" s="444"/>
      <c r="F109" s="443"/>
      <c r="G109" s="443"/>
      <c r="H109" s="443"/>
      <c r="I109" s="443"/>
      <c r="J109" s="443"/>
      <c r="K109" s="443"/>
      <c r="L109" s="442"/>
    </row>
    <row r="110" spans="1:12">
      <c r="A110" s="422" t="s">
        <v>156</v>
      </c>
      <c r="B110" s="419" t="s">
        <v>39</v>
      </c>
      <c r="L110" s="442"/>
    </row>
    <row r="111" spans="1:12">
      <c r="A111" s="422" t="s">
        <v>155</v>
      </c>
      <c r="B111" s="419" t="s">
        <v>164</v>
      </c>
      <c r="E111" s="419" t="s">
        <v>7</v>
      </c>
      <c r="F111" s="433">
        <v>8002482.5999999996</v>
      </c>
    </row>
    <row r="112" spans="1:12">
      <c r="A112" s="420"/>
      <c r="B112" s="419"/>
      <c r="E112" s="419"/>
      <c r="F112" s="441"/>
    </row>
    <row r="113" spans="1:6">
      <c r="A113" s="422"/>
      <c r="B113" s="419" t="s">
        <v>15</v>
      </c>
    </row>
    <row r="114" spans="1:6">
      <c r="A114" s="427" t="s">
        <v>171</v>
      </c>
      <c r="B114" s="439" t="s">
        <v>35</v>
      </c>
      <c r="F114" s="440">
        <v>0.49690000000000001</v>
      </c>
    </row>
    <row r="115" spans="1:6">
      <c r="A115" s="427"/>
      <c r="B115" s="419"/>
    </row>
    <row r="116" spans="1:6">
      <c r="A116" s="427" t="s">
        <v>170</v>
      </c>
      <c r="B116" s="419" t="s">
        <v>16</v>
      </c>
    </row>
    <row r="117" spans="1:6">
      <c r="A117" s="427" t="s">
        <v>172</v>
      </c>
      <c r="B117" s="439" t="s">
        <v>17</v>
      </c>
      <c r="F117" s="433">
        <v>326739000</v>
      </c>
    </row>
    <row r="118" spans="1:6">
      <c r="A118" s="427" t="s">
        <v>173</v>
      </c>
      <c r="B118" s="418" t="s">
        <v>18</v>
      </c>
      <c r="F118" s="433">
        <v>3127000</v>
      </c>
    </row>
    <row r="119" spans="1:6">
      <c r="A119" s="427" t="s">
        <v>174</v>
      </c>
      <c r="B119" s="419" t="s">
        <v>19</v>
      </c>
      <c r="F119" s="438">
        <v>329866000</v>
      </c>
    </row>
    <row r="120" spans="1:6">
      <c r="A120" s="427"/>
      <c r="B120" s="419"/>
    </row>
    <row r="121" spans="1:6">
      <c r="A121" s="427" t="s">
        <v>167</v>
      </c>
      <c r="B121" s="419" t="s">
        <v>36</v>
      </c>
      <c r="F121" s="433">
        <v>319343921.02999997</v>
      </c>
    </row>
    <row r="122" spans="1:6">
      <c r="A122" s="427"/>
    </row>
    <row r="123" spans="1:6">
      <c r="A123" s="427" t="s">
        <v>175</v>
      </c>
      <c r="B123" s="419" t="s">
        <v>20</v>
      </c>
      <c r="F123" s="776">
        <v>10522079</v>
      </c>
    </row>
    <row r="124" spans="1:6">
      <c r="A124" s="427"/>
    </row>
    <row r="125" spans="1:6">
      <c r="A125" s="427" t="s">
        <v>176</v>
      </c>
      <c r="B125" s="419" t="s">
        <v>21</v>
      </c>
      <c r="F125" s="437">
        <v>-2797000</v>
      </c>
    </row>
    <row r="126" spans="1:6">
      <c r="A126" s="427"/>
    </row>
    <row r="127" spans="1:6">
      <c r="A127" s="427" t="s">
        <v>177</v>
      </c>
      <c r="B127" s="419" t="s">
        <v>22</v>
      </c>
      <c r="F127" s="433">
        <v>7725078.9699999997</v>
      </c>
    </row>
    <row r="128" spans="1:6">
      <c r="A128" s="427"/>
      <c r="B128" s="419"/>
      <c r="F128" s="436"/>
    </row>
    <row r="129" spans="1:11" ht="39">
      <c r="A129" s="420"/>
      <c r="F129" s="431" t="s">
        <v>9</v>
      </c>
      <c r="G129" s="431" t="s">
        <v>37</v>
      </c>
      <c r="H129" s="431" t="s">
        <v>29</v>
      </c>
      <c r="I129" s="431" t="s">
        <v>30</v>
      </c>
      <c r="J129" s="431" t="s">
        <v>33</v>
      </c>
      <c r="K129" s="431" t="s">
        <v>34</v>
      </c>
    </row>
    <row r="130" spans="1:11">
      <c r="A130" s="422" t="s">
        <v>157</v>
      </c>
      <c r="B130" s="419" t="s">
        <v>23</v>
      </c>
    </row>
    <row r="131" spans="1:11">
      <c r="A131" s="427" t="s">
        <v>158</v>
      </c>
      <c r="B131" s="418" t="s">
        <v>24</v>
      </c>
      <c r="F131" s="435"/>
      <c r="G131" s="435"/>
      <c r="H131" s="433"/>
      <c r="I131" s="434">
        <v>0</v>
      </c>
      <c r="J131" s="433"/>
      <c r="K131" s="432">
        <v>0</v>
      </c>
    </row>
    <row r="132" spans="1:11">
      <c r="A132" s="427" t="s">
        <v>159</v>
      </c>
      <c r="B132" s="418" t="s">
        <v>25</v>
      </c>
      <c r="F132" s="435"/>
      <c r="G132" s="435"/>
      <c r="H132" s="433"/>
      <c r="I132" s="434">
        <v>0</v>
      </c>
      <c r="J132" s="433"/>
      <c r="K132" s="432">
        <v>0</v>
      </c>
    </row>
    <row r="133" spans="1:11">
      <c r="A133" s="427" t="s">
        <v>160</v>
      </c>
      <c r="B133" s="1016"/>
      <c r="C133" s="1017"/>
      <c r="D133" s="1018"/>
      <c r="F133" s="435"/>
      <c r="G133" s="435"/>
      <c r="H133" s="433"/>
      <c r="I133" s="434">
        <v>0</v>
      </c>
      <c r="J133" s="433"/>
      <c r="K133" s="432">
        <v>0</v>
      </c>
    </row>
    <row r="134" spans="1:11">
      <c r="A134" s="427" t="s">
        <v>161</v>
      </c>
      <c r="B134" s="1016"/>
      <c r="C134" s="1017"/>
      <c r="D134" s="1018"/>
      <c r="F134" s="435"/>
      <c r="G134" s="435"/>
      <c r="H134" s="433"/>
      <c r="I134" s="434">
        <v>0</v>
      </c>
      <c r="J134" s="433"/>
      <c r="K134" s="432">
        <v>0</v>
      </c>
    </row>
    <row r="135" spans="1:11">
      <c r="A135" s="427" t="s">
        <v>162</v>
      </c>
      <c r="B135" s="1016"/>
      <c r="C135" s="1017"/>
      <c r="D135" s="1018"/>
      <c r="F135" s="435"/>
      <c r="G135" s="435"/>
      <c r="H135" s="433"/>
      <c r="I135" s="434">
        <v>0</v>
      </c>
      <c r="J135" s="433"/>
      <c r="K135" s="432">
        <v>0</v>
      </c>
    </row>
    <row r="136" spans="1:11">
      <c r="A136" s="422"/>
    </row>
    <row r="137" spans="1:11">
      <c r="A137" s="422" t="s">
        <v>163</v>
      </c>
      <c r="B137" s="419" t="s">
        <v>27</v>
      </c>
      <c r="F137" s="425">
        <v>0</v>
      </c>
      <c r="G137" s="425">
        <v>0</v>
      </c>
      <c r="H137" s="432">
        <v>0</v>
      </c>
      <c r="I137" s="432">
        <v>0</v>
      </c>
      <c r="J137" s="432">
        <v>0</v>
      </c>
      <c r="K137" s="432">
        <v>0</v>
      </c>
    </row>
    <row r="139" spans="1:11" ht="39">
      <c r="A139" s="420"/>
      <c r="F139" s="431" t="s">
        <v>9</v>
      </c>
      <c r="G139" s="431" t="s">
        <v>37</v>
      </c>
      <c r="H139" s="431" t="s">
        <v>29</v>
      </c>
      <c r="I139" s="431" t="s">
        <v>30</v>
      </c>
      <c r="J139" s="431" t="s">
        <v>33</v>
      </c>
      <c r="K139" s="431" t="s">
        <v>34</v>
      </c>
    </row>
    <row r="140" spans="1:11">
      <c r="A140" s="422" t="s">
        <v>166</v>
      </c>
      <c r="B140" s="419" t="s">
        <v>26</v>
      </c>
    </row>
    <row r="141" spans="1:11">
      <c r="A141" s="427" t="s">
        <v>137</v>
      </c>
      <c r="B141" s="419" t="s">
        <v>64</v>
      </c>
      <c r="F141" s="430">
        <v>8282</v>
      </c>
      <c r="G141" s="430">
        <v>40357</v>
      </c>
      <c r="H141" s="430">
        <v>1158904</v>
      </c>
      <c r="I141" s="430">
        <v>575900</v>
      </c>
      <c r="J141" s="430">
        <v>87017</v>
      </c>
      <c r="K141" s="430">
        <v>1647787</v>
      </c>
    </row>
    <row r="142" spans="1:11">
      <c r="A142" s="427" t="s">
        <v>142</v>
      </c>
      <c r="B142" s="419" t="s">
        <v>65</v>
      </c>
      <c r="F142" s="430">
        <v>24519</v>
      </c>
      <c r="G142" s="430">
        <v>1104</v>
      </c>
      <c r="H142" s="430">
        <v>1176677</v>
      </c>
      <c r="I142" s="430">
        <v>584732</v>
      </c>
      <c r="J142" s="430">
        <v>0</v>
      </c>
      <c r="K142" s="430">
        <v>1761409</v>
      </c>
    </row>
    <row r="143" spans="1:11">
      <c r="A143" s="427" t="s">
        <v>144</v>
      </c>
      <c r="B143" s="419" t="s">
        <v>66</v>
      </c>
      <c r="F143" s="430">
        <v>100475</v>
      </c>
      <c r="G143" s="430">
        <v>0</v>
      </c>
      <c r="H143" s="430">
        <v>15464362</v>
      </c>
      <c r="I143" s="430">
        <v>7684786</v>
      </c>
      <c r="J143" s="430">
        <v>0</v>
      </c>
      <c r="K143" s="430">
        <v>23149148</v>
      </c>
    </row>
    <row r="144" spans="1:11">
      <c r="A144" s="427" t="s">
        <v>146</v>
      </c>
      <c r="B144" s="419" t="s">
        <v>67</v>
      </c>
      <c r="F144" s="430">
        <v>4617</v>
      </c>
      <c r="G144" s="430">
        <v>53</v>
      </c>
      <c r="H144" s="430">
        <v>464831</v>
      </c>
      <c r="I144" s="430">
        <v>230991</v>
      </c>
      <c r="J144" s="430">
        <v>33828</v>
      </c>
      <c r="K144" s="430">
        <v>661994</v>
      </c>
    </row>
    <row r="145" spans="1:11">
      <c r="A145" s="427" t="s">
        <v>148</v>
      </c>
      <c r="B145" s="419" t="s">
        <v>68</v>
      </c>
      <c r="F145" s="430">
        <v>119</v>
      </c>
      <c r="G145" s="430">
        <v>198</v>
      </c>
      <c r="H145" s="430">
        <v>5693</v>
      </c>
      <c r="I145" s="430">
        <v>2829</v>
      </c>
      <c r="J145" s="430">
        <v>0</v>
      </c>
      <c r="K145" s="430">
        <v>8522</v>
      </c>
    </row>
    <row r="146" spans="1:11">
      <c r="A146" s="427" t="s">
        <v>150</v>
      </c>
      <c r="B146" s="419" t="s">
        <v>69</v>
      </c>
      <c r="F146" s="430">
        <v>922</v>
      </c>
      <c r="G146" s="430">
        <v>797</v>
      </c>
      <c r="H146" s="430">
        <v>44266</v>
      </c>
      <c r="I146" s="430">
        <v>21997</v>
      </c>
      <c r="J146" s="430">
        <v>0</v>
      </c>
      <c r="K146" s="430">
        <v>66263</v>
      </c>
    </row>
    <row r="147" spans="1:11">
      <c r="A147" s="427" t="s">
        <v>153</v>
      </c>
      <c r="B147" s="419" t="s">
        <v>61</v>
      </c>
      <c r="F147" s="425">
        <v>0</v>
      </c>
      <c r="G147" s="425">
        <v>0</v>
      </c>
      <c r="H147" s="425">
        <v>0</v>
      </c>
      <c r="I147" s="425">
        <v>0</v>
      </c>
      <c r="J147" s="425">
        <v>0</v>
      </c>
      <c r="K147" s="425">
        <v>0</v>
      </c>
    </row>
    <row r="148" spans="1:11">
      <c r="A148" s="427" t="s">
        <v>155</v>
      </c>
      <c r="B148" s="419" t="s">
        <v>70</v>
      </c>
      <c r="F148" s="426" t="s">
        <v>73</v>
      </c>
      <c r="G148" s="426" t="s">
        <v>73</v>
      </c>
      <c r="H148" s="429" t="s">
        <v>73</v>
      </c>
      <c r="I148" s="429" t="s">
        <v>73</v>
      </c>
      <c r="J148" s="429" t="s">
        <v>73</v>
      </c>
      <c r="K148" s="428">
        <v>8002482.5999999996</v>
      </c>
    </row>
    <row r="149" spans="1:11">
      <c r="A149" s="427" t="s">
        <v>163</v>
      </c>
      <c r="B149" s="419" t="s">
        <v>71</v>
      </c>
      <c r="F149" s="425">
        <v>0</v>
      </c>
      <c r="G149" s="425">
        <v>0</v>
      </c>
      <c r="H149" s="425">
        <v>0</v>
      </c>
      <c r="I149" s="425">
        <v>0</v>
      </c>
      <c r="J149" s="425">
        <v>0</v>
      </c>
      <c r="K149" s="425">
        <v>0</v>
      </c>
    </row>
    <row r="150" spans="1:11">
      <c r="A150" s="427" t="s">
        <v>185</v>
      </c>
      <c r="B150" s="419" t="s">
        <v>186</v>
      </c>
      <c r="F150" s="426" t="s">
        <v>73</v>
      </c>
      <c r="G150" s="426" t="s">
        <v>73</v>
      </c>
      <c r="H150" s="425">
        <v>8243421</v>
      </c>
      <c r="I150" s="425">
        <v>0</v>
      </c>
      <c r="J150" s="425">
        <v>7049156</v>
      </c>
      <c r="K150" s="425">
        <v>1194265</v>
      </c>
    </row>
    <row r="151" spans="1:11">
      <c r="A151" s="420"/>
      <c r="B151" s="419"/>
      <c r="F151" s="424"/>
      <c r="G151" s="424"/>
      <c r="H151" s="424"/>
      <c r="I151" s="424"/>
      <c r="J151" s="424"/>
      <c r="K151" s="424"/>
    </row>
    <row r="152" spans="1:11">
      <c r="A152" s="422" t="s">
        <v>165</v>
      </c>
      <c r="B152" s="419" t="s">
        <v>26</v>
      </c>
      <c r="F152" s="423">
        <v>138934</v>
      </c>
      <c r="G152" s="423">
        <v>42509</v>
      </c>
      <c r="H152" s="423">
        <v>26558154</v>
      </c>
      <c r="I152" s="423">
        <v>9101235</v>
      </c>
      <c r="J152" s="423">
        <v>7170001</v>
      </c>
      <c r="K152" s="423">
        <v>36491872</v>
      </c>
    </row>
    <row r="153" spans="1:11">
      <c r="A153" s="420"/>
    </row>
    <row r="154" spans="1:11">
      <c r="A154" s="422" t="s">
        <v>168</v>
      </c>
      <c r="B154" s="419" t="s">
        <v>28</v>
      </c>
      <c r="F154" s="421">
        <v>0.1143</v>
      </c>
    </row>
    <row r="155" spans="1:11">
      <c r="A155" s="422" t="s">
        <v>169</v>
      </c>
      <c r="B155" s="419" t="s">
        <v>72</v>
      </c>
      <c r="F155" s="421">
        <v>4.7237999999999998</v>
      </c>
      <c r="G155" s="419"/>
    </row>
    <row r="156" spans="1:11">
      <c r="A156" s="420"/>
      <c r="G156" s="419"/>
    </row>
  </sheetData>
  <mergeCells count="33">
    <mergeCell ref="B44:D44"/>
    <mergeCell ref="D2:H2"/>
    <mergeCell ref="C5:G5"/>
    <mergeCell ref="C6:G6"/>
    <mergeCell ref="C7:G7"/>
    <mergeCell ref="C9:G9"/>
    <mergeCell ref="C10:G10"/>
    <mergeCell ref="C11:G11"/>
    <mergeCell ref="B30:D30"/>
    <mergeCell ref="B31:D31"/>
    <mergeCell ref="B34:D34"/>
    <mergeCell ref="B41:C41"/>
    <mergeCell ref="B94:D94"/>
    <mergeCell ref="B45:D45"/>
    <mergeCell ref="B46:D46"/>
    <mergeCell ref="B47:D47"/>
    <mergeCell ref="B52:C52"/>
    <mergeCell ref="B53:D53"/>
    <mergeCell ref="B55:D55"/>
    <mergeCell ref="B56:D56"/>
    <mergeCell ref="B57:D57"/>
    <mergeCell ref="B59:D59"/>
    <mergeCell ref="B62:D62"/>
    <mergeCell ref="B90:C90"/>
    <mergeCell ref="B133:D133"/>
    <mergeCell ref="B134:D134"/>
    <mergeCell ref="B135:D135"/>
    <mergeCell ref="B95:D95"/>
    <mergeCell ref="B96:D96"/>
    <mergeCell ref="B103:C103"/>
    <mergeCell ref="B104:D104"/>
    <mergeCell ref="B105:D105"/>
    <mergeCell ref="B106:D106"/>
  </mergeCells>
  <hyperlinks>
    <hyperlink ref="C11" r:id="rId1"/>
  </hyperlinks>
  <pageMargins left="0.7" right="0.7" top="0.75" bottom="0.75" header="0.3" footer="0.3"/>
  <pageSetup scale="65" fitToHeight="0" orientation="landscape"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K156"/>
  <sheetViews>
    <sheetView showGridLines="0" zoomScaleNormal="100" zoomScaleSheetLayoutView="80" workbookViewId="0">
      <selection activeCell="K18" sqref="K18"/>
    </sheetView>
  </sheetViews>
  <sheetFormatPr defaultRowHeight="18" customHeight="1"/>
  <cols>
    <col min="1" max="1" width="8.28515625" style="146" customWidth="1"/>
    <col min="2" max="2" width="55.42578125" style="147" bestFit="1" customWidth="1"/>
    <col min="3" max="3" width="9.5703125" style="147" customWidth="1"/>
    <col min="4" max="4" width="9.140625" style="147"/>
    <col min="5" max="5" width="12.42578125" style="147" customWidth="1"/>
    <col min="6" max="6" width="18.5703125" style="147" customWidth="1"/>
    <col min="7" max="7" width="23.5703125" style="147" customWidth="1"/>
    <col min="8" max="8" width="17.140625" style="147" customWidth="1"/>
    <col min="9" max="9" width="21.140625" style="147" customWidth="1"/>
    <col min="10" max="10" width="19.85546875" style="147" customWidth="1"/>
    <col min="11" max="11" width="17.5703125" style="147" customWidth="1"/>
    <col min="12" max="16384" width="9.140625" style="147"/>
  </cols>
  <sheetData>
    <row r="1" spans="1:11" ht="18" customHeight="1">
      <c r="C1" s="148"/>
      <c r="D1" s="149"/>
      <c r="E1" s="148"/>
      <c r="F1" s="148"/>
      <c r="G1" s="148"/>
      <c r="H1" s="148"/>
      <c r="I1" s="148"/>
      <c r="J1" s="148"/>
      <c r="K1" s="148"/>
    </row>
    <row r="2" spans="1:11" ht="18" customHeight="1">
      <c r="D2" s="910" t="s">
        <v>713</v>
      </c>
      <c r="E2" s="911"/>
      <c r="F2" s="911"/>
      <c r="G2" s="911"/>
      <c r="H2" s="911"/>
    </row>
    <row r="3" spans="1:11" ht="18" customHeight="1">
      <c r="B3" s="150" t="s">
        <v>0</v>
      </c>
    </row>
    <row r="5" spans="1:11" ht="18" customHeight="1">
      <c r="B5" s="151" t="s">
        <v>40</v>
      </c>
      <c r="C5" s="912" t="s">
        <v>858</v>
      </c>
      <c r="D5" s="918"/>
      <c r="E5" s="918"/>
      <c r="F5" s="918"/>
      <c r="G5" s="919"/>
    </row>
    <row r="6" spans="1:11" ht="18" customHeight="1">
      <c r="B6" s="151" t="s">
        <v>3</v>
      </c>
      <c r="C6" s="929">
        <v>64</v>
      </c>
      <c r="D6" s="921"/>
      <c r="E6" s="921"/>
      <c r="F6" s="921"/>
      <c r="G6" s="922"/>
    </row>
    <row r="7" spans="1:11" ht="18" customHeight="1">
      <c r="B7" s="151" t="s">
        <v>4</v>
      </c>
      <c r="C7" s="930">
        <v>805</v>
      </c>
      <c r="D7" s="924"/>
      <c r="E7" s="924"/>
      <c r="F7" s="924"/>
      <c r="G7" s="925"/>
    </row>
    <row r="9" spans="1:11" ht="18" customHeight="1">
      <c r="B9" s="151" t="s">
        <v>1</v>
      </c>
      <c r="C9" s="912" t="s">
        <v>486</v>
      </c>
      <c r="D9" s="918"/>
      <c r="E9" s="918"/>
      <c r="F9" s="918"/>
      <c r="G9" s="919"/>
    </row>
    <row r="10" spans="1:11" ht="18" customHeight="1">
      <c r="B10" s="151" t="s">
        <v>2</v>
      </c>
      <c r="C10" s="926" t="s">
        <v>487</v>
      </c>
      <c r="D10" s="927"/>
      <c r="E10" s="927"/>
      <c r="F10" s="927"/>
      <c r="G10" s="928"/>
    </row>
    <row r="11" spans="1:11" ht="18" customHeight="1">
      <c r="B11" s="151" t="s">
        <v>32</v>
      </c>
      <c r="C11" s="912" t="s">
        <v>488</v>
      </c>
      <c r="D11" s="913"/>
      <c r="E11" s="913"/>
      <c r="F11" s="913"/>
      <c r="G11" s="913"/>
    </row>
    <row r="12" spans="1:11" ht="18" customHeight="1">
      <c r="B12" s="151"/>
      <c r="C12" s="151"/>
      <c r="D12" s="151"/>
      <c r="E12" s="151"/>
      <c r="F12" s="151"/>
      <c r="G12" s="151"/>
    </row>
    <row r="13" spans="1:11" ht="24.6" customHeight="1">
      <c r="B13" s="914"/>
      <c r="C13" s="915"/>
      <c r="D13" s="915"/>
      <c r="E13" s="915"/>
      <c r="F13" s="915"/>
      <c r="G13" s="915"/>
      <c r="H13" s="916"/>
      <c r="I13" s="148"/>
    </row>
    <row r="14" spans="1:11" ht="18" customHeight="1">
      <c r="B14" s="152"/>
    </row>
    <row r="15" spans="1:11" ht="18" customHeight="1">
      <c r="B15" s="152"/>
    </row>
    <row r="16" spans="1:11" ht="45" customHeight="1">
      <c r="A16" s="149" t="s">
        <v>181</v>
      </c>
      <c r="B16" s="148"/>
      <c r="C16" s="148"/>
      <c r="D16" s="148"/>
      <c r="E16" s="148"/>
      <c r="F16" s="153" t="s">
        <v>9</v>
      </c>
      <c r="G16" s="153" t="s">
        <v>37</v>
      </c>
      <c r="H16" s="153" t="s">
        <v>29</v>
      </c>
      <c r="I16" s="153" t="s">
        <v>30</v>
      </c>
      <c r="J16" s="153" t="s">
        <v>33</v>
      </c>
      <c r="K16" s="153" t="s">
        <v>34</v>
      </c>
    </row>
    <row r="17" spans="1:11" ht="18" customHeight="1">
      <c r="A17" s="154" t="s">
        <v>184</v>
      </c>
      <c r="B17" s="150" t="s">
        <v>182</v>
      </c>
    </row>
    <row r="18" spans="1:11" ht="18" customHeight="1">
      <c r="A18" s="151" t="s">
        <v>185</v>
      </c>
      <c r="B18" s="155" t="s">
        <v>183</v>
      </c>
      <c r="F18" s="156" t="s">
        <v>73</v>
      </c>
      <c r="G18" s="156" t="s">
        <v>73</v>
      </c>
      <c r="H18" s="157">
        <v>1495473</v>
      </c>
      <c r="I18" s="158">
        <v>0</v>
      </c>
      <c r="J18" s="157">
        <v>1278816</v>
      </c>
      <c r="K18" s="159">
        <f>(H18+I18)-J18</f>
        <v>216657</v>
      </c>
    </row>
    <row r="19" spans="1:11" ht="45" customHeight="1">
      <c r="A19" s="149" t="s">
        <v>8</v>
      </c>
      <c r="B19" s="148"/>
      <c r="C19" s="148"/>
      <c r="D19" s="148"/>
      <c r="E19" s="148"/>
      <c r="F19" s="153" t="s">
        <v>9</v>
      </c>
      <c r="G19" s="153" t="s">
        <v>37</v>
      </c>
      <c r="H19" s="153" t="s">
        <v>29</v>
      </c>
      <c r="I19" s="153" t="s">
        <v>30</v>
      </c>
      <c r="J19" s="153" t="s">
        <v>33</v>
      </c>
      <c r="K19" s="153" t="s">
        <v>34</v>
      </c>
    </row>
    <row r="20" spans="1:11" ht="18" customHeight="1">
      <c r="A20" s="154" t="s">
        <v>74</v>
      </c>
      <c r="B20" s="150" t="s">
        <v>41</v>
      </c>
    </row>
    <row r="21" spans="1:11" ht="18" customHeight="1">
      <c r="A21" s="151" t="s">
        <v>75</v>
      </c>
      <c r="B21" s="155" t="s">
        <v>42</v>
      </c>
      <c r="F21" s="156">
        <v>76</v>
      </c>
      <c r="G21" s="156">
        <v>213</v>
      </c>
      <c r="H21" s="157">
        <v>2274</v>
      </c>
      <c r="I21" s="158">
        <f t="shared" ref="I21:I34" si="0">H21*F$114</f>
        <v>1930.8534</v>
      </c>
      <c r="J21" s="157"/>
      <c r="K21" s="159">
        <f t="shared" ref="K21:K34" si="1">(H21+I21)-J21</f>
        <v>4204.8534</v>
      </c>
    </row>
    <row r="22" spans="1:11" ht="18" customHeight="1">
      <c r="A22" s="151" t="s">
        <v>76</v>
      </c>
      <c r="B22" s="147" t="s">
        <v>6</v>
      </c>
      <c r="F22" s="156"/>
      <c r="G22" s="156"/>
      <c r="H22" s="157"/>
      <c r="I22" s="158">
        <f t="shared" si="0"/>
        <v>0</v>
      </c>
      <c r="J22" s="157"/>
      <c r="K22" s="159">
        <f t="shared" si="1"/>
        <v>0</v>
      </c>
    </row>
    <row r="23" spans="1:11" ht="18" customHeight="1">
      <c r="A23" s="151" t="s">
        <v>77</v>
      </c>
      <c r="B23" s="147" t="s">
        <v>43</v>
      </c>
      <c r="F23" s="156"/>
      <c r="G23" s="156"/>
      <c r="H23" s="157"/>
      <c r="I23" s="158">
        <f t="shared" si="0"/>
        <v>0</v>
      </c>
      <c r="J23" s="157"/>
      <c r="K23" s="159">
        <f t="shared" si="1"/>
        <v>0</v>
      </c>
    </row>
    <row r="24" spans="1:11" ht="18" customHeight="1">
      <c r="A24" s="151" t="s">
        <v>78</v>
      </c>
      <c r="B24" s="147" t="s">
        <v>44</v>
      </c>
      <c r="F24" s="156">
        <v>14</v>
      </c>
      <c r="G24" s="156">
        <v>16</v>
      </c>
      <c r="H24" s="157">
        <v>656</v>
      </c>
      <c r="I24" s="158">
        <f t="shared" si="0"/>
        <v>557.00959999999998</v>
      </c>
      <c r="J24" s="157"/>
      <c r="K24" s="159">
        <f t="shared" si="1"/>
        <v>1213.0095999999999</v>
      </c>
    </row>
    <row r="25" spans="1:11" ht="18" customHeight="1">
      <c r="A25" s="151" t="s">
        <v>79</v>
      </c>
      <c r="B25" s="147" t="s">
        <v>5</v>
      </c>
      <c r="F25" s="156"/>
      <c r="G25" s="156"/>
      <c r="H25" s="157"/>
      <c r="I25" s="158">
        <f t="shared" si="0"/>
        <v>0</v>
      </c>
      <c r="J25" s="157"/>
      <c r="K25" s="159">
        <f t="shared" si="1"/>
        <v>0</v>
      </c>
    </row>
    <row r="26" spans="1:11" ht="18" customHeight="1">
      <c r="A26" s="151" t="s">
        <v>80</v>
      </c>
      <c r="B26" s="147" t="s">
        <v>45</v>
      </c>
      <c r="F26" s="156"/>
      <c r="G26" s="156"/>
      <c r="H26" s="157"/>
      <c r="I26" s="158">
        <f t="shared" si="0"/>
        <v>0</v>
      </c>
      <c r="J26" s="157"/>
      <c r="K26" s="159">
        <f t="shared" si="1"/>
        <v>0</v>
      </c>
    </row>
    <row r="27" spans="1:11" ht="18" customHeight="1">
      <c r="A27" s="151" t="s">
        <v>81</v>
      </c>
      <c r="B27" s="147" t="s">
        <v>46</v>
      </c>
      <c r="F27" s="156"/>
      <c r="G27" s="156"/>
      <c r="H27" s="157"/>
      <c r="I27" s="158">
        <f t="shared" si="0"/>
        <v>0</v>
      </c>
      <c r="J27" s="157"/>
      <c r="K27" s="159">
        <f t="shared" si="1"/>
        <v>0</v>
      </c>
    </row>
    <row r="28" spans="1:11" ht="18" customHeight="1">
      <c r="A28" s="151" t="s">
        <v>82</v>
      </c>
      <c r="B28" s="147" t="s">
        <v>47</v>
      </c>
      <c r="F28" s="156"/>
      <c r="G28" s="156"/>
      <c r="H28" s="157"/>
      <c r="I28" s="158">
        <f t="shared" si="0"/>
        <v>0</v>
      </c>
      <c r="J28" s="157"/>
      <c r="K28" s="159">
        <f t="shared" si="1"/>
        <v>0</v>
      </c>
    </row>
    <row r="29" spans="1:11" ht="18" customHeight="1">
      <c r="A29" s="151" t="s">
        <v>83</v>
      </c>
      <c r="B29" s="147" t="s">
        <v>48</v>
      </c>
      <c r="F29" s="156">
        <v>2400</v>
      </c>
      <c r="G29" s="156">
        <v>5899</v>
      </c>
      <c r="H29" s="157">
        <v>38470</v>
      </c>
      <c r="I29" s="158">
        <f t="shared" si="0"/>
        <v>32664.877</v>
      </c>
      <c r="J29" s="157">
        <v>6164</v>
      </c>
      <c r="K29" s="159">
        <f t="shared" si="1"/>
        <v>64970.877000000008</v>
      </c>
    </row>
    <row r="30" spans="1:11" ht="18" customHeight="1">
      <c r="A30" s="151" t="s">
        <v>84</v>
      </c>
      <c r="B30" s="898"/>
      <c r="C30" s="899"/>
      <c r="D30" s="900"/>
      <c r="F30" s="156"/>
      <c r="G30" s="156"/>
      <c r="H30" s="157"/>
      <c r="I30" s="158">
        <f t="shared" si="0"/>
        <v>0</v>
      </c>
      <c r="J30" s="157"/>
      <c r="K30" s="159">
        <f t="shared" si="1"/>
        <v>0</v>
      </c>
    </row>
    <row r="31" spans="1:11" ht="18" customHeight="1">
      <c r="A31" s="151" t="s">
        <v>133</v>
      </c>
      <c r="B31" s="898"/>
      <c r="C31" s="899"/>
      <c r="D31" s="900"/>
      <c r="F31" s="156"/>
      <c r="G31" s="156"/>
      <c r="H31" s="157"/>
      <c r="I31" s="158">
        <f t="shared" si="0"/>
        <v>0</v>
      </c>
      <c r="J31" s="157"/>
      <c r="K31" s="159">
        <f t="shared" si="1"/>
        <v>0</v>
      </c>
    </row>
    <row r="32" spans="1:11" ht="18" customHeight="1">
      <c r="A32" s="151" t="s">
        <v>134</v>
      </c>
      <c r="B32" s="408"/>
      <c r="C32" s="409"/>
      <c r="D32" s="410"/>
      <c r="F32" s="156"/>
      <c r="G32" s="160" t="s">
        <v>85</v>
      </c>
      <c r="H32" s="157"/>
      <c r="I32" s="158">
        <f t="shared" si="0"/>
        <v>0</v>
      </c>
      <c r="J32" s="157"/>
      <c r="K32" s="159">
        <f t="shared" si="1"/>
        <v>0</v>
      </c>
    </row>
    <row r="33" spans="1:11" ht="18" customHeight="1">
      <c r="A33" s="151" t="s">
        <v>135</v>
      </c>
      <c r="B33" s="408"/>
      <c r="C33" s="409"/>
      <c r="D33" s="410"/>
      <c r="F33" s="156"/>
      <c r="G33" s="160" t="s">
        <v>85</v>
      </c>
      <c r="H33" s="157"/>
      <c r="I33" s="158">
        <f t="shared" si="0"/>
        <v>0</v>
      </c>
      <c r="J33" s="157"/>
      <c r="K33" s="159">
        <f t="shared" si="1"/>
        <v>0</v>
      </c>
    </row>
    <row r="34" spans="1:11" ht="18" customHeight="1">
      <c r="A34" s="151" t="s">
        <v>136</v>
      </c>
      <c r="B34" s="898"/>
      <c r="C34" s="899"/>
      <c r="D34" s="900"/>
      <c r="F34" s="156"/>
      <c r="G34" s="160" t="s">
        <v>85</v>
      </c>
      <c r="H34" s="157"/>
      <c r="I34" s="158">
        <f t="shared" si="0"/>
        <v>0</v>
      </c>
      <c r="J34" s="157"/>
      <c r="K34" s="159">
        <f t="shared" si="1"/>
        <v>0</v>
      </c>
    </row>
    <row r="35" spans="1:11" ht="18" customHeight="1">
      <c r="K35" s="161"/>
    </row>
    <row r="36" spans="1:11" ht="18" customHeight="1">
      <c r="A36" s="154" t="s">
        <v>137</v>
      </c>
      <c r="B36" s="150" t="s">
        <v>138</v>
      </c>
      <c r="E36" s="150" t="s">
        <v>7</v>
      </c>
      <c r="F36" s="162">
        <f t="shared" ref="F36:K36" si="2">SUM(F21:F34)</f>
        <v>2490</v>
      </c>
      <c r="G36" s="162">
        <f t="shared" si="2"/>
        <v>6128</v>
      </c>
      <c r="H36" s="162">
        <f t="shared" si="2"/>
        <v>41400</v>
      </c>
      <c r="I36" s="159">
        <f t="shared" si="2"/>
        <v>35152.74</v>
      </c>
      <c r="J36" s="159">
        <f t="shared" si="2"/>
        <v>6164</v>
      </c>
      <c r="K36" s="159">
        <f t="shared" si="2"/>
        <v>70388.740000000005</v>
      </c>
    </row>
    <row r="37" spans="1:11" ht="18" customHeight="1" thickBot="1">
      <c r="B37" s="150"/>
      <c r="F37" s="163"/>
      <c r="G37" s="163"/>
      <c r="H37" s="164"/>
      <c r="I37" s="164"/>
      <c r="J37" s="164"/>
      <c r="K37" s="165"/>
    </row>
    <row r="38" spans="1:11" ht="42.75" customHeight="1">
      <c r="F38" s="153" t="s">
        <v>9</v>
      </c>
      <c r="G38" s="153" t="s">
        <v>37</v>
      </c>
      <c r="H38" s="153" t="s">
        <v>29</v>
      </c>
      <c r="I38" s="153" t="s">
        <v>30</v>
      </c>
      <c r="J38" s="153" t="s">
        <v>33</v>
      </c>
      <c r="K38" s="153" t="s">
        <v>34</v>
      </c>
    </row>
    <row r="39" spans="1:11" ht="18.75" customHeight="1">
      <c r="A39" s="154" t="s">
        <v>86</v>
      </c>
      <c r="B39" s="150" t="s">
        <v>49</v>
      </c>
    </row>
    <row r="40" spans="1:11" ht="18" customHeight="1">
      <c r="A40" s="151" t="s">
        <v>87</v>
      </c>
      <c r="B40" s="147" t="s">
        <v>31</v>
      </c>
      <c r="F40" s="156"/>
      <c r="G40" s="156"/>
      <c r="H40" s="157"/>
      <c r="I40" s="158">
        <v>0</v>
      </c>
      <c r="J40" s="157"/>
      <c r="K40" s="159">
        <f t="shared" ref="K40:K47" si="3">(H40+I40)-J40</f>
        <v>0</v>
      </c>
    </row>
    <row r="41" spans="1:11" ht="18" customHeight="1">
      <c r="A41" s="151" t="s">
        <v>88</v>
      </c>
      <c r="B41" s="904" t="s">
        <v>50</v>
      </c>
      <c r="C41" s="907"/>
      <c r="F41" s="156"/>
      <c r="G41" s="156"/>
      <c r="H41" s="157"/>
      <c r="I41" s="158">
        <v>0</v>
      </c>
      <c r="J41" s="157"/>
      <c r="K41" s="159">
        <f t="shared" si="3"/>
        <v>0</v>
      </c>
    </row>
    <row r="42" spans="1:11" ht="18" customHeight="1">
      <c r="A42" s="151" t="s">
        <v>89</v>
      </c>
      <c r="B42" s="155" t="s">
        <v>11</v>
      </c>
      <c r="F42" s="156">
        <v>1196</v>
      </c>
      <c r="G42" s="156"/>
      <c r="H42" s="157">
        <v>42345</v>
      </c>
      <c r="I42" s="158">
        <f>H42*F$114</f>
        <v>35955.139499999997</v>
      </c>
      <c r="J42" s="157"/>
      <c r="K42" s="159">
        <f t="shared" si="3"/>
        <v>78300.13949999999</v>
      </c>
    </row>
    <row r="43" spans="1:11" ht="18" customHeight="1">
      <c r="A43" s="151" t="s">
        <v>90</v>
      </c>
      <c r="B43" s="166" t="s">
        <v>10</v>
      </c>
      <c r="C43" s="167"/>
      <c r="D43" s="167"/>
      <c r="F43" s="156"/>
      <c r="G43" s="156"/>
      <c r="H43" s="157"/>
      <c r="I43" s="158">
        <v>0</v>
      </c>
      <c r="J43" s="157"/>
      <c r="K43" s="159">
        <f t="shared" si="3"/>
        <v>0</v>
      </c>
    </row>
    <row r="44" spans="1:11" ht="18" customHeight="1">
      <c r="A44" s="151" t="s">
        <v>91</v>
      </c>
      <c r="B44" s="898"/>
      <c r="C44" s="899"/>
      <c r="D44" s="900"/>
      <c r="F44" s="168"/>
      <c r="G44" s="168"/>
      <c r="H44" s="168"/>
      <c r="I44" s="169">
        <v>0</v>
      </c>
      <c r="J44" s="168"/>
      <c r="K44" s="170">
        <f t="shared" si="3"/>
        <v>0</v>
      </c>
    </row>
    <row r="45" spans="1:11" ht="18" customHeight="1">
      <c r="A45" s="151" t="s">
        <v>139</v>
      </c>
      <c r="B45" s="898"/>
      <c r="C45" s="899"/>
      <c r="D45" s="900"/>
      <c r="F45" s="156"/>
      <c r="G45" s="156"/>
      <c r="H45" s="157"/>
      <c r="I45" s="158">
        <v>0</v>
      </c>
      <c r="J45" s="157"/>
      <c r="K45" s="159">
        <f t="shared" si="3"/>
        <v>0</v>
      </c>
    </row>
    <row r="46" spans="1:11" ht="18" customHeight="1">
      <c r="A46" s="151" t="s">
        <v>140</v>
      </c>
      <c r="B46" s="898"/>
      <c r="C46" s="899"/>
      <c r="D46" s="900"/>
      <c r="F46" s="156"/>
      <c r="G46" s="156"/>
      <c r="H46" s="157"/>
      <c r="I46" s="158">
        <v>0</v>
      </c>
      <c r="J46" s="157"/>
      <c r="K46" s="159">
        <f t="shared" si="3"/>
        <v>0</v>
      </c>
    </row>
    <row r="47" spans="1:11" ht="18" customHeight="1">
      <c r="A47" s="151" t="s">
        <v>141</v>
      </c>
      <c r="B47" s="898"/>
      <c r="C47" s="899"/>
      <c r="D47" s="900"/>
      <c r="F47" s="156"/>
      <c r="G47" s="156"/>
      <c r="H47" s="157"/>
      <c r="I47" s="158">
        <v>0</v>
      </c>
      <c r="J47" s="157"/>
      <c r="K47" s="159">
        <f t="shared" si="3"/>
        <v>0</v>
      </c>
    </row>
    <row r="49" spans="1:11" ht="18" customHeight="1">
      <c r="A49" s="154" t="s">
        <v>142</v>
      </c>
      <c r="B49" s="150" t="s">
        <v>143</v>
      </c>
      <c r="E49" s="150" t="s">
        <v>7</v>
      </c>
      <c r="F49" s="171">
        <f t="shared" ref="F49:K49" si="4">SUM(F40:F47)</f>
        <v>1196</v>
      </c>
      <c r="G49" s="171">
        <f t="shared" si="4"/>
        <v>0</v>
      </c>
      <c r="H49" s="159">
        <f t="shared" si="4"/>
        <v>42345</v>
      </c>
      <c r="I49" s="159">
        <f t="shared" si="4"/>
        <v>35955.139499999997</v>
      </c>
      <c r="J49" s="159">
        <f t="shared" si="4"/>
        <v>0</v>
      </c>
      <c r="K49" s="159">
        <f t="shared" si="4"/>
        <v>78300.13949999999</v>
      </c>
    </row>
    <row r="50" spans="1:11" ht="18" customHeight="1" thickBot="1">
      <c r="G50" s="172"/>
      <c r="H50" s="172"/>
      <c r="I50" s="172"/>
      <c r="J50" s="172"/>
      <c r="K50" s="172"/>
    </row>
    <row r="51" spans="1:11" ht="42.75" customHeight="1">
      <c r="F51" s="153" t="s">
        <v>9</v>
      </c>
      <c r="G51" s="153" t="s">
        <v>37</v>
      </c>
      <c r="H51" s="153" t="s">
        <v>29</v>
      </c>
      <c r="I51" s="153" t="s">
        <v>30</v>
      </c>
      <c r="J51" s="153" t="s">
        <v>33</v>
      </c>
      <c r="K51" s="153" t="s">
        <v>34</v>
      </c>
    </row>
    <row r="52" spans="1:11" ht="18" customHeight="1">
      <c r="A52" s="154" t="s">
        <v>92</v>
      </c>
      <c r="B52" s="905" t="s">
        <v>38</v>
      </c>
      <c r="C52" s="906"/>
    </row>
    <row r="53" spans="1:11" ht="18" customHeight="1">
      <c r="A53" s="151" t="s">
        <v>51</v>
      </c>
      <c r="B53" s="908" t="s">
        <v>489</v>
      </c>
      <c r="C53" s="909"/>
      <c r="D53" s="903"/>
      <c r="F53" s="156"/>
      <c r="G53" s="156"/>
      <c r="H53" s="157">
        <v>776020</v>
      </c>
      <c r="I53" s="158">
        <f>H53*F$114</f>
        <v>658918.58199999994</v>
      </c>
      <c r="J53" s="157"/>
      <c r="K53" s="159">
        <f t="shared" ref="K53:K62" si="5">(H53+I53)-J53</f>
        <v>1434938.5819999999</v>
      </c>
    </row>
    <row r="54" spans="1:11" ht="18" customHeight="1">
      <c r="A54" s="151" t="s">
        <v>93</v>
      </c>
      <c r="B54" s="411"/>
      <c r="C54" s="412"/>
      <c r="D54" s="413"/>
      <c r="F54" s="156"/>
      <c r="G54" s="156"/>
      <c r="H54" s="157"/>
      <c r="I54" s="158">
        <v>0</v>
      </c>
      <c r="J54" s="157"/>
      <c r="K54" s="159">
        <f t="shared" si="5"/>
        <v>0</v>
      </c>
    </row>
    <row r="55" spans="1:11" ht="18" customHeight="1">
      <c r="A55" s="151" t="s">
        <v>94</v>
      </c>
      <c r="B55" s="901"/>
      <c r="C55" s="902"/>
      <c r="D55" s="903"/>
      <c r="F55" s="156"/>
      <c r="G55" s="156"/>
      <c r="H55" s="157"/>
      <c r="I55" s="158">
        <v>0</v>
      </c>
      <c r="J55" s="157"/>
      <c r="K55" s="159">
        <f t="shared" si="5"/>
        <v>0</v>
      </c>
    </row>
    <row r="56" spans="1:11" ht="18" customHeight="1">
      <c r="A56" s="151" t="s">
        <v>95</v>
      </c>
      <c r="B56" s="901"/>
      <c r="C56" s="902"/>
      <c r="D56" s="903"/>
      <c r="F56" s="156"/>
      <c r="G56" s="156"/>
      <c r="H56" s="157"/>
      <c r="I56" s="158">
        <v>0</v>
      </c>
      <c r="J56" s="157"/>
      <c r="K56" s="159">
        <f t="shared" si="5"/>
        <v>0</v>
      </c>
    </row>
    <row r="57" spans="1:11" ht="18" customHeight="1">
      <c r="A57" s="151" t="s">
        <v>96</v>
      </c>
      <c r="B57" s="901"/>
      <c r="C57" s="902"/>
      <c r="D57" s="903"/>
      <c r="F57" s="156"/>
      <c r="G57" s="156"/>
      <c r="H57" s="157"/>
      <c r="I57" s="158">
        <v>0</v>
      </c>
      <c r="J57" s="157"/>
      <c r="K57" s="159">
        <f t="shared" si="5"/>
        <v>0</v>
      </c>
    </row>
    <row r="58" spans="1:11" ht="18" customHeight="1">
      <c r="A58" s="151" t="s">
        <v>97</v>
      </c>
      <c r="B58" s="411"/>
      <c r="C58" s="412"/>
      <c r="D58" s="413"/>
      <c r="F58" s="156"/>
      <c r="G58" s="156"/>
      <c r="H58" s="157"/>
      <c r="I58" s="158">
        <v>0</v>
      </c>
      <c r="J58" s="157"/>
      <c r="K58" s="159">
        <f t="shared" si="5"/>
        <v>0</v>
      </c>
    </row>
    <row r="59" spans="1:11" ht="18" customHeight="1">
      <c r="A59" s="151" t="s">
        <v>98</v>
      </c>
      <c r="B59" s="901"/>
      <c r="C59" s="902"/>
      <c r="D59" s="903"/>
      <c r="F59" s="156"/>
      <c r="G59" s="156"/>
      <c r="H59" s="157"/>
      <c r="I59" s="158">
        <v>0</v>
      </c>
      <c r="J59" s="157"/>
      <c r="K59" s="159">
        <f t="shared" si="5"/>
        <v>0</v>
      </c>
    </row>
    <row r="60" spans="1:11" ht="18" customHeight="1">
      <c r="A60" s="151" t="s">
        <v>99</v>
      </c>
      <c r="B60" s="411"/>
      <c r="C60" s="412"/>
      <c r="D60" s="413"/>
      <c r="F60" s="156"/>
      <c r="G60" s="156"/>
      <c r="H60" s="157"/>
      <c r="I60" s="158">
        <v>0</v>
      </c>
      <c r="J60" s="157"/>
      <c r="K60" s="159">
        <f t="shared" si="5"/>
        <v>0</v>
      </c>
    </row>
    <row r="61" spans="1:11" ht="18" customHeight="1">
      <c r="A61" s="151" t="s">
        <v>100</v>
      </c>
      <c r="B61" s="411"/>
      <c r="C61" s="412"/>
      <c r="D61" s="413"/>
      <c r="F61" s="156"/>
      <c r="G61" s="156"/>
      <c r="H61" s="157"/>
      <c r="I61" s="158">
        <v>0</v>
      </c>
      <c r="J61" s="157"/>
      <c r="K61" s="159">
        <f t="shared" si="5"/>
        <v>0</v>
      </c>
    </row>
    <row r="62" spans="1:11" ht="18" customHeight="1">
      <c r="A62" s="151" t="s">
        <v>101</v>
      </c>
      <c r="B62" s="901"/>
      <c r="C62" s="902"/>
      <c r="D62" s="903"/>
      <c r="F62" s="156"/>
      <c r="G62" s="156"/>
      <c r="H62" s="157"/>
      <c r="I62" s="158">
        <v>0</v>
      </c>
      <c r="J62" s="157"/>
      <c r="K62" s="159">
        <f t="shared" si="5"/>
        <v>0</v>
      </c>
    </row>
    <row r="63" spans="1:11" ht="18" customHeight="1">
      <c r="A63" s="151"/>
      <c r="I63" s="173"/>
    </row>
    <row r="64" spans="1:11" ht="18" customHeight="1">
      <c r="A64" s="151" t="s">
        <v>144</v>
      </c>
      <c r="B64" s="150" t="s">
        <v>145</v>
      </c>
      <c r="E64" s="150" t="s">
        <v>7</v>
      </c>
      <c r="F64" s="162">
        <f t="shared" ref="F64:K64" si="6">SUM(F53:F62)</f>
        <v>0</v>
      </c>
      <c r="G64" s="162">
        <f t="shared" si="6"/>
        <v>0</v>
      </c>
      <c r="H64" s="159">
        <f t="shared" si="6"/>
        <v>776020</v>
      </c>
      <c r="I64" s="159">
        <f t="shared" si="6"/>
        <v>658918.58199999994</v>
      </c>
      <c r="J64" s="159">
        <f t="shared" si="6"/>
        <v>0</v>
      </c>
      <c r="K64" s="159">
        <f t="shared" si="6"/>
        <v>1434938.5819999999</v>
      </c>
    </row>
    <row r="65" spans="1:11" ht="18" customHeight="1">
      <c r="F65" s="174"/>
      <c r="G65" s="174"/>
      <c r="H65" s="174"/>
      <c r="I65" s="174"/>
      <c r="J65" s="174"/>
      <c r="K65" s="174"/>
    </row>
    <row r="66" spans="1:11" ht="42.75" customHeight="1">
      <c r="F66" s="175" t="s">
        <v>9</v>
      </c>
      <c r="G66" s="175" t="s">
        <v>37</v>
      </c>
      <c r="H66" s="175" t="s">
        <v>29</v>
      </c>
      <c r="I66" s="175" t="s">
        <v>30</v>
      </c>
      <c r="J66" s="175" t="s">
        <v>33</v>
      </c>
      <c r="K66" s="175" t="s">
        <v>34</v>
      </c>
    </row>
    <row r="67" spans="1:11" ht="18" customHeight="1">
      <c r="A67" s="154" t="s">
        <v>102</v>
      </c>
      <c r="B67" s="150" t="s">
        <v>12</v>
      </c>
      <c r="F67" s="176"/>
      <c r="G67" s="176"/>
      <c r="H67" s="176"/>
      <c r="I67" s="177"/>
      <c r="J67" s="176"/>
      <c r="K67" s="178"/>
    </row>
    <row r="68" spans="1:11" ht="18" customHeight="1">
      <c r="A68" s="151" t="s">
        <v>103</v>
      </c>
      <c r="B68" s="147" t="s">
        <v>52</v>
      </c>
      <c r="F68" s="179"/>
      <c r="G68" s="179"/>
      <c r="H68" s="179"/>
      <c r="I68" s="158">
        <v>0</v>
      </c>
      <c r="J68" s="179"/>
      <c r="K68" s="159">
        <f>(H68+I68)-J68</f>
        <v>0</v>
      </c>
    </row>
    <row r="69" spans="1:11" ht="18" customHeight="1">
      <c r="A69" s="151" t="s">
        <v>104</v>
      </c>
      <c r="B69" s="155" t="s">
        <v>53</v>
      </c>
      <c r="F69" s="179"/>
      <c r="G69" s="179"/>
      <c r="H69" s="179"/>
      <c r="I69" s="158">
        <v>0</v>
      </c>
      <c r="J69" s="179"/>
      <c r="K69" s="159">
        <f>(H69+I69)-J69</f>
        <v>0</v>
      </c>
    </row>
    <row r="70" spans="1:11" ht="18" customHeight="1">
      <c r="A70" s="151" t="s">
        <v>178</v>
      </c>
      <c r="B70" s="411"/>
      <c r="C70" s="412"/>
      <c r="D70" s="413"/>
      <c r="E70" s="150"/>
      <c r="F70" s="180"/>
      <c r="G70" s="180"/>
      <c r="H70" s="181"/>
      <c r="I70" s="158">
        <v>0</v>
      </c>
      <c r="J70" s="181"/>
      <c r="K70" s="159">
        <f>(H70+I70)-J70</f>
        <v>0</v>
      </c>
    </row>
    <row r="71" spans="1:11" ht="18" customHeight="1">
      <c r="A71" s="151" t="s">
        <v>179</v>
      </c>
      <c r="B71" s="411"/>
      <c r="C71" s="412"/>
      <c r="D71" s="413"/>
      <c r="E71" s="150"/>
      <c r="F71" s="180"/>
      <c r="G71" s="180"/>
      <c r="H71" s="181"/>
      <c r="I71" s="158">
        <v>0</v>
      </c>
      <c r="J71" s="181"/>
      <c r="K71" s="159">
        <f>(H71+I71)-J71</f>
        <v>0</v>
      </c>
    </row>
    <row r="72" spans="1:11" ht="18" customHeight="1">
      <c r="A72" s="151" t="s">
        <v>180</v>
      </c>
      <c r="B72" s="414"/>
      <c r="C72" s="415"/>
      <c r="D72" s="182"/>
      <c r="E72" s="150"/>
      <c r="F72" s="156"/>
      <c r="G72" s="156"/>
      <c r="H72" s="157"/>
      <c r="I72" s="158">
        <v>0</v>
      </c>
      <c r="J72" s="157"/>
      <c r="K72" s="159">
        <f>(H72+I72)-J72</f>
        <v>0</v>
      </c>
    </row>
    <row r="73" spans="1:11" ht="18" customHeight="1">
      <c r="A73" s="151"/>
      <c r="B73" s="155"/>
      <c r="E73" s="150"/>
      <c r="F73" s="183"/>
      <c r="G73" s="183"/>
      <c r="H73" s="184"/>
      <c r="I73" s="177"/>
      <c r="J73" s="184"/>
      <c r="K73" s="178"/>
    </row>
    <row r="74" spans="1:11" ht="18" customHeight="1">
      <c r="A74" s="154" t="s">
        <v>146</v>
      </c>
      <c r="B74" s="150" t="s">
        <v>147</v>
      </c>
      <c r="E74" s="150" t="s">
        <v>7</v>
      </c>
      <c r="F74" s="185">
        <f t="shared" ref="F74:K74" si="7">SUM(F68:F72)</f>
        <v>0</v>
      </c>
      <c r="G74" s="185">
        <f t="shared" si="7"/>
        <v>0</v>
      </c>
      <c r="H74" s="185">
        <f t="shared" si="7"/>
        <v>0</v>
      </c>
      <c r="I74" s="186">
        <f t="shared" si="7"/>
        <v>0</v>
      </c>
      <c r="J74" s="185">
        <f t="shared" si="7"/>
        <v>0</v>
      </c>
      <c r="K74" s="187">
        <f t="shared" si="7"/>
        <v>0</v>
      </c>
    </row>
    <row r="75" spans="1:11" ht="42.75" customHeight="1">
      <c r="F75" s="153" t="s">
        <v>9</v>
      </c>
      <c r="G75" s="153" t="s">
        <v>37</v>
      </c>
      <c r="H75" s="153" t="s">
        <v>29</v>
      </c>
      <c r="I75" s="153" t="s">
        <v>30</v>
      </c>
      <c r="J75" s="153" t="s">
        <v>33</v>
      </c>
      <c r="K75" s="153" t="s">
        <v>34</v>
      </c>
    </row>
    <row r="76" spans="1:11" ht="18" customHeight="1">
      <c r="A76" s="154" t="s">
        <v>105</v>
      </c>
      <c r="B76" s="150" t="s">
        <v>106</v>
      </c>
    </row>
    <row r="77" spans="1:11" ht="18" customHeight="1">
      <c r="A77" s="151" t="s">
        <v>107</v>
      </c>
      <c r="B77" s="155" t="s">
        <v>54</v>
      </c>
      <c r="F77" s="156"/>
      <c r="G77" s="156"/>
      <c r="H77" s="157"/>
      <c r="I77" s="158">
        <v>0</v>
      </c>
      <c r="J77" s="157"/>
      <c r="K77" s="159">
        <f>(H77+I77)-J77</f>
        <v>0</v>
      </c>
    </row>
    <row r="78" spans="1:11" ht="18" customHeight="1">
      <c r="A78" s="151" t="s">
        <v>108</v>
      </c>
      <c r="B78" s="155" t="s">
        <v>55</v>
      </c>
      <c r="F78" s="156"/>
      <c r="G78" s="156"/>
      <c r="H78" s="157"/>
      <c r="I78" s="158">
        <v>0</v>
      </c>
      <c r="J78" s="157"/>
      <c r="K78" s="159">
        <f>(H78+I78)-J78</f>
        <v>0</v>
      </c>
    </row>
    <row r="79" spans="1:11" ht="18" customHeight="1">
      <c r="A79" s="151" t="s">
        <v>109</v>
      </c>
      <c r="B79" s="155" t="s">
        <v>13</v>
      </c>
      <c r="F79" s="156">
        <v>32</v>
      </c>
      <c r="G79" s="156"/>
      <c r="H79" s="157">
        <v>9839</v>
      </c>
      <c r="I79" s="158">
        <f>H79*F$114</f>
        <v>8354.294899999999</v>
      </c>
      <c r="J79" s="157"/>
      <c r="K79" s="159">
        <f>(H79+I79)-J79</f>
        <v>18193.294900000001</v>
      </c>
    </row>
    <row r="80" spans="1:11" ht="18" customHeight="1">
      <c r="A80" s="151" t="s">
        <v>110</v>
      </c>
      <c r="B80" s="155" t="s">
        <v>56</v>
      </c>
      <c r="F80" s="156"/>
      <c r="G80" s="156"/>
      <c r="H80" s="157"/>
      <c r="I80" s="158">
        <v>0</v>
      </c>
      <c r="J80" s="157"/>
      <c r="K80" s="159">
        <f>(H80+I80)-J80</f>
        <v>0</v>
      </c>
    </row>
    <row r="81" spans="1:11" ht="18" customHeight="1">
      <c r="A81" s="151"/>
      <c r="K81" s="188"/>
    </row>
    <row r="82" spans="1:11" ht="18" customHeight="1">
      <c r="A82" s="151" t="s">
        <v>148</v>
      </c>
      <c r="B82" s="150" t="s">
        <v>149</v>
      </c>
      <c r="E82" s="150" t="s">
        <v>7</v>
      </c>
      <c r="F82" s="185">
        <f t="shared" ref="F82:K82" si="8">SUM(F77:F80)</f>
        <v>32</v>
      </c>
      <c r="G82" s="185">
        <f t="shared" si="8"/>
        <v>0</v>
      </c>
      <c r="H82" s="187">
        <f t="shared" si="8"/>
        <v>9839</v>
      </c>
      <c r="I82" s="187">
        <f t="shared" si="8"/>
        <v>8354.294899999999</v>
      </c>
      <c r="J82" s="187">
        <f t="shared" si="8"/>
        <v>0</v>
      </c>
      <c r="K82" s="187">
        <f t="shared" si="8"/>
        <v>18193.294900000001</v>
      </c>
    </row>
    <row r="83" spans="1:11" ht="18" customHeight="1" thickBot="1">
      <c r="A83" s="151"/>
      <c r="F83" s="172"/>
      <c r="G83" s="172"/>
      <c r="H83" s="172"/>
      <c r="I83" s="172"/>
      <c r="J83" s="172"/>
      <c r="K83" s="172"/>
    </row>
    <row r="84" spans="1:11" ht="42.75" customHeight="1">
      <c r="F84" s="153" t="s">
        <v>9</v>
      </c>
      <c r="G84" s="153" t="s">
        <v>37</v>
      </c>
      <c r="H84" s="153" t="s">
        <v>29</v>
      </c>
      <c r="I84" s="153" t="s">
        <v>30</v>
      </c>
      <c r="J84" s="153" t="s">
        <v>33</v>
      </c>
      <c r="K84" s="153" t="s">
        <v>34</v>
      </c>
    </row>
    <row r="85" spans="1:11" ht="18" customHeight="1">
      <c r="A85" s="154" t="s">
        <v>111</v>
      </c>
      <c r="B85" s="150" t="s">
        <v>57</v>
      </c>
    </row>
    <row r="86" spans="1:11" ht="18" customHeight="1">
      <c r="A86" s="151" t="s">
        <v>112</v>
      </c>
      <c r="B86" s="155" t="s">
        <v>113</v>
      </c>
      <c r="F86" s="156"/>
      <c r="G86" s="156"/>
      <c r="H86" s="157"/>
      <c r="I86" s="158">
        <f t="shared" ref="I86:I96" si="9">H86*F$114</f>
        <v>0</v>
      </c>
      <c r="J86" s="157"/>
      <c r="K86" s="159">
        <f t="shared" ref="K86:K96" si="10">(H86+I86)-J86</f>
        <v>0</v>
      </c>
    </row>
    <row r="87" spans="1:11" ht="18" customHeight="1">
      <c r="A87" s="151" t="s">
        <v>114</v>
      </c>
      <c r="B87" s="155" t="s">
        <v>14</v>
      </c>
      <c r="F87" s="156"/>
      <c r="G87" s="156"/>
      <c r="H87" s="157"/>
      <c r="I87" s="158">
        <f t="shared" si="9"/>
        <v>0</v>
      </c>
      <c r="J87" s="157"/>
      <c r="K87" s="159">
        <f t="shared" si="10"/>
        <v>0</v>
      </c>
    </row>
    <row r="88" spans="1:11" ht="18" customHeight="1">
      <c r="A88" s="151" t="s">
        <v>115</v>
      </c>
      <c r="B88" s="155" t="s">
        <v>116</v>
      </c>
      <c r="F88" s="156"/>
      <c r="G88" s="156"/>
      <c r="H88" s="157"/>
      <c r="I88" s="158">
        <f t="shared" si="9"/>
        <v>0</v>
      </c>
      <c r="J88" s="157"/>
      <c r="K88" s="159">
        <f t="shared" si="10"/>
        <v>0</v>
      </c>
    </row>
    <row r="89" spans="1:11" ht="18" customHeight="1">
      <c r="A89" s="151" t="s">
        <v>117</v>
      </c>
      <c r="B89" s="155" t="s">
        <v>58</v>
      </c>
      <c r="F89" s="156"/>
      <c r="G89" s="156"/>
      <c r="H89" s="157"/>
      <c r="I89" s="158">
        <f t="shared" si="9"/>
        <v>0</v>
      </c>
      <c r="J89" s="157"/>
      <c r="K89" s="159">
        <f t="shared" si="10"/>
        <v>0</v>
      </c>
    </row>
    <row r="90" spans="1:11" ht="18" customHeight="1">
      <c r="A90" s="151" t="s">
        <v>118</v>
      </c>
      <c r="B90" s="904" t="s">
        <v>59</v>
      </c>
      <c r="C90" s="907"/>
      <c r="F90" s="156"/>
      <c r="G90" s="156"/>
      <c r="H90" s="157"/>
      <c r="I90" s="158">
        <f t="shared" si="9"/>
        <v>0</v>
      </c>
      <c r="J90" s="157"/>
      <c r="K90" s="159">
        <f t="shared" si="10"/>
        <v>0</v>
      </c>
    </row>
    <row r="91" spans="1:11" ht="18" customHeight="1">
      <c r="A91" s="151" t="s">
        <v>119</v>
      </c>
      <c r="B91" s="155" t="s">
        <v>60</v>
      </c>
      <c r="F91" s="156"/>
      <c r="G91" s="156"/>
      <c r="H91" s="157"/>
      <c r="I91" s="158">
        <f t="shared" si="9"/>
        <v>0</v>
      </c>
      <c r="J91" s="157"/>
      <c r="K91" s="159">
        <f t="shared" si="10"/>
        <v>0</v>
      </c>
    </row>
    <row r="92" spans="1:11" ht="18" customHeight="1">
      <c r="A92" s="151" t="s">
        <v>120</v>
      </c>
      <c r="B92" s="155" t="s">
        <v>121</v>
      </c>
      <c r="F92" s="189"/>
      <c r="G92" s="189"/>
      <c r="H92" s="190"/>
      <c r="I92" s="158">
        <f t="shared" si="9"/>
        <v>0</v>
      </c>
      <c r="J92" s="190"/>
      <c r="K92" s="159">
        <f t="shared" si="10"/>
        <v>0</v>
      </c>
    </row>
    <row r="93" spans="1:11" ht="18" customHeight="1">
      <c r="A93" s="151" t="s">
        <v>122</v>
      </c>
      <c r="B93" s="155" t="s">
        <v>123</v>
      </c>
      <c r="F93" s="156">
        <v>2080</v>
      </c>
      <c r="G93" s="156"/>
      <c r="H93" s="157">
        <v>46099</v>
      </c>
      <c r="I93" s="158">
        <f t="shared" si="9"/>
        <v>39142.660899999995</v>
      </c>
      <c r="J93" s="157">
        <v>50744</v>
      </c>
      <c r="K93" s="159">
        <f t="shared" si="10"/>
        <v>34497.660899999988</v>
      </c>
    </row>
    <row r="94" spans="1:11" ht="18" customHeight="1">
      <c r="A94" s="151" t="s">
        <v>124</v>
      </c>
      <c r="B94" s="901"/>
      <c r="C94" s="902"/>
      <c r="D94" s="903"/>
      <c r="F94" s="156"/>
      <c r="G94" s="156"/>
      <c r="H94" s="157"/>
      <c r="I94" s="158">
        <f t="shared" si="9"/>
        <v>0</v>
      </c>
      <c r="J94" s="157"/>
      <c r="K94" s="159">
        <f t="shared" si="10"/>
        <v>0</v>
      </c>
    </row>
    <row r="95" spans="1:11" ht="18" customHeight="1">
      <c r="A95" s="151" t="s">
        <v>125</v>
      </c>
      <c r="B95" s="901"/>
      <c r="C95" s="902"/>
      <c r="D95" s="903"/>
      <c r="F95" s="156"/>
      <c r="G95" s="156"/>
      <c r="H95" s="157"/>
      <c r="I95" s="158">
        <f t="shared" si="9"/>
        <v>0</v>
      </c>
      <c r="J95" s="157"/>
      <c r="K95" s="159">
        <f t="shared" si="10"/>
        <v>0</v>
      </c>
    </row>
    <row r="96" spans="1:11" ht="18" customHeight="1">
      <c r="A96" s="151" t="s">
        <v>126</v>
      </c>
      <c r="B96" s="901"/>
      <c r="C96" s="902"/>
      <c r="D96" s="903"/>
      <c r="F96" s="156"/>
      <c r="G96" s="156"/>
      <c r="H96" s="157"/>
      <c r="I96" s="158">
        <f t="shared" si="9"/>
        <v>0</v>
      </c>
      <c r="J96" s="157"/>
      <c r="K96" s="159">
        <f t="shared" si="10"/>
        <v>0</v>
      </c>
    </row>
    <row r="97" spans="1:11" ht="18" customHeight="1">
      <c r="A97" s="151"/>
      <c r="B97" s="155"/>
    </row>
    <row r="98" spans="1:11" ht="18" customHeight="1">
      <c r="A98" s="154" t="s">
        <v>150</v>
      </c>
      <c r="B98" s="150" t="s">
        <v>151</v>
      </c>
      <c r="E98" s="150" t="s">
        <v>7</v>
      </c>
      <c r="F98" s="162">
        <f t="shared" ref="F98:K98" si="11">SUM(F86:F96)</f>
        <v>2080</v>
      </c>
      <c r="G98" s="162">
        <f t="shared" si="11"/>
        <v>0</v>
      </c>
      <c r="H98" s="162">
        <f t="shared" si="11"/>
        <v>46099</v>
      </c>
      <c r="I98" s="162">
        <f t="shared" si="11"/>
        <v>39142.660899999995</v>
      </c>
      <c r="J98" s="162">
        <f t="shared" si="11"/>
        <v>50744</v>
      </c>
      <c r="K98" s="162">
        <f t="shared" si="11"/>
        <v>34497.660899999988</v>
      </c>
    </row>
    <row r="99" spans="1:11" ht="18" customHeight="1" thickBot="1">
      <c r="B99" s="150"/>
      <c r="F99" s="172"/>
      <c r="G99" s="172"/>
      <c r="H99" s="172"/>
      <c r="I99" s="172"/>
      <c r="J99" s="172"/>
      <c r="K99" s="172"/>
    </row>
    <row r="100" spans="1:11" ht="42.75" customHeight="1">
      <c r="F100" s="153" t="s">
        <v>9</v>
      </c>
      <c r="G100" s="153" t="s">
        <v>37</v>
      </c>
      <c r="H100" s="153" t="s">
        <v>29</v>
      </c>
      <c r="I100" s="153" t="s">
        <v>30</v>
      </c>
      <c r="J100" s="153" t="s">
        <v>33</v>
      </c>
      <c r="K100" s="153" t="s">
        <v>34</v>
      </c>
    </row>
    <row r="101" spans="1:11" ht="18" customHeight="1">
      <c r="A101" s="154" t="s">
        <v>130</v>
      </c>
      <c r="B101" s="150" t="s">
        <v>63</v>
      </c>
    </row>
    <row r="102" spans="1:11" ht="18" customHeight="1">
      <c r="A102" s="151" t="s">
        <v>131</v>
      </c>
      <c r="B102" s="155" t="s">
        <v>152</v>
      </c>
      <c r="F102" s="156">
        <v>520</v>
      </c>
      <c r="G102" s="156"/>
      <c r="H102" s="157">
        <v>31743.48</v>
      </c>
      <c r="I102" s="158">
        <f>H102*F$114</f>
        <v>26953.388867999998</v>
      </c>
      <c r="J102" s="157"/>
      <c r="K102" s="159">
        <f>(H102+I102)-J102</f>
        <v>58696.868867999998</v>
      </c>
    </row>
    <row r="103" spans="1:11" ht="18" customHeight="1">
      <c r="A103" s="151" t="s">
        <v>132</v>
      </c>
      <c r="B103" s="904" t="s">
        <v>62</v>
      </c>
      <c r="C103" s="904"/>
      <c r="F103" s="156"/>
      <c r="G103" s="156"/>
      <c r="H103" s="157"/>
      <c r="I103" s="158">
        <f>H103*F$114</f>
        <v>0</v>
      </c>
      <c r="J103" s="157"/>
      <c r="K103" s="159">
        <f>(H103+I103)-J103</f>
        <v>0</v>
      </c>
    </row>
    <row r="104" spans="1:11" ht="18" customHeight="1">
      <c r="A104" s="151" t="s">
        <v>128</v>
      </c>
      <c r="B104" s="901"/>
      <c r="C104" s="902"/>
      <c r="D104" s="903"/>
      <c r="F104" s="156"/>
      <c r="G104" s="156"/>
      <c r="H104" s="157"/>
      <c r="I104" s="158">
        <f>H104*F$114</f>
        <v>0</v>
      </c>
      <c r="J104" s="157"/>
      <c r="K104" s="159">
        <f>(H104+I104)-J104</f>
        <v>0</v>
      </c>
    </row>
    <row r="105" spans="1:11" ht="18" customHeight="1">
      <c r="A105" s="151" t="s">
        <v>127</v>
      </c>
      <c r="B105" s="901"/>
      <c r="C105" s="902"/>
      <c r="D105" s="903"/>
      <c r="F105" s="156"/>
      <c r="G105" s="156"/>
      <c r="H105" s="157"/>
      <c r="I105" s="158">
        <f>H105*F$114</f>
        <v>0</v>
      </c>
      <c r="J105" s="157"/>
      <c r="K105" s="159">
        <f>(H105+I105)-J105</f>
        <v>0</v>
      </c>
    </row>
    <row r="106" spans="1:11" ht="18" customHeight="1">
      <c r="A106" s="151" t="s">
        <v>129</v>
      </c>
      <c r="B106" s="901"/>
      <c r="C106" s="902"/>
      <c r="D106" s="903"/>
      <c r="F106" s="156"/>
      <c r="G106" s="156"/>
      <c r="H106" s="157"/>
      <c r="I106" s="158">
        <f>H106*F$114</f>
        <v>0</v>
      </c>
      <c r="J106" s="157"/>
      <c r="K106" s="159">
        <f>(H106+I106)-J106</f>
        <v>0</v>
      </c>
    </row>
    <row r="107" spans="1:11" ht="18" customHeight="1">
      <c r="B107" s="150"/>
    </row>
    <row r="108" spans="1:11" s="167" customFormat="1" ht="18" customHeight="1">
      <c r="A108" s="154" t="s">
        <v>153</v>
      </c>
      <c r="B108" s="191" t="s">
        <v>154</v>
      </c>
      <c r="C108" s="147"/>
      <c r="D108" s="147"/>
      <c r="E108" s="150" t="s">
        <v>7</v>
      </c>
      <c r="F108" s="162">
        <f t="shared" ref="F108:K108" si="12">SUM(F102:F106)</f>
        <v>520</v>
      </c>
      <c r="G108" s="162">
        <f t="shared" si="12"/>
        <v>0</v>
      </c>
      <c r="H108" s="159">
        <f t="shared" si="12"/>
        <v>31743.48</v>
      </c>
      <c r="I108" s="159">
        <f t="shared" si="12"/>
        <v>26953.388867999998</v>
      </c>
      <c r="J108" s="159">
        <f t="shared" si="12"/>
        <v>0</v>
      </c>
      <c r="K108" s="159">
        <f t="shared" si="12"/>
        <v>58696.868867999998</v>
      </c>
    </row>
    <row r="109" spans="1:11" s="167" customFormat="1" ht="18" customHeight="1" thickBot="1">
      <c r="A109" s="192"/>
      <c r="B109" s="193"/>
      <c r="C109" s="194"/>
      <c r="D109" s="194"/>
      <c r="E109" s="194"/>
      <c r="F109" s="172"/>
      <c r="G109" s="172"/>
      <c r="H109" s="172"/>
      <c r="I109" s="172"/>
      <c r="J109" s="172"/>
      <c r="K109" s="172"/>
    </row>
    <row r="110" spans="1:11" s="167" customFormat="1" ht="18" customHeight="1">
      <c r="A110" s="154" t="s">
        <v>156</v>
      </c>
      <c r="B110" s="150" t="s">
        <v>39</v>
      </c>
      <c r="C110" s="147"/>
      <c r="D110" s="147"/>
      <c r="E110" s="147"/>
      <c r="F110" s="147"/>
      <c r="G110" s="147"/>
      <c r="H110" s="147"/>
      <c r="I110" s="147"/>
      <c r="J110" s="147"/>
      <c r="K110" s="147"/>
    </row>
    <row r="111" spans="1:11" ht="18" customHeight="1">
      <c r="A111" s="154" t="s">
        <v>155</v>
      </c>
      <c r="B111" s="150" t="s">
        <v>164</v>
      </c>
      <c r="E111" s="150" t="s">
        <v>7</v>
      </c>
      <c r="F111" s="157">
        <v>930520</v>
      </c>
    </row>
    <row r="112" spans="1:11" ht="18" customHeight="1">
      <c r="B112" s="150"/>
      <c r="E112" s="150"/>
      <c r="F112" s="195"/>
    </row>
    <row r="113" spans="1:6" ht="18" customHeight="1">
      <c r="A113" s="154"/>
      <c r="B113" s="150" t="s">
        <v>15</v>
      </c>
    </row>
    <row r="114" spans="1:6" ht="18" customHeight="1">
      <c r="A114" s="151" t="s">
        <v>171</v>
      </c>
      <c r="B114" s="155" t="s">
        <v>35</v>
      </c>
      <c r="F114" s="196">
        <v>0.84909999999999997</v>
      </c>
    </row>
    <row r="115" spans="1:6" ht="18" customHeight="1">
      <c r="A115" s="151"/>
      <c r="B115" s="150"/>
    </row>
    <row r="116" spans="1:6" ht="18" customHeight="1">
      <c r="A116" s="151" t="s">
        <v>170</v>
      </c>
      <c r="B116" s="150" t="s">
        <v>16</v>
      </c>
    </row>
    <row r="117" spans="1:6" ht="18" customHeight="1">
      <c r="A117" s="151" t="s">
        <v>172</v>
      </c>
      <c r="B117" s="155" t="s">
        <v>17</v>
      </c>
      <c r="F117" s="157">
        <v>73392063</v>
      </c>
    </row>
    <row r="118" spans="1:6" ht="18" customHeight="1">
      <c r="A118" s="151" t="s">
        <v>173</v>
      </c>
      <c r="B118" s="147" t="s">
        <v>18</v>
      </c>
      <c r="F118" s="157">
        <v>894426</v>
      </c>
    </row>
    <row r="119" spans="1:6" ht="18" customHeight="1">
      <c r="A119" s="151" t="s">
        <v>174</v>
      </c>
      <c r="B119" s="150" t="s">
        <v>19</v>
      </c>
      <c r="F119" s="187">
        <f>SUM(F117:F118)</f>
        <v>74286489</v>
      </c>
    </row>
    <row r="120" spans="1:6" ht="18" customHeight="1">
      <c r="A120" s="151"/>
      <c r="B120" s="150"/>
    </row>
    <row r="121" spans="1:6" ht="18" customHeight="1">
      <c r="A121" s="151" t="s">
        <v>167</v>
      </c>
      <c r="B121" s="150" t="s">
        <v>36</v>
      </c>
      <c r="F121" s="157">
        <v>72485946</v>
      </c>
    </row>
    <row r="122" spans="1:6" ht="18" customHeight="1">
      <c r="A122" s="151"/>
    </row>
    <row r="123" spans="1:6" ht="18" customHeight="1">
      <c r="A123" s="151" t="s">
        <v>175</v>
      </c>
      <c r="B123" s="150" t="s">
        <v>20</v>
      </c>
      <c r="F123" s="157">
        <f>F119-F121</f>
        <v>1800543</v>
      </c>
    </row>
    <row r="124" spans="1:6" ht="18" customHeight="1">
      <c r="A124" s="151"/>
    </row>
    <row r="125" spans="1:6" ht="18" customHeight="1">
      <c r="A125" s="151" t="s">
        <v>176</v>
      </c>
      <c r="B125" s="150" t="s">
        <v>21</v>
      </c>
      <c r="F125" s="157">
        <v>-1019876</v>
      </c>
    </row>
    <row r="126" spans="1:6" ht="18" customHeight="1">
      <c r="A126" s="151"/>
    </row>
    <row r="127" spans="1:6" ht="18" customHeight="1">
      <c r="A127" s="151" t="s">
        <v>177</v>
      </c>
      <c r="B127" s="150" t="s">
        <v>22</v>
      </c>
      <c r="F127" s="157">
        <f>F123+F125</f>
        <v>780667</v>
      </c>
    </row>
    <row r="128" spans="1:6" ht="18" customHeight="1">
      <c r="A128" s="151"/>
    </row>
    <row r="129" spans="1:11" ht="42.75" customHeight="1">
      <c r="F129" s="153" t="s">
        <v>9</v>
      </c>
      <c r="G129" s="153" t="s">
        <v>37</v>
      </c>
      <c r="H129" s="153" t="s">
        <v>29</v>
      </c>
      <c r="I129" s="153" t="s">
        <v>30</v>
      </c>
      <c r="J129" s="153" t="s">
        <v>33</v>
      </c>
      <c r="K129" s="153" t="s">
        <v>34</v>
      </c>
    </row>
    <row r="130" spans="1:11" ht="18" customHeight="1">
      <c r="A130" s="154" t="s">
        <v>157</v>
      </c>
      <c r="B130" s="150" t="s">
        <v>23</v>
      </c>
    </row>
    <row r="131" spans="1:11" ht="18" customHeight="1">
      <c r="A131" s="151" t="s">
        <v>158</v>
      </c>
      <c r="B131" s="147" t="s">
        <v>24</v>
      </c>
      <c r="F131" s="156"/>
      <c r="G131" s="156"/>
      <c r="H131" s="157"/>
      <c r="I131" s="158">
        <v>0</v>
      </c>
      <c r="J131" s="157"/>
      <c r="K131" s="159">
        <f>(H131+I131)-J131</f>
        <v>0</v>
      </c>
    </row>
    <row r="132" spans="1:11" ht="18" customHeight="1">
      <c r="A132" s="151" t="s">
        <v>159</v>
      </c>
      <c r="B132" s="147" t="s">
        <v>25</v>
      </c>
      <c r="F132" s="156"/>
      <c r="G132" s="156"/>
      <c r="H132" s="157"/>
      <c r="I132" s="158">
        <v>0</v>
      </c>
      <c r="J132" s="157"/>
      <c r="K132" s="159">
        <f>(H132+I132)-J132</f>
        <v>0</v>
      </c>
    </row>
    <row r="133" spans="1:11" ht="18" customHeight="1">
      <c r="A133" s="151" t="s">
        <v>160</v>
      </c>
      <c r="B133" s="898"/>
      <c r="C133" s="899"/>
      <c r="D133" s="900"/>
      <c r="F133" s="156"/>
      <c r="G133" s="156"/>
      <c r="H133" s="157"/>
      <c r="I133" s="158">
        <v>0</v>
      </c>
      <c r="J133" s="157"/>
      <c r="K133" s="159">
        <f>(H133+I133)-J133</f>
        <v>0</v>
      </c>
    </row>
    <row r="134" spans="1:11" ht="18" customHeight="1">
      <c r="A134" s="151" t="s">
        <v>161</v>
      </c>
      <c r="B134" s="898"/>
      <c r="C134" s="899"/>
      <c r="D134" s="900"/>
      <c r="F134" s="156"/>
      <c r="G134" s="156"/>
      <c r="H134" s="157"/>
      <c r="I134" s="158">
        <v>0</v>
      </c>
      <c r="J134" s="157"/>
      <c r="K134" s="159">
        <f>(H134+I134)-J134</f>
        <v>0</v>
      </c>
    </row>
    <row r="135" spans="1:11" ht="18" customHeight="1">
      <c r="A135" s="151" t="s">
        <v>162</v>
      </c>
      <c r="B135" s="898"/>
      <c r="C135" s="899"/>
      <c r="D135" s="900"/>
      <c r="F135" s="156"/>
      <c r="G135" s="156"/>
      <c r="H135" s="157"/>
      <c r="I135" s="158">
        <v>0</v>
      </c>
      <c r="J135" s="157"/>
      <c r="K135" s="159">
        <f>(H135+I135)-J135</f>
        <v>0</v>
      </c>
    </row>
    <row r="136" spans="1:11" ht="18" customHeight="1">
      <c r="A136" s="154"/>
    </row>
    <row r="137" spans="1:11" ht="18" customHeight="1">
      <c r="A137" s="154" t="s">
        <v>163</v>
      </c>
      <c r="B137" s="150" t="s">
        <v>27</v>
      </c>
      <c r="F137" s="162">
        <f t="shared" ref="F137:K137" si="13">SUM(F131:F135)</f>
        <v>0</v>
      </c>
      <c r="G137" s="162">
        <f t="shared" si="13"/>
        <v>0</v>
      </c>
      <c r="H137" s="159">
        <f t="shared" si="13"/>
        <v>0</v>
      </c>
      <c r="I137" s="159">
        <f t="shared" si="13"/>
        <v>0</v>
      </c>
      <c r="J137" s="159">
        <f t="shared" si="13"/>
        <v>0</v>
      </c>
      <c r="K137" s="159">
        <f t="shared" si="13"/>
        <v>0</v>
      </c>
    </row>
    <row r="138" spans="1:11" ht="18" customHeight="1">
      <c r="A138" s="147"/>
    </row>
    <row r="139" spans="1:11" ht="42.75" customHeight="1">
      <c r="F139" s="153" t="s">
        <v>9</v>
      </c>
      <c r="G139" s="153" t="s">
        <v>37</v>
      </c>
      <c r="H139" s="153" t="s">
        <v>29</v>
      </c>
      <c r="I139" s="153" t="s">
        <v>30</v>
      </c>
      <c r="J139" s="153" t="s">
        <v>33</v>
      </c>
      <c r="K139" s="153" t="s">
        <v>34</v>
      </c>
    </row>
    <row r="140" spans="1:11" ht="18" customHeight="1">
      <c r="A140" s="154" t="s">
        <v>166</v>
      </c>
      <c r="B140" s="150" t="s">
        <v>26</v>
      </c>
    </row>
    <row r="141" spans="1:11" ht="18" customHeight="1">
      <c r="A141" s="151" t="s">
        <v>137</v>
      </c>
      <c r="B141" s="150" t="s">
        <v>64</v>
      </c>
      <c r="F141" s="197">
        <f t="shared" ref="F141:K141" si="14">F36</f>
        <v>2490</v>
      </c>
      <c r="G141" s="197">
        <f t="shared" si="14"/>
        <v>6128</v>
      </c>
      <c r="H141" s="197">
        <f t="shared" si="14"/>
        <v>41400</v>
      </c>
      <c r="I141" s="197">
        <f t="shared" si="14"/>
        <v>35152.74</v>
      </c>
      <c r="J141" s="197">
        <f t="shared" si="14"/>
        <v>6164</v>
      </c>
      <c r="K141" s="197">
        <f t="shared" si="14"/>
        <v>70388.740000000005</v>
      </c>
    </row>
    <row r="142" spans="1:11" ht="18" customHeight="1">
      <c r="A142" s="151" t="s">
        <v>142</v>
      </c>
      <c r="B142" s="150" t="s">
        <v>65</v>
      </c>
      <c r="F142" s="197">
        <f t="shared" ref="F142:K142" si="15">F49</f>
        <v>1196</v>
      </c>
      <c r="G142" s="197">
        <f t="shared" si="15"/>
        <v>0</v>
      </c>
      <c r="H142" s="197">
        <f t="shared" si="15"/>
        <v>42345</v>
      </c>
      <c r="I142" s="197">
        <f t="shared" si="15"/>
        <v>35955.139499999997</v>
      </c>
      <c r="J142" s="197">
        <f t="shared" si="15"/>
        <v>0</v>
      </c>
      <c r="K142" s="197">
        <f t="shared" si="15"/>
        <v>78300.13949999999</v>
      </c>
    </row>
    <row r="143" spans="1:11" ht="18" customHeight="1">
      <c r="A143" s="151" t="s">
        <v>144</v>
      </c>
      <c r="B143" s="150" t="s">
        <v>66</v>
      </c>
      <c r="F143" s="197">
        <f t="shared" ref="F143:K143" si="16">F64</f>
        <v>0</v>
      </c>
      <c r="G143" s="197">
        <f t="shared" si="16"/>
        <v>0</v>
      </c>
      <c r="H143" s="197">
        <f t="shared" si="16"/>
        <v>776020</v>
      </c>
      <c r="I143" s="197">
        <f t="shared" si="16"/>
        <v>658918.58199999994</v>
      </c>
      <c r="J143" s="197">
        <f t="shared" si="16"/>
        <v>0</v>
      </c>
      <c r="K143" s="197">
        <f t="shared" si="16"/>
        <v>1434938.5819999999</v>
      </c>
    </row>
    <row r="144" spans="1:11" ht="18" customHeight="1">
      <c r="A144" s="151" t="s">
        <v>146</v>
      </c>
      <c r="B144" s="150" t="s">
        <v>67</v>
      </c>
      <c r="F144" s="197">
        <f t="shared" ref="F144:K144" si="17">F74</f>
        <v>0</v>
      </c>
      <c r="G144" s="197">
        <f t="shared" si="17"/>
        <v>0</v>
      </c>
      <c r="H144" s="197">
        <f t="shared" si="17"/>
        <v>0</v>
      </c>
      <c r="I144" s="197">
        <f t="shared" si="17"/>
        <v>0</v>
      </c>
      <c r="J144" s="197">
        <f t="shared" si="17"/>
        <v>0</v>
      </c>
      <c r="K144" s="197">
        <f t="shared" si="17"/>
        <v>0</v>
      </c>
    </row>
    <row r="145" spans="1:11" ht="18" customHeight="1">
      <c r="A145" s="151" t="s">
        <v>148</v>
      </c>
      <c r="B145" s="150" t="s">
        <v>68</v>
      </c>
      <c r="F145" s="197">
        <f t="shared" ref="F145:K145" si="18">F82</f>
        <v>32</v>
      </c>
      <c r="G145" s="197">
        <f t="shared" si="18"/>
        <v>0</v>
      </c>
      <c r="H145" s="197">
        <f t="shared" si="18"/>
        <v>9839</v>
      </c>
      <c r="I145" s="197">
        <f t="shared" si="18"/>
        <v>8354.294899999999</v>
      </c>
      <c r="J145" s="197">
        <f t="shared" si="18"/>
        <v>0</v>
      </c>
      <c r="K145" s="197">
        <f t="shared" si="18"/>
        <v>18193.294900000001</v>
      </c>
    </row>
    <row r="146" spans="1:11" ht="18" customHeight="1">
      <c r="A146" s="151" t="s">
        <v>150</v>
      </c>
      <c r="B146" s="150" t="s">
        <v>69</v>
      </c>
      <c r="F146" s="197">
        <f t="shared" ref="F146:K146" si="19">F98</f>
        <v>2080</v>
      </c>
      <c r="G146" s="197">
        <f t="shared" si="19"/>
        <v>0</v>
      </c>
      <c r="H146" s="197">
        <f t="shared" si="19"/>
        <v>46099</v>
      </c>
      <c r="I146" s="197">
        <f t="shared" si="19"/>
        <v>39142.660899999995</v>
      </c>
      <c r="J146" s="197">
        <f t="shared" si="19"/>
        <v>50744</v>
      </c>
      <c r="K146" s="197">
        <f t="shared" si="19"/>
        <v>34497.660899999988</v>
      </c>
    </row>
    <row r="147" spans="1:11" ht="18" customHeight="1">
      <c r="A147" s="151" t="s">
        <v>153</v>
      </c>
      <c r="B147" s="150" t="s">
        <v>61</v>
      </c>
      <c r="F147" s="162">
        <f t="shared" ref="F147:K147" si="20">F108</f>
        <v>520</v>
      </c>
      <c r="G147" s="162">
        <f t="shared" si="20"/>
        <v>0</v>
      </c>
      <c r="H147" s="162">
        <f t="shared" si="20"/>
        <v>31743.48</v>
      </c>
      <c r="I147" s="162">
        <f t="shared" si="20"/>
        <v>26953.388867999998</v>
      </c>
      <c r="J147" s="162">
        <f t="shared" si="20"/>
        <v>0</v>
      </c>
      <c r="K147" s="162">
        <f t="shared" si="20"/>
        <v>58696.868867999998</v>
      </c>
    </row>
    <row r="148" spans="1:11" ht="18" customHeight="1">
      <c r="A148" s="151" t="s">
        <v>155</v>
      </c>
      <c r="B148" s="150" t="s">
        <v>70</v>
      </c>
      <c r="F148" s="198" t="s">
        <v>73</v>
      </c>
      <c r="G148" s="198" t="s">
        <v>73</v>
      </c>
      <c r="H148" s="199" t="s">
        <v>73</v>
      </c>
      <c r="I148" s="199" t="s">
        <v>73</v>
      </c>
      <c r="J148" s="199" t="s">
        <v>73</v>
      </c>
      <c r="K148" s="200">
        <f>F111</f>
        <v>930520</v>
      </c>
    </row>
    <row r="149" spans="1:11" ht="18" customHeight="1">
      <c r="A149" s="151" t="s">
        <v>163</v>
      </c>
      <c r="B149" s="150" t="s">
        <v>71</v>
      </c>
      <c r="F149" s="162">
        <f t="shared" ref="F149:K149" si="21">F137</f>
        <v>0</v>
      </c>
      <c r="G149" s="162">
        <f t="shared" si="21"/>
        <v>0</v>
      </c>
      <c r="H149" s="162">
        <f t="shared" si="21"/>
        <v>0</v>
      </c>
      <c r="I149" s="162">
        <f t="shared" si="21"/>
        <v>0</v>
      </c>
      <c r="J149" s="162">
        <f t="shared" si="21"/>
        <v>0</v>
      </c>
      <c r="K149" s="162">
        <f t="shared" si="21"/>
        <v>0</v>
      </c>
    </row>
    <row r="150" spans="1:11" ht="18" customHeight="1">
      <c r="A150" s="151" t="s">
        <v>185</v>
      </c>
      <c r="B150" s="150" t="s">
        <v>186</v>
      </c>
      <c r="F150" s="198" t="s">
        <v>73</v>
      </c>
      <c r="G150" s="198" t="s">
        <v>73</v>
      </c>
      <c r="H150" s="162">
        <f>H18</f>
        <v>1495473</v>
      </c>
      <c r="I150" s="162">
        <f>I18</f>
        <v>0</v>
      </c>
      <c r="J150" s="162">
        <f>J18</f>
        <v>1278816</v>
      </c>
      <c r="K150" s="162">
        <f>K18</f>
        <v>216657</v>
      </c>
    </row>
    <row r="151" spans="1:11" ht="18" customHeight="1">
      <c r="B151" s="150"/>
      <c r="F151" s="174"/>
      <c r="G151" s="174"/>
      <c r="H151" s="174"/>
      <c r="I151" s="174"/>
      <c r="J151" s="174"/>
      <c r="K151" s="174"/>
    </row>
    <row r="152" spans="1:11" ht="18" customHeight="1">
      <c r="A152" s="154" t="s">
        <v>165</v>
      </c>
      <c r="B152" s="150" t="s">
        <v>26</v>
      </c>
      <c r="F152" s="201">
        <f t="shared" ref="F152:K152" si="22">SUM(F141:F150)</f>
        <v>6318</v>
      </c>
      <c r="G152" s="201">
        <f t="shared" si="22"/>
        <v>6128</v>
      </c>
      <c r="H152" s="201">
        <f t="shared" si="22"/>
        <v>2442919.48</v>
      </c>
      <c r="I152" s="201">
        <f t="shared" si="22"/>
        <v>804476.80616799998</v>
      </c>
      <c r="J152" s="201">
        <f t="shared" si="22"/>
        <v>1335724</v>
      </c>
      <c r="K152" s="201">
        <f t="shared" si="22"/>
        <v>2842192.2861680002</v>
      </c>
    </row>
    <row r="154" spans="1:11" ht="18" customHeight="1">
      <c r="A154" s="154" t="s">
        <v>168</v>
      </c>
      <c r="B154" s="150" t="s">
        <v>28</v>
      </c>
      <c r="F154" s="53">
        <f>K152/F121</f>
        <v>3.921025306295927E-2</v>
      </c>
    </row>
    <row r="155" spans="1:11" ht="18" customHeight="1">
      <c r="A155" s="154" t="s">
        <v>169</v>
      </c>
      <c r="B155" s="150" t="s">
        <v>72</v>
      </c>
      <c r="F155" s="53">
        <f>K152/F127</f>
        <v>3.6407229794111959</v>
      </c>
      <c r="G155" s="150"/>
    </row>
    <row r="156" spans="1:11" ht="18" customHeight="1">
      <c r="G156" s="150"/>
    </row>
  </sheetData>
  <sheetProtection algorithmName="SHA-512" hashValue="iVvdvBFvLJrCQayOzWBOnlmmkvSOlg0vsuWfxw4ykvUWsRMIU69Eos4F9LU4n3blGdfrud4L5z60Zw6vfmvLvQ==" saltValue="dNfDTr1s26G+Dg2uXX89nw==" spinCount="100000" sheet="1" objects="1" scenarios="1"/>
  <mergeCells count="34">
    <mergeCell ref="B134:D134"/>
    <mergeCell ref="B135:D135"/>
    <mergeCell ref="B133:D133"/>
    <mergeCell ref="B104:D104"/>
    <mergeCell ref="B105:D105"/>
    <mergeCell ref="B106:D106"/>
    <mergeCell ref="B103:C103"/>
    <mergeCell ref="B96:D96"/>
    <mergeCell ref="B95:D95"/>
    <mergeCell ref="B57:D57"/>
    <mergeCell ref="B94:D94"/>
    <mergeCell ref="B52:C52"/>
    <mergeCell ref="B90:C90"/>
    <mergeCell ref="B53:D53"/>
    <mergeCell ref="B55:D55"/>
    <mergeCell ref="B56:D56"/>
    <mergeCell ref="B62:D62"/>
    <mergeCell ref="B59:D59"/>
    <mergeCell ref="D2:H2"/>
    <mergeCell ref="B45:D45"/>
    <mergeCell ref="B46:D46"/>
    <mergeCell ref="B47:D47"/>
    <mergeCell ref="B34:D34"/>
    <mergeCell ref="C11:G11"/>
    <mergeCell ref="B41:C41"/>
    <mergeCell ref="B44:D44"/>
    <mergeCell ref="B13:H13"/>
    <mergeCell ref="C5:G5"/>
    <mergeCell ref="C6:G6"/>
    <mergeCell ref="C7:G7"/>
    <mergeCell ref="C9:G9"/>
    <mergeCell ref="C10:G10"/>
    <mergeCell ref="B30:D30"/>
    <mergeCell ref="B31:D31"/>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K156"/>
  <sheetViews>
    <sheetView showGridLines="0" view="pageBreakPreview" zoomScaleNormal="50" zoomScaleSheetLayoutView="100" workbookViewId="0">
      <selection activeCell="F121" sqref="F121"/>
    </sheetView>
  </sheetViews>
  <sheetFormatPr defaultRowHeight="18" customHeight="1"/>
  <cols>
    <col min="1" max="1" width="8.28515625" style="146" customWidth="1"/>
    <col min="2" max="2" width="55.42578125" style="147" bestFit="1" customWidth="1"/>
    <col min="3" max="3" width="9.5703125" style="147" customWidth="1"/>
    <col min="4" max="4" width="9.140625" style="147"/>
    <col min="5" max="5" width="12.42578125" style="147" customWidth="1"/>
    <col min="6" max="6" width="18.5703125" style="147" customWidth="1"/>
    <col min="7" max="7" width="23.5703125" style="147" customWidth="1"/>
    <col min="8" max="8" width="17.140625" style="147" customWidth="1"/>
    <col min="9" max="9" width="21.140625" style="147" customWidth="1"/>
    <col min="10" max="10" width="19.85546875" style="147" customWidth="1"/>
    <col min="11" max="11" width="17.5703125" style="147" customWidth="1"/>
    <col min="12" max="16384" width="9.140625" style="147"/>
  </cols>
  <sheetData>
    <row r="1" spans="1:11" ht="18" customHeight="1">
      <c r="C1" s="148"/>
      <c r="D1" s="149"/>
      <c r="E1" s="148"/>
      <c r="F1" s="148"/>
      <c r="G1" s="148"/>
      <c r="H1" s="148"/>
      <c r="I1" s="148"/>
      <c r="J1" s="148"/>
      <c r="K1" s="148"/>
    </row>
    <row r="2" spans="1:11" ht="18" customHeight="1">
      <c r="D2" s="910" t="s">
        <v>713</v>
      </c>
      <c r="E2" s="911"/>
      <c r="F2" s="911"/>
      <c r="G2" s="911"/>
      <c r="H2" s="911"/>
    </row>
    <row r="3" spans="1:11" ht="18" customHeight="1">
      <c r="B3" s="150" t="s">
        <v>0</v>
      </c>
    </row>
    <row r="5" spans="1:11" ht="18" customHeight="1">
      <c r="B5" s="151" t="s">
        <v>40</v>
      </c>
      <c r="C5" s="912" t="s">
        <v>868</v>
      </c>
      <c r="D5" s="918"/>
      <c r="E5" s="918"/>
      <c r="F5" s="918"/>
      <c r="G5" s="919"/>
    </row>
    <row r="6" spans="1:11" ht="18" customHeight="1">
      <c r="B6" s="151" t="s">
        <v>3</v>
      </c>
      <c r="C6" s="929">
        <v>65</v>
      </c>
      <c r="D6" s="921"/>
      <c r="E6" s="921"/>
      <c r="F6" s="921"/>
      <c r="G6" s="922"/>
    </row>
    <row r="7" spans="1:11" ht="18" customHeight="1">
      <c r="B7" s="151" t="s">
        <v>4</v>
      </c>
      <c r="C7" s="930">
        <v>632</v>
      </c>
      <c r="D7" s="924"/>
      <c r="E7" s="924"/>
      <c r="F7" s="924"/>
      <c r="G7" s="925"/>
    </row>
    <row r="9" spans="1:11" ht="18" customHeight="1">
      <c r="B9" s="151" t="s">
        <v>1</v>
      </c>
      <c r="C9" s="912" t="s">
        <v>430</v>
      </c>
      <c r="D9" s="918"/>
      <c r="E9" s="918"/>
      <c r="F9" s="918"/>
      <c r="G9" s="919"/>
    </row>
    <row r="10" spans="1:11" ht="18" customHeight="1">
      <c r="B10" s="151" t="s">
        <v>2</v>
      </c>
      <c r="C10" s="926" t="s">
        <v>431</v>
      </c>
      <c r="D10" s="927"/>
      <c r="E10" s="927"/>
      <c r="F10" s="927"/>
      <c r="G10" s="928"/>
    </row>
    <row r="11" spans="1:11" ht="18" customHeight="1">
      <c r="B11" s="151" t="s">
        <v>32</v>
      </c>
      <c r="C11" s="912" t="s">
        <v>432</v>
      </c>
      <c r="D11" s="913"/>
      <c r="E11" s="913"/>
      <c r="F11" s="913"/>
      <c r="G11" s="913"/>
    </row>
    <row r="12" spans="1:11" ht="18" customHeight="1">
      <c r="B12" s="151"/>
      <c r="C12" s="151"/>
      <c r="D12" s="151"/>
      <c r="E12" s="151"/>
      <c r="F12" s="151"/>
      <c r="G12" s="151"/>
    </row>
    <row r="13" spans="1:11" ht="24.6" customHeight="1">
      <c r="B13" s="914"/>
      <c r="C13" s="915"/>
      <c r="D13" s="915"/>
      <c r="E13" s="915"/>
      <c r="F13" s="915"/>
      <c r="G13" s="915"/>
      <c r="H13" s="916"/>
      <c r="I13" s="148"/>
    </row>
    <row r="14" spans="1:11" ht="18" customHeight="1">
      <c r="B14" s="152"/>
    </row>
    <row r="15" spans="1:11" ht="18" customHeight="1">
      <c r="B15" s="152"/>
    </row>
    <row r="16" spans="1:11" ht="45" customHeight="1">
      <c r="A16" s="149" t="s">
        <v>181</v>
      </c>
      <c r="B16" s="148"/>
      <c r="C16" s="148"/>
      <c r="D16" s="148"/>
      <c r="E16" s="148"/>
      <c r="F16" s="153" t="s">
        <v>9</v>
      </c>
      <c r="G16" s="153" t="s">
        <v>37</v>
      </c>
      <c r="H16" s="153" t="s">
        <v>29</v>
      </c>
      <c r="I16" s="153" t="s">
        <v>30</v>
      </c>
      <c r="J16" s="153" t="s">
        <v>33</v>
      </c>
      <c r="K16" s="153" t="s">
        <v>34</v>
      </c>
    </row>
    <row r="17" spans="1:11" ht="18" customHeight="1">
      <c r="A17" s="154" t="s">
        <v>184</v>
      </c>
      <c r="B17" s="150" t="s">
        <v>182</v>
      </c>
    </row>
    <row r="18" spans="1:11" ht="18" customHeight="1">
      <c r="A18" s="151" t="s">
        <v>185</v>
      </c>
      <c r="B18" s="155" t="s">
        <v>183</v>
      </c>
      <c r="F18" s="156" t="s">
        <v>73</v>
      </c>
      <c r="G18" s="156" t="s">
        <v>73</v>
      </c>
      <c r="H18" s="157"/>
      <c r="I18" s="158">
        <v>0</v>
      </c>
      <c r="J18" s="157"/>
      <c r="K18" s="159">
        <f>(H18+I18)-J18</f>
        <v>0</v>
      </c>
    </row>
    <row r="19" spans="1:11" ht="45" customHeight="1">
      <c r="A19" s="149" t="s">
        <v>8</v>
      </c>
      <c r="B19" s="148"/>
      <c r="C19" s="148"/>
      <c r="D19" s="148"/>
      <c r="E19" s="148"/>
      <c r="F19" s="153" t="s">
        <v>9</v>
      </c>
      <c r="G19" s="153" t="s">
        <v>37</v>
      </c>
      <c r="H19" s="153" t="s">
        <v>29</v>
      </c>
      <c r="I19" s="153" t="s">
        <v>30</v>
      </c>
      <c r="J19" s="153" t="s">
        <v>33</v>
      </c>
      <c r="K19" s="153" t="s">
        <v>34</v>
      </c>
    </row>
    <row r="20" spans="1:11" ht="18" customHeight="1">
      <c r="A20" s="154" t="s">
        <v>74</v>
      </c>
      <c r="B20" s="150" t="s">
        <v>41</v>
      </c>
    </row>
    <row r="21" spans="1:11" ht="18" customHeight="1">
      <c r="A21" s="151" t="s">
        <v>75</v>
      </c>
      <c r="B21" s="155" t="s">
        <v>42</v>
      </c>
      <c r="F21" s="156">
        <v>4385.7</v>
      </c>
      <c r="G21" s="156">
        <v>43072</v>
      </c>
      <c r="H21" s="157">
        <v>430473</v>
      </c>
      <c r="I21" s="158">
        <v>0</v>
      </c>
      <c r="J21" s="157">
        <v>94560</v>
      </c>
      <c r="K21" s="159">
        <f t="shared" ref="K21:K34" si="0">(H21+I21)-J21</f>
        <v>335913</v>
      </c>
    </row>
    <row r="22" spans="1:11" ht="18" customHeight="1">
      <c r="A22" s="151" t="s">
        <v>76</v>
      </c>
      <c r="B22" s="147" t="s">
        <v>6</v>
      </c>
      <c r="F22" s="156"/>
      <c r="G22" s="156"/>
      <c r="H22" s="157"/>
      <c r="I22" s="158">
        <f t="shared" ref="I22:I34" si="1">H22*F$114</f>
        <v>0</v>
      </c>
      <c r="J22" s="157"/>
      <c r="K22" s="159">
        <f t="shared" si="0"/>
        <v>0</v>
      </c>
    </row>
    <row r="23" spans="1:11" ht="18" customHeight="1">
      <c r="A23" s="151" t="s">
        <v>77</v>
      </c>
      <c r="B23" s="147" t="s">
        <v>43</v>
      </c>
      <c r="F23" s="156"/>
      <c r="G23" s="156"/>
      <c r="H23" s="157"/>
      <c r="I23" s="158">
        <f t="shared" si="1"/>
        <v>0</v>
      </c>
      <c r="J23" s="157"/>
      <c r="K23" s="159">
        <f t="shared" si="0"/>
        <v>0</v>
      </c>
    </row>
    <row r="24" spans="1:11" ht="18" customHeight="1">
      <c r="A24" s="151" t="s">
        <v>78</v>
      </c>
      <c r="B24" s="147" t="s">
        <v>44</v>
      </c>
      <c r="F24" s="156"/>
      <c r="G24" s="156"/>
      <c r="H24" s="157"/>
      <c r="I24" s="158">
        <f t="shared" si="1"/>
        <v>0</v>
      </c>
      <c r="J24" s="157"/>
      <c r="K24" s="159">
        <f t="shared" si="0"/>
        <v>0</v>
      </c>
    </row>
    <row r="25" spans="1:11" ht="18" customHeight="1">
      <c r="A25" s="151" t="s">
        <v>79</v>
      </c>
      <c r="B25" s="147" t="s">
        <v>5</v>
      </c>
      <c r="F25" s="156"/>
      <c r="G25" s="156"/>
      <c r="H25" s="157"/>
      <c r="I25" s="158">
        <f t="shared" si="1"/>
        <v>0</v>
      </c>
      <c r="J25" s="157"/>
      <c r="K25" s="159">
        <f t="shared" si="0"/>
        <v>0</v>
      </c>
    </row>
    <row r="26" spans="1:11" ht="18" customHeight="1">
      <c r="A26" s="151" t="s">
        <v>80</v>
      </c>
      <c r="B26" s="147" t="s">
        <v>45</v>
      </c>
      <c r="F26" s="156"/>
      <c r="G26" s="156"/>
      <c r="H26" s="157"/>
      <c r="I26" s="158">
        <f t="shared" si="1"/>
        <v>0</v>
      </c>
      <c r="J26" s="157"/>
      <c r="K26" s="159">
        <f t="shared" si="0"/>
        <v>0</v>
      </c>
    </row>
    <row r="27" spans="1:11" ht="18" customHeight="1">
      <c r="A27" s="151" t="s">
        <v>81</v>
      </c>
      <c r="B27" s="147" t="s">
        <v>46</v>
      </c>
      <c r="F27" s="156"/>
      <c r="G27" s="156"/>
      <c r="H27" s="157"/>
      <c r="I27" s="158">
        <f t="shared" si="1"/>
        <v>0</v>
      </c>
      <c r="J27" s="157"/>
      <c r="K27" s="159">
        <f t="shared" si="0"/>
        <v>0</v>
      </c>
    </row>
    <row r="28" spans="1:11" ht="18" customHeight="1">
      <c r="A28" s="151" t="s">
        <v>82</v>
      </c>
      <c r="B28" s="147" t="s">
        <v>47</v>
      </c>
      <c r="F28" s="156"/>
      <c r="G28" s="156"/>
      <c r="H28" s="157"/>
      <c r="I28" s="158">
        <f t="shared" si="1"/>
        <v>0</v>
      </c>
      <c r="J28" s="157"/>
      <c r="K28" s="159">
        <f t="shared" si="0"/>
        <v>0</v>
      </c>
    </row>
    <row r="29" spans="1:11" ht="18" customHeight="1">
      <c r="A29" s="151" t="s">
        <v>83</v>
      </c>
      <c r="B29" s="147" t="s">
        <v>48</v>
      </c>
      <c r="F29" s="156"/>
      <c r="G29" s="156">
        <v>522</v>
      </c>
      <c r="H29" s="157"/>
      <c r="I29" s="158">
        <f t="shared" si="1"/>
        <v>0</v>
      </c>
      <c r="J29" s="157"/>
      <c r="K29" s="159">
        <f t="shared" si="0"/>
        <v>0</v>
      </c>
    </row>
    <row r="30" spans="1:11" ht="18" customHeight="1">
      <c r="A30" s="151" t="s">
        <v>84</v>
      </c>
      <c r="B30" s="898"/>
      <c r="C30" s="899"/>
      <c r="D30" s="900"/>
      <c r="F30" s="156"/>
      <c r="G30" s="156"/>
      <c r="H30" s="157"/>
      <c r="I30" s="158">
        <f t="shared" si="1"/>
        <v>0</v>
      </c>
      <c r="J30" s="157"/>
      <c r="K30" s="159">
        <f t="shared" si="0"/>
        <v>0</v>
      </c>
    </row>
    <row r="31" spans="1:11" ht="18" customHeight="1">
      <c r="A31" s="151" t="s">
        <v>133</v>
      </c>
      <c r="B31" s="898"/>
      <c r="C31" s="899"/>
      <c r="D31" s="900"/>
      <c r="F31" s="156"/>
      <c r="G31" s="156"/>
      <c r="H31" s="157"/>
      <c r="I31" s="158">
        <f t="shared" si="1"/>
        <v>0</v>
      </c>
      <c r="J31" s="157"/>
      <c r="K31" s="159">
        <f t="shared" si="0"/>
        <v>0</v>
      </c>
    </row>
    <row r="32" spans="1:11" ht="18" customHeight="1">
      <c r="A32" s="151" t="s">
        <v>134</v>
      </c>
      <c r="B32" s="408"/>
      <c r="C32" s="409"/>
      <c r="D32" s="410"/>
      <c r="F32" s="156"/>
      <c r="G32" s="160" t="s">
        <v>85</v>
      </c>
      <c r="H32" s="157"/>
      <c r="I32" s="158">
        <f t="shared" si="1"/>
        <v>0</v>
      </c>
      <c r="J32" s="157"/>
      <c r="K32" s="159">
        <f t="shared" si="0"/>
        <v>0</v>
      </c>
    </row>
    <row r="33" spans="1:11" ht="18" customHeight="1">
      <c r="A33" s="151" t="s">
        <v>135</v>
      </c>
      <c r="B33" s="408"/>
      <c r="C33" s="409"/>
      <c r="D33" s="410"/>
      <c r="F33" s="156"/>
      <c r="G33" s="160" t="s">
        <v>85</v>
      </c>
      <c r="H33" s="157"/>
      <c r="I33" s="158">
        <f t="shared" si="1"/>
        <v>0</v>
      </c>
      <c r="J33" s="157"/>
      <c r="K33" s="159">
        <f t="shared" si="0"/>
        <v>0</v>
      </c>
    </row>
    <row r="34" spans="1:11" ht="18" customHeight="1">
      <c r="A34" s="151" t="s">
        <v>136</v>
      </c>
      <c r="B34" s="898"/>
      <c r="C34" s="899"/>
      <c r="D34" s="900"/>
      <c r="F34" s="156"/>
      <c r="G34" s="160" t="s">
        <v>85</v>
      </c>
      <c r="H34" s="157"/>
      <c r="I34" s="158">
        <f t="shared" si="1"/>
        <v>0</v>
      </c>
      <c r="J34" s="157"/>
      <c r="K34" s="159">
        <f t="shared" si="0"/>
        <v>0</v>
      </c>
    </row>
    <row r="35" spans="1:11" ht="18" customHeight="1">
      <c r="K35" s="161"/>
    </row>
    <row r="36" spans="1:11" ht="18" customHeight="1">
      <c r="A36" s="154" t="s">
        <v>137</v>
      </c>
      <c r="B36" s="150" t="s">
        <v>138</v>
      </c>
      <c r="E36" s="150" t="s">
        <v>7</v>
      </c>
      <c r="F36" s="162">
        <f t="shared" ref="F36:K36" si="2">SUM(F21:F34)</f>
        <v>4385.7</v>
      </c>
      <c r="G36" s="162">
        <f t="shared" si="2"/>
        <v>43594</v>
      </c>
      <c r="H36" s="162">
        <f t="shared" si="2"/>
        <v>430473</v>
      </c>
      <c r="I36" s="159">
        <f t="shared" si="2"/>
        <v>0</v>
      </c>
      <c r="J36" s="159">
        <f t="shared" si="2"/>
        <v>94560</v>
      </c>
      <c r="K36" s="159">
        <f t="shared" si="2"/>
        <v>335913</v>
      </c>
    </row>
    <row r="37" spans="1:11" ht="18" customHeight="1" thickBot="1">
      <c r="B37" s="150"/>
      <c r="F37" s="163"/>
      <c r="G37" s="163"/>
      <c r="H37" s="164"/>
      <c r="I37" s="164"/>
      <c r="J37" s="164"/>
      <c r="K37" s="165"/>
    </row>
    <row r="38" spans="1:11" ht="42.75" customHeight="1">
      <c r="F38" s="153" t="s">
        <v>9</v>
      </c>
      <c r="G38" s="153" t="s">
        <v>37</v>
      </c>
      <c r="H38" s="153" t="s">
        <v>29</v>
      </c>
      <c r="I38" s="153" t="s">
        <v>30</v>
      </c>
      <c r="J38" s="153" t="s">
        <v>33</v>
      </c>
      <c r="K38" s="153" t="s">
        <v>34</v>
      </c>
    </row>
    <row r="39" spans="1:11" ht="18.75" customHeight="1">
      <c r="A39" s="154" t="s">
        <v>86</v>
      </c>
      <c r="B39" s="150" t="s">
        <v>49</v>
      </c>
    </row>
    <row r="40" spans="1:11" ht="18" customHeight="1">
      <c r="A40" s="151" t="s">
        <v>87</v>
      </c>
      <c r="B40" s="147" t="s">
        <v>31</v>
      </c>
      <c r="F40" s="156"/>
      <c r="G40" s="156"/>
      <c r="H40" s="157"/>
      <c r="I40" s="158">
        <v>0</v>
      </c>
      <c r="J40" s="157"/>
      <c r="K40" s="159">
        <f t="shared" ref="K40:K47" si="3">(H40+I40)-J40</f>
        <v>0</v>
      </c>
    </row>
    <row r="41" spans="1:11" ht="18" customHeight="1">
      <c r="A41" s="151" t="s">
        <v>88</v>
      </c>
      <c r="B41" s="904" t="s">
        <v>50</v>
      </c>
      <c r="C41" s="907"/>
      <c r="F41" s="156"/>
      <c r="G41" s="156"/>
      <c r="H41" s="157"/>
      <c r="I41" s="158">
        <v>0</v>
      </c>
      <c r="J41" s="157"/>
      <c r="K41" s="159">
        <f t="shared" si="3"/>
        <v>0</v>
      </c>
    </row>
    <row r="42" spans="1:11" ht="18" customHeight="1">
      <c r="A42" s="151" t="s">
        <v>89</v>
      </c>
      <c r="B42" s="155" t="s">
        <v>11</v>
      </c>
      <c r="F42" s="156"/>
      <c r="G42" s="156"/>
      <c r="H42" s="157"/>
      <c r="I42" s="158">
        <v>0</v>
      </c>
      <c r="J42" s="157"/>
      <c r="K42" s="159">
        <f t="shared" si="3"/>
        <v>0</v>
      </c>
    </row>
    <row r="43" spans="1:11" ht="18" customHeight="1">
      <c r="A43" s="151" t="s">
        <v>90</v>
      </c>
      <c r="B43" s="166" t="s">
        <v>10</v>
      </c>
      <c r="C43" s="167"/>
      <c r="D43" s="167"/>
      <c r="F43" s="156"/>
      <c r="G43" s="156"/>
      <c r="H43" s="157"/>
      <c r="I43" s="158">
        <v>0</v>
      </c>
      <c r="J43" s="157"/>
      <c r="K43" s="159">
        <f t="shared" si="3"/>
        <v>0</v>
      </c>
    </row>
    <row r="44" spans="1:11" ht="18" customHeight="1">
      <c r="A44" s="151" t="s">
        <v>91</v>
      </c>
      <c r="B44" s="898"/>
      <c r="C44" s="899"/>
      <c r="D44" s="900"/>
      <c r="F44" s="168"/>
      <c r="G44" s="168"/>
      <c r="H44" s="168"/>
      <c r="I44" s="169">
        <v>0</v>
      </c>
      <c r="J44" s="168"/>
      <c r="K44" s="170">
        <f t="shared" si="3"/>
        <v>0</v>
      </c>
    </row>
    <row r="45" spans="1:11" ht="18" customHeight="1">
      <c r="A45" s="151" t="s">
        <v>139</v>
      </c>
      <c r="B45" s="898"/>
      <c r="C45" s="899"/>
      <c r="D45" s="900"/>
      <c r="F45" s="156"/>
      <c r="G45" s="156"/>
      <c r="H45" s="157"/>
      <c r="I45" s="158">
        <v>0</v>
      </c>
      <c r="J45" s="157"/>
      <c r="K45" s="159">
        <f t="shared" si="3"/>
        <v>0</v>
      </c>
    </row>
    <row r="46" spans="1:11" ht="18" customHeight="1">
      <c r="A46" s="151" t="s">
        <v>140</v>
      </c>
      <c r="B46" s="898"/>
      <c r="C46" s="899"/>
      <c r="D46" s="900"/>
      <c r="F46" s="156"/>
      <c r="G46" s="156"/>
      <c r="H46" s="157"/>
      <c r="I46" s="158">
        <v>0</v>
      </c>
      <c r="J46" s="157"/>
      <c r="K46" s="159">
        <f t="shared" si="3"/>
        <v>0</v>
      </c>
    </row>
    <row r="47" spans="1:11" ht="18" customHeight="1">
      <c r="A47" s="151" t="s">
        <v>141</v>
      </c>
      <c r="B47" s="898"/>
      <c r="C47" s="899"/>
      <c r="D47" s="900"/>
      <c r="F47" s="156"/>
      <c r="G47" s="156"/>
      <c r="H47" s="157"/>
      <c r="I47" s="158">
        <v>0</v>
      </c>
      <c r="J47" s="157"/>
      <c r="K47" s="159">
        <f t="shared" si="3"/>
        <v>0</v>
      </c>
    </row>
    <row r="49" spans="1:11" ht="18" customHeight="1">
      <c r="A49" s="154" t="s">
        <v>142</v>
      </c>
      <c r="B49" s="150" t="s">
        <v>143</v>
      </c>
      <c r="E49" s="150" t="s">
        <v>7</v>
      </c>
      <c r="F49" s="171">
        <f t="shared" ref="F49:K49" si="4">SUM(F40:F47)</f>
        <v>0</v>
      </c>
      <c r="G49" s="171">
        <f t="shared" si="4"/>
        <v>0</v>
      </c>
      <c r="H49" s="159">
        <f t="shared" si="4"/>
        <v>0</v>
      </c>
      <c r="I49" s="159">
        <f t="shared" si="4"/>
        <v>0</v>
      </c>
      <c r="J49" s="159">
        <f t="shared" si="4"/>
        <v>0</v>
      </c>
      <c r="K49" s="159">
        <f t="shared" si="4"/>
        <v>0</v>
      </c>
    </row>
    <row r="50" spans="1:11" ht="18" customHeight="1" thickBot="1">
      <c r="G50" s="172"/>
      <c r="H50" s="172"/>
      <c r="I50" s="172"/>
      <c r="J50" s="172"/>
      <c r="K50" s="172"/>
    </row>
    <row r="51" spans="1:11" ht="42.75" customHeight="1">
      <c r="F51" s="153" t="s">
        <v>9</v>
      </c>
      <c r="G51" s="153" t="s">
        <v>37</v>
      </c>
      <c r="H51" s="153" t="s">
        <v>29</v>
      </c>
      <c r="I51" s="153" t="s">
        <v>30</v>
      </c>
      <c r="J51" s="153" t="s">
        <v>33</v>
      </c>
      <c r="K51" s="153" t="s">
        <v>34</v>
      </c>
    </row>
    <row r="52" spans="1:11" ht="18" customHeight="1">
      <c r="A52" s="154" t="s">
        <v>92</v>
      </c>
      <c r="B52" s="905" t="s">
        <v>38</v>
      </c>
      <c r="C52" s="906"/>
    </row>
    <row r="53" spans="1:11" ht="18" customHeight="1">
      <c r="A53" s="151" t="s">
        <v>51</v>
      </c>
      <c r="B53" s="901" t="s">
        <v>433</v>
      </c>
      <c r="C53" s="902"/>
      <c r="D53" s="903"/>
      <c r="F53" s="156"/>
      <c r="G53" s="156"/>
      <c r="H53" s="157">
        <v>504683</v>
      </c>
      <c r="I53" s="158">
        <v>350755</v>
      </c>
      <c r="J53" s="157"/>
      <c r="K53" s="159">
        <f t="shared" ref="K53:K62" si="5">(H53+I53)-J53</f>
        <v>855438</v>
      </c>
    </row>
    <row r="54" spans="1:11" ht="18" customHeight="1">
      <c r="A54" s="151" t="s">
        <v>93</v>
      </c>
      <c r="B54" s="411" t="s">
        <v>434</v>
      </c>
      <c r="C54" s="412"/>
      <c r="D54" s="413"/>
      <c r="F54" s="156"/>
      <c r="G54" s="156"/>
      <c r="H54" s="157">
        <v>823317</v>
      </c>
      <c r="I54" s="158">
        <v>572205</v>
      </c>
      <c r="J54" s="157"/>
      <c r="K54" s="159">
        <f t="shared" si="5"/>
        <v>1395522</v>
      </c>
    </row>
    <row r="55" spans="1:11" ht="18" customHeight="1">
      <c r="A55" s="151" t="s">
        <v>94</v>
      </c>
      <c r="B55" s="901" t="s">
        <v>435</v>
      </c>
      <c r="C55" s="902"/>
      <c r="D55" s="903"/>
      <c r="F55" s="156"/>
      <c r="G55" s="156"/>
      <c r="H55" s="157">
        <v>200000</v>
      </c>
      <c r="I55" s="158">
        <v>139000</v>
      </c>
      <c r="J55" s="157"/>
      <c r="K55" s="159">
        <f t="shared" si="5"/>
        <v>339000</v>
      </c>
    </row>
    <row r="56" spans="1:11" ht="18" customHeight="1">
      <c r="A56" s="151" t="s">
        <v>95</v>
      </c>
      <c r="B56" s="901" t="s">
        <v>869</v>
      </c>
      <c r="C56" s="902"/>
      <c r="D56" s="903"/>
      <c r="F56" s="156"/>
      <c r="G56" s="156"/>
      <c r="H56" s="157"/>
      <c r="I56" s="158">
        <v>108787</v>
      </c>
      <c r="J56" s="157"/>
      <c r="K56" s="159">
        <f t="shared" si="5"/>
        <v>108787</v>
      </c>
    </row>
    <row r="57" spans="1:11" ht="18" customHeight="1">
      <c r="A57" s="151" t="s">
        <v>96</v>
      </c>
      <c r="B57" s="901"/>
      <c r="C57" s="902"/>
      <c r="D57" s="903"/>
      <c r="F57" s="156"/>
      <c r="G57" s="156"/>
      <c r="H57" s="157"/>
      <c r="I57" s="158">
        <v>0</v>
      </c>
      <c r="J57" s="157"/>
      <c r="K57" s="159">
        <f t="shared" si="5"/>
        <v>0</v>
      </c>
    </row>
    <row r="58" spans="1:11" ht="18" customHeight="1">
      <c r="A58" s="151" t="s">
        <v>97</v>
      </c>
      <c r="B58" s="411"/>
      <c r="C58" s="412"/>
      <c r="D58" s="413"/>
      <c r="F58" s="156"/>
      <c r="G58" s="156"/>
      <c r="H58" s="157"/>
      <c r="I58" s="158">
        <v>0</v>
      </c>
      <c r="J58" s="157"/>
      <c r="K58" s="159">
        <f t="shared" si="5"/>
        <v>0</v>
      </c>
    </row>
    <row r="59" spans="1:11" ht="18" customHeight="1">
      <c r="A59" s="151" t="s">
        <v>98</v>
      </c>
      <c r="B59" s="901"/>
      <c r="C59" s="902"/>
      <c r="D59" s="903"/>
      <c r="F59" s="156"/>
      <c r="G59" s="156"/>
      <c r="H59" s="157"/>
      <c r="I59" s="158">
        <v>0</v>
      </c>
      <c r="J59" s="157"/>
      <c r="K59" s="159">
        <f t="shared" si="5"/>
        <v>0</v>
      </c>
    </row>
    <row r="60" spans="1:11" ht="18" customHeight="1">
      <c r="A60" s="151" t="s">
        <v>99</v>
      </c>
      <c r="B60" s="411"/>
      <c r="C60" s="412"/>
      <c r="D60" s="413"/>
      <c r="F60" s="156"/>
      <c r="G60" s="156"/>
      <c r="H60" s="157"/>
      <c r="I60" s="158">
        <v>0</v>
      </c>
      <c r="J60" s="157"/>
      <c r="K60" s="159">
        <f t="shared" si="5"/>
        <v>0</v>
      </c>
    </row>
    <row r="61" spans="1:11" ht="18" customHeight="1">
      <c r="A61" s="151" t="s">
        <v>100</v>
      </c>
      <c r="B61" s="411"/>
      <c r="C61" s="412"/>
      <c r="D61" s="413"/>
      <c r="F61" s="156"/>
      <c r="G61" s="156"/>
      <c r="H61" s="157"/>
      <c r="I61" s="158">
        <v>0</v>
      </c>
      <c r="J61" s="157"/>
      <c r="K61" s="159">
        <f t="shared" si="5"/>
        <v>0</v>
      </c>
    </row>
    <row r="62" spans="1:11" ht="18" customHeight="1">
      <c r="A62" s="151" t="s">
        <v>101</v>
      </c>
      <c r="B62" s="901"/>
      <c r="C62" s="902"/>
      <c r="D62" s="903"/>
      <c r="F62" s="156"/>
      <c r="G62" s="156"/>
      <c r="H62" s="157"/>
      <c r="I62" s="158">
        <v>0</v>
      </c>
      <c r="J62" s="157"/>
      <c r="K62" s="159">
        <f t="shared" si="5"/>
        <v>0</v>
      </c>
    </row>
    <row r="63" spans="1:11" ht="18" customHeight="1">
      <c r="A63" s="151"/>
      <c r="I63" s="173"/>
    </row>
    <row r="64" spans="1:11" ht="18" customHeight="1">
      <c r="A64" s="151" t="s">
        <v>144</v>
      </c>
      <c r="B64" s="150" t="s">
        <v>145</v>
      </c>
      <c r="E64" s="150" t="s">
        <v>7</v>
      </c>
      <c r="F64" s="162">
        <f t="shared" ref="F64:K64" si="6">SUM(F53:F62)</f>
        <v>0</v>
      </c>
      <c r="G64" s="162">
        <f t="shared" si="6"/>
        <v>0</v>
      </c>
      <c r="H64" s="159">
        <f t="shared" si="6"/>
        <v>1528000</v>
      </c>
      <c r="I64" s="159">
        <f t="shared" si="6"/>
        <v>1170747</v>
      </c>
      <c r="J64" s="159">
        <f t="shared" si="6"/>
        <v>0</v>
      </c>
      <c r="K64" s="159">
        <f t="shared" si="6"/>
        <v>2698747</v>
      </c>
    </row>
    <row r="65" spans="1:11" ht="18" customHeight="1">
      <c r="F65" s="174"/>
      <c r="G65" s="174"/>
      <c r="H65" s="174"/>
      <c r="I65" s="174"/>
      <c r="J65" s="174"/>
      <c r="K65" s="174"/>
    </row>
    <row r="66" spans="1:11" ht="42.75" customHeight="1">
      <c r="F66" s="175" t="s">
        <v>9</v>
      </c>
      <c r="G66" s="175" t="s">
        <v>37</v>
      </c>
      <c r="H66" s="175" t="s">
        <v>29</v>
      </c>
      <c r="I66" s="175" t="s">
        <v>30</v>
      </c>
      <c r="J66" s="175" t="s">
        <v>33</v>
      </c>
      <c r="K66" s="175" t="s">
        <v>34</v>
      </c>
    </row>
    <row r="67" spans="1:11" ht="18" customHeight="1">
      <c r="A67" s="154" t="s">
        <v>102</v>
      </c>
      <c r="B67" s="150" t="s">
        <v>12</v>
      </c>
      <c r="F67" s="176"/>
      <c r="G67" s="176"/>
      <c r="H67" s="176"/>
      <c r="I67" s="177"/>
      <c r="J67" s="176"/>
      <c r="K67" s="178"/>
    </row>
    <row r="68" spans="1:11" ht="18" customHeight="1">
      <c r="A68" s="151" t="s">
        <v>103</v>
      </c>
      <c r="B68" s="147" t="s">
        <v>52</v>
      </c>
      <c r="F68" s="179"/>
      <c r="G68" s="179"/>
      <c r="H68" s="179"/>
      <c r="I68" s="158">
        <v>0</v>
      </c>
      <c r="J68" s="179"/>
      <c r="K68" s="159">
        <f>(H68+I68)-J68</f>
        <v>0</v>
      </c>
    </row>
    <row r="69" spans="1:11" ht="18" customHeight="1">
      <c r="A69" s="151" t="s">
        <v>104</v>
      </c>
      <c r="B69" s="155" t="s">
        <v>53</v>
      </c>
      <c r="F69" s="179"/>
      <c r="G69" s="179"/>
      <c r="H69" s="179"/>
      <c r="I69" s="158">
        <v>0</v>
      </c>
      <c r="J69" s="179"/>
      <c r="K69" s="159">
        <f>(H69+I69)-J69</f>
        <v>0</v>
      </c>
    </row>
    <row r="70" spans="1:11" ht="18" customHeight="1">
      <c r="A70" s="151" t="s">
        <v>178</v>
      </c>
      <c r="B70" s="411"/>
      <c r="C70" s="412"/>
      <c r="D70" s="413"/>
      <c r="E70" s="150"/>
      <c r="F70" s="180"/>
      <c r="G70" s="180"/>
      <c r="H70" s="181"/>
      <c r="I70" s="158">
        <v>0</v>
      </c>
      <c r="J70" s="181"/>
      <c r="K70" s="159">
        <f>(H70+I70)-J70</f>
        <v>0</v>
      </c>
    </row>
    <row r="71" spans="1:11" ht="18" customHeight="1">
      <c r="A71" s="151" t="s">
        <v>179</v>
      </c>
      <c r="B71" s="411"/>
      <c r="C71" s="412"/>
      <c r="D71" s="413"/>
      <c r="E71" s="150"/>
      <c r="F71" s="180"/>
      <c r="G71" s="180"/>
      <c r="H71" s="181"/>
      <c r="I71" s="158">
        <v>0</v>
      </c>
      <c r="J71" s="181"/>
      <c r="K71" s="159">
        <f>(H71+I71)-J71</f>
        <v>0</v>
      </c>
    </row>
    <row r="72" spans="1:11" ht="18" customHeight="1">
      <c r="A72" s="151" t="s">
        <v>180</v>
      </c>
      <c r="B72" s="414"/>
      <c r="C72" s="415"/>
      <c r="D72" s="182"/>
      <c r="E72" s="150"/>
      <c r="F72" s="156"/>
      <c r="G72" s="156"/>
      <c r="H72" s="157"/>
      <c r="I72" s="158">
        <v>0</v>
      </c>
      <c r="J72" s="157"/>
      <c r="K72" s="159">
        <f>(H72+I72)-J72</f>
        <v>0</v>
      </c>
    </row>
    <row r="73" spans="1:11" ht="18" customHeight="1">
      <c r="A73" s="151"/>
      <c r="B73" s="155"/>
      <c r="E73" s="150"/>
      <c r="F73" s="183"/>
      <c r="G73" s="183"/>
      <c r="H73" s="184"/>
      <c r="I73" s="177"/>
      <c r="J73" s="184"/>
      <c r="K73" s="178"/>
    </row>
    <row r="74" spans="1:11" ht="18" customHeight="1">
      <c r="A74" s="154" t="s">
        <v>146</v>
      </c>
      <c r="B74" s="150" t="s">
        <v>147</v>
      </c>
      <c r="E74" s="150" t="s">
        <v>7</v>
      </c>
      <c r="F74" s="185">
        <f t="shared" ref="F74:K74" si="7">SUM(F68:F72)</f>
        <v>0</v>
      </c>
      <c r="G74" s="185">
        <f t="shared" si="7"/>
        <v>0</v>
      </c>
      <c r="H74" s="185">
        <f t="shared" si="7"/>
        <v>0</v>
      </c>
      <c r="I74" s="186">
        <f t="shared" si="7"/>
        <v>0</v>
      </c>
      <c r="J74" s="185">
        <f t="shared" si="7"/>
        <v>0</v>
      </c>
      <c r="K74" s="187">
        <f t="shared" si="7"/>
        <v>0</v>
      </c>
    </row>
    <row r="75" spans="1:11" ht="42.75" customHeight="1">
      <c r="F75" s="153" t="s">
        <v>9</v>
      </c>
      <c r="G75" s="153" t="s">
        <v>37</v>
      </c>
      <c r="H75" s="153" t="s">
        <v>29</v>
      </c>
      <c r="I75" s="153" t="s">
        <v>30</v>
      </c>
      <c r="J75" s="153" t="s">
        <v>33</v>
      </c>
      <c r="K75" s="153" t="s">
        <v>34</v>
      </c>
    </row>
    <row r="76" spans="1:11" ht="18" customHeight="1">
      <c r="A76" s="154" t="s">
        <v>105</v>
      </c>
      <c r="B76" s="150" t="s">
        <v>106</v>
      </c>
    </row>
    <row r="77" spans="1:11" ht="18" customHeight="1">
      <c r="A77" s="151" t="s">
        <v>107</v>
      </c>
      <c r="B77" s="155" t="s">
        <v>54</v>
      </c>
      <c r="F77" s="156"/>
      <c r="G77" s="156"/>
      <c r="H77" s="157"/>
      <c r="I77" s="158">
        <v>0</v>
      </c>
      <c r="J77" s="157"/>
      <c r="K77" s="159">
        <f>(H77+I77)-J77</f>
        <v>0</v>
      </c>
    </row>
    <row r="78" spans="1:11" ht="18" customHeight="1">
      <c r="A78" s="151" t="s">
        <v>108</v>
      </c>
      <c r="B78" s="155" t="s">
        <v>55</v>
      </c>
      <c r="F78" s="156"/>
      <c r="G78" s="156"/>
      <c r="H78" s="157"/>
      <c r="I78" s="158">
        <v>0</v>
      </c>
      <c r="J78" s="157"/>
      <c r="K78" s="159">
        <f>(H78+I78)-J78</f>
        <v>0</v>
      </c>
    </row>
    <row r="79" spans="1:11" ht="18" customHeight="1">
      <c r="A79" s="151" t="s">
        <v>109</v>
      </c>
      <c r="B79" s="155" t="s">
        <v>13</v>
      </c>
      <c r="F79" s="156"/>
      <c r="G79" s="156"/>
      <c r="H79" s="157"/>
      <c r="I79" s="158">
        <v>0</v>
      </c>
      <c r="J79" s="157"/>
      <c r="K79" s="159">
        <f>(H79+I79)-J79</f>
        <v>0</v>
      </c>
    </row>
    <row r="80" spans="1:11" ht="18" customHeight="1">
      <c r="A80" s="151" t="s">
        <v>110</v>
      </c>
      <c r="B80" s="155" t="s">
        <v>56</v>
      </c>
      <c r="F80" s="156"/>
      <c r="G80" s="156"/>
      <c r="H80" s="157"/>
      <c r="I80" s="158">
        <v>0</v>
      </c>
      <c r="J80" s="157"/>
      <c r="K80" s="159">
        <f>(H80+I80)-J80</f>
        <v>0</v>
      </c>
    </row>
    <row r="81" spans="1:11" ht="18" customHeight="1">
      <c r="A81" s="151"/>
      <c r="K81" s="188"/>
    </row>
    <row r="82" spans="1:11" ht="18" customHeight="1">
      <c r="A82" s="151" t="s">
        <v>148</v>
      </c>
      <c r="B82" s="150" t="s">
        <v>149</v>
      </c>
      <c r="E82" s="150" t="s">
        <v>7</v>
      </c>
      <c r="F82" s="185">
        <f t="shared" ref="F82:K82" si="8">SUM(F77:F80)</f>
        <v>0</v>
      </c>
      <c r="G82" s="185">
        <f t="shared" si="8"/>
        <v>0</v>
      </c>
      <c r="H82" s="187">
        <f t="shared" si="8"/>
        <v>0</v>
      </c>
      <c r="I82" s="187">
        <f t="shared" si="8"/>
        <v>0</v>
      </c>
      <c r="J82" s="187">
        <f t="shared" si="8"/>
        <v>0</v>
      </c>
      <c r="K82" s="187">
        <f t="shared" si="8"/>
        <v>0</v>
      </c>
    </row>
    <row r="83" spans="1:11" ht="18" customHeight="1" thickBot="1">
      <c r="A83" s="151"/>
      <c r="F83" s="172"/>
      <c r="G83" s="172"/>
      <c r="H83" s="172"/>
      <c r="I83" s="172"/>
      <c r="J83" s="172"/>
      <c r="K83" s="172"/>
    </row>
    <row r="84" spans="1:11" ht="42.75" customHeight="1">
      <c r="F84" s="153" t="s">
        <v>9</v>
      </c>
      <c r="G84" s="153" t="s">
        <v>37</v>
      </c>
      <c r="H84" s="153" t="s">
        <v>29</v>
      </c>
      <c r="I84" s="153" t="s">
        <v>30</v>
      </c>
      <c r="J84" s="153" t="s">
        <v>33</v>
      </c>
      <c r="K84" s="153" t="s">
        <v>34</v>
      </c>
    </row>
    <row r="85" spans="1:11" ht="18" customHeight="1">
      <c r="A85" s="154" t="s">
        <v>111</v>
      </c>
      <c r="B85" s="150" t="s">
        <v>57</v>
      </c>
    </row>
    <row r="86" spans="1:11" ht="18" customHeight="1">
      <c r="A86" s="151" t="s">
        <v>112</v>
      </c>
      <c r="B86" s="155" t="s">
        <v>113</v>
      </c>
      <c r="F86" s="156"/>
      <c r="G86" s="156"/>
      <c r="H86" s="157"/>
      <c r="I86" s="158">
        <f t="shared" ref="I86:I96" si="9">H86*F$114</f>
        <v>0</v>
      </c>
      <c r="J86" s="157"/>
      <c r="K86" s="159">
        <f t="shared" ref="K86:K96" si="10">(H86+I86)-J86</f>
        <v>0</v>
      </c>
    </row>
    <row r="87" spans="1:11" ht="18" customHeight="1">
      <c r="A87" s="151" t="s">
        <v>114</v>
      </c>
      <c r="B87" s="155" t="s">
        <v>14</v>
      </c>
      <c r="F87" s="156"/>
      <c r="G87" s="156"/>
      <c r="H87" s="157"/>
      <c r="I87" s="158">
        <f t="shared" si="9"/>
        <v>0</v>
      </c>
      <c r="J87" s="157"/>
      <c r="K87" s="159">
        <f t="shared" si="10"/>
        <v>0</v>
      </c>
    </row>
    <row r="88" spans="1:11" ht="18" customHeight="1">
      <c r="A88" s="151" t="s">
        <v>115</v>
      </c>
      <c r="B88" s="155" t="s">
        <v>116</v>
      </c>
      <c r="F88" s="156"/>
      <c r="G88" s="156"/>
      <c r="H88" s="157"/>
      <c r="I88" s="158">
        <f t="shared" si="9"/>
        <v>0</v>
      </c>
      <c r="J88" s="157"/>
      <c r="K88" s="159">
        <f t="shared" si="10"/>
        <v>0</v>
      </c>
    </row>
    <row r="89" spans="1:11" ht="18" customHeight="1">
      <c r="A89" s="151" t="s">
        <v>117</v>
      </c>
      <c r="B89" s="155" t="s">
        <v>58</v>
      </c>
      <c r="F89" s="156"/>
      <c r="G89" s="156"/>
      <c r="H89" s="157"/>
      <c r="I89" s="158">
        <f t="shared" si="9"/>
        <v>0</v>
      </c>
      <c r="J89" s="157"/>
      <c r="K89" s="159">
        <f t="shared" si="10"/>
        <v>0</v>
      </c>
    </row>
    <row r="90" spans="1:11" ht="18" customHeight="1">
      <c r="A90" s="151" t="s">
        <v>118</v>
      </c>
      <c r="B90" s="904" t="s">
        <v>59</v>
      </c>
      <c r="C90" s="907"/>
      <c r="F90" s="156"/>
      <c r="G90" s="156"/>
      <c r="H90" s="157"/>
      <c r="I90" s="158">
        <f t="shared" si="9"/>
        <v>0</v>
      </c>
      <c r="J90" s="157"/>
      <c r="K90" s="159">
        <f t="shared" si="10"/>
        <v>0</v>
      </c>
    </row>
    <row r="91" spans="1:11" ht="18" customHeight="1">
      <c r="A91" s="151" t="s">
        <v>119</v>
      </c>
      <c r="B91" s="155" t="s">
        <v>60</v>
      </c>
      <c r="F91" s="156"/>
      <c r="G91" s="156"/>
      <c r="H91" s="157"/>
      <c r="I91" s="158">
        <f t="shared" si="9"/>
        <v>0</v>
      </c>
      <c r="J91" s="157"/>
      <c r="K91" s="159">
        <f t="shared" si="10"/>
        <v>0</v>
      </c>
    </row>
    <row r="92" spans="1:11" ht="18" customHeight="1">
      <c r="A92" s="151" t="s">
        <v>120</v>
      </c>
      <c r="B92" s="155" t="s">
        <v>121</v>
      </c>
      <c r="F92" s="189"/>
      <c r="G92" s="189"/>
      <c r="H92" s="190"/>
      <c r="I92" s="158">
        <f t="shared" si="9"/>
        <v>0</v>
      </c>
      <c r="J92" s="190"/>
      <c r="K92" s="159">
        <f t="shared" si="10"/>
        <v>0</v>
      </c>
    </row>
    <row r="93" spans="1:11" ht="18" customHeight="1">
      <c r="A93" s="151" t="s">
        <v>122</v>
      </c>
      <c r="B93" s="155" t="s">
        <v>123</v>
      </c>
      <c r="F93" s="156"/>
      <c r="G93" s="156"/>
      <c r="H93" s="157"/>
      <c r="I93" s="158">
        <f t="shared" si="9"/>
        <v>0</v>
      </c>
      <c r="J93" s="157"/>
      <c r="K93" s="159">
        <f t="shared" si="10"/>
        <v>0</v>
      </c>
    </row>
    <row r="94" spans="1:11" ht="18" customHeight="1">
      <c r="A94" s="151" t="s">
        <v>124</v>
      </c>
      <c r="B94" s="901"/>
      <c r="C94" s="902"/>
      <c r="D94" s="903"/>
      <c r="F94" s="156"/>
      <c r="G94" s="156"/>
      <c r="H94" s="157"/>
      <c r="I94" s="158">
        <f t="shared" si="9"/>
        <v>0</v>
      </c>
      <c r="J94" s="157"/>
      <c r="K94" s="159">
        <f t="shared" si="10"/>
        <v>0</v>
      </c>
    </row>
    <row r="95" spans="1:11" ht="18" customHeight="1">
      <c r="A95" s="151" t="s">
        <v>125</v>
      </c>
      <c r="B95" s="901"/>
      <c r="C95" s="902"/>
      <c r="D95" s="903"/>
      <c r="F95" s="156"/>
      <c r="G95" s="156"/>
      <c r="H95" s="157"/>
      <c r="I95" s="158">
        <f t="shared" si="9"/>
        <v>0</v>
      </c>
      <c r="J95" s="157"/>
      <c r="K95" s="159">
        <f t="shared" si="10"/>
        <v>0</v>
      </c>
    </row>
    <row r="96" spans="1:11" ht="18" customHeight="1">
      <c r="A96" s="151" t="s">
        <v>126</v>
      </c>
      <c r="B96" s="901"/>
      <c r="C96" s="902"/>
      <c r="D96" s="903"/>
      <c r="F96" s="156"/>
      <c r="G96" s="156"/>
      <c r="H96" s="157"/>
      <c r="I96" s="158">
        <f t="shared" si="9"/>
        <v>0</v>
      </c>
      <c r="J96" s="157"/>
      <c r="K96" s="159">
        <f t="shared" si="10"/>
        <v>0</v>
      </c>
    </row>
    <row r="97" spans="1:11" ht="18" customHeight="1">
      <c r="A97" s="151"/>
      <c r="B97" s="155"/>
    </row>
    <row r="98" spans="1:11" ht="18" customHeight="1">
      <c r="A98" s="154" t="s">
        <v>150</v>
      </c>
      <c r="B98" s="150" t="s">
        <v>151</v>
      </c>
      <c r="E98" s="150" t="s">
        <v>7</v>
      </c>
      <c r="F98" s="162">
        <f t="shared" ref="F98:K98" si="11">SUM(F86:F96)</f>
        <v>0</v>
      </c>
      <c r="G98" s="162">
        <f t="shared" si="11"/>
        <v>0</v>
      </c>
      <c r="H98" s="162">
        <f t="shared" si="11"/>
        <v>0</v>
      </c>
      <c r="I98" s="162">
        <f t="shared" si="11"/>
        <v>0</v>
      </c>
      <c r="J98" s="162">
        <f t="shared" si="11"/>
        <v>0</v>
      </c>
      <c r="K98" s="162">
        <f t="shared" si="11"/>
        <v>0</v>
      </c>
    </row>
    <row r="99" spans="1:11" ht="18" customHeight="1" thickBot="1">
      <c r="B99" s="150"/>
      <c r="F99" s="172"/>
      <c r="G99" s="172"/>
      <c r="H99" s="172"/>
      <c r="I99" s="172"/>
      <c r="J99" s="172"/>
      <c r="K99" s="172"/>
    </row>
    <row r="100" spans="1:11" ht="42.75" customHeight="1">
      <c r="F100" s="153" t="s">
        <v>9</v>
      </c>
      <c r="G100" s="153" t="s">
        <v>37</v>
      </c>
      <c r="H100" s="153" t="s">
        <v>29</v>
      </c>
      <c r="I100" s="153" t="s">
        <v>30</v>
      </c>
      <c r="J100" s="153" t="s">
        <v>33</v>
      </c>
      <c r="K100" s="153" t="s">
        <v>34</v>
      </c>
    </row>
    <row r="101" spans="1:11" ht="18" customHeight="1">
      <c r="A101" s="154" t="s">
        <v>130</v>
      </c>
      <c r="B101" s="150" t="s">
        <v>63</v>
      </c>
    </row>
    <row r="102" spans="1:11" ht="18" customHeight="1">
      <c r="A102" s="151" t="s">
        <v>131</v>
      </c>
      <c r="B102" s="155" t="s">
        <v>152</v>
      </c>
      <c r="F102" s="156">
        <v>786.6</v>
      </c>
      <c r="G102" s="156"/>
      <c r="H102" s="157">
        <v>46764</v>
      </c>
      <c r="I102" s="158">
        <v>32499</v>
      </c>
      <c r="J102" s="157"/>
      <c r="K102" s="159">
        <f>(H102+I102)-J102</f>
        <v>79263</v>
      </c>
    </row>
    <row r="103" spans="1:11" ht="18" customHeight="1">
      <c r="A103" s="151" t="s">
        <v>132</v>
      </c>
      <c r="B103" s="904" t="s">
        <v>62</v>
      </c>
      <c r="C103" s="904"/>
      <c r="F103" s="156">
        <v>3</v>
      </c>
      <c r="G103" s="156"/>
      <c r="H103" s="157">
        <v>25180</v>
      </c>
      <c r="I103" s="158">
        <v>126</v>
      </c>
      <c r="J103" s="157"/>
      <c r="K103" s="159">
        <f>(H103+I103)-J103</f>
        <v>25306</v>
      </c>
    </row>
    <row r="104" spans="1:11" ht="18" customHeight="1">
      <c r="A104" s="151" t="s">
        <v>128</v>
      </c>
      <c r="B104" s="901" t="s">
        <v>496</v>
      </c>
      <c r="C104" s="902"/>
      <c r="D104" s="903"/>
      <c r="F104" s="156"/>
      <c r="G104" s="156"/>
      <c r="H104" s="157">
        <v>567</v>
      </c>
      <c r="I104" s="158">
        <f>H104*F$114</f>
        <v>0</v>
      </c>
      <c r="J104" s="157"/>
      <c r="K104" s="159">
        <f>(H104+I104)-J104</f>
        <v>567</v>
      </c>
    </row>
    <row r="105" spans="1:11" ht="18" customHeight="1">
      <c r="A105" s="151" t="s">
        <v>127</v>
      </c>
      <c r="B105" s="901"/>
      <c r="C105" s="902"/>
      <c r="D105" s="903"/>
      <c r="F105" s="156"/>
      <c r="G105" s="156"/>
      <c r="H105" s="157"/>
      <c r="I105" s="158">
        <f>H105*F$114</f>
        <v>0</v>
      </c>
      <c r="J105" s="157"/>
      <c r="K105" s="159">
        <f>(H105+I105)-J105</f>
        <v>0</v>
      </c>
    </row>
    <row r="106" spans="1:11" ht="18" customHeight="1">
      <c r="A106" s="151" t="s">
        <v>129</v>
      </c>
      <c r="B106" s="901"/>
      <c r="C106" s="902"/>
      <c r="D106" s="903"/>
      <c r="F106" s="156"/>
      <c r="G106" s="156"/>
      <c r="H106" s="157"/>
      <c r="I106" s="158">
        <f>H106*F$114</f>
        <v>0</v>
      </c>
      <c r="J106" s="157"/>
      <c r="K106" s="159">
        <f>(H106+I106)-J106</f>
        <v>0</v>
      </c>
    </row>
    <row r="107" spans="1:11" ht="18" customHeight="1">
      <c r="B107" s="150"/>
    </row>
    <row r="108" spans="1:11" s="167" customFormat="1" ht="18" customHeight="1">
      <c r="A108" s="154" t="s">
        <v>153</v>
      </c>
      <c r="B108" s="191" t="s">
        <v>154</v>
      </c>
      <c r="C108" s="147"/>
      <c r="D108" s="147"/>
      <c r="E108" s="150" t="s">
        <v>7</v>
      </c>
      <c r="F108" s="162">
        <f t="shared" ref="F108:K108" si="12">SUM(F102:F106)</f>
        <v>789.6</v>
      </c>
      <c r="G108" s="162">
        <f t="shared" si="12"/>
        <v>0</v>
      </c>
      <c r="H108" s="159">
        <f t="shared" si="12"/>
        <v>72511</v>
      </c>
      <c r="I108" s="159">
        <f t="shared" si="12"/>
        <v>32625</v>
      </c>
      <c r="J108" s="159">
        <f t="shared" si="12"/>
        <v>0</v>
      </c>
      <c r="K108" s="159">
        <f t="shared" si="12"/>
        <v>105136</v>
      </c>
    </row>
    <row r="109" spans="1:11" s="167" customFormat="1" ht="18" customHeight="1" thickBot="1">
      <c r="A109" s="192"/>
      <c r="B109" s="193"/>
      <c r="C109" s="194"/>
      <c r="D109" s="194"/>
      <c r="E109" s="194"/>
      <c r="F109" s="172"/>
      <c r="G109" s="172"/>
      <c r="H109" s="172"/>
      <c r="I109" s="172"/>
      <c r="J109" s="172"/>
      <c r="K109" s="172"/>
    </row>
    <row r="110" spans="1:11" s="167" customFormat="1" ht="18" customHeight="1">
      <c r="A110" s="154" t="s">
        <v>156</v>
      </c>
      <c r="B110" s="150" t="s">
        <v>39</v>
      </c>
      <c r="C110" s="147"/>
      <c r="D110" s="147"/>
      <c r="E110" s="147"/>
      <c r="F110" s="147"/>
      <c r="G110" s="147"/>
      <c r="H110" s="147"/>
      <c r="I110" s="147"/>
      <c r="J110" s="147"/>
      <c r="K110" s="147"/>
    </row>
    <row r="111" spans="1:11" ht="18" customHeight="1">
      <c r="A111" s="154" t="s">
        <v>155</v>
      </c>
      <c r="B111" s="150" t="s">
        <v>164</v>
      </c>
      <c r="E111" s="150" t="s">
        <v>7</v>
      </c>
      <c r="F111" s="157">
        <v>2108744.4900000002</v>
      </c>
    </row>
    <row r="112" spans="1:11" ht="18" customHeight="1">
      <c r="B112" s="150"/>
      <c r="E112" s="150"/>
      <c r="F112" s="195"/>
    </row>
    <row r="113" spans="1:6" ht="18" customHeight="1">
      <c r="A113" s="154"/>
      <c r="B113" s="150" t="s">
        <v>15</v>
      </c>
    </row>
    <row r="114" spans="1:6" ht="18" customHeight="1">
      <c r="A114" s="151" t="s">
        <v>171</v>
      </c>
      <c r="B114" s="155" t="s">
        <v>35</v>
      </c>
      <c r="F114" s="196"/>
    </row>
    <row r="115" spans="1:6" ht="18" customHeight="1">
      <c r="A115" s="151"/>
      <c r="B115" s="150"/>
    </row>
    <row r="116" spans="1:6" ht="18" customHeight="1">
      <c r="A116" s="151" t="s">
        <v>170</v>
      </c>
      <c r="B116" s="150" t="s">
        <v>16</v>
      </c>
    </row>
    <row r="117" spans="1:6" ht="18" customHeight="1">
      <c r="A117" s="151" t="s">
        <v>172</v>
      </c>
      <c r="B117" s="155" t="s">
        <v>17</v>
      </c>
      <c r="F117" s="157">
        <v>36159756.850000001</v>
      </c>
    </row>
    <row r="118" spans="1:6" ht="18" customHeight="1">
      <c r="A118" s="151" t="s">
        <v>173</v>
      </c>
      <c r="B118" s="147" t="s">
        <v>18</v>
      </c>
      <c r="F118" s="157">
        <v>774972.17</v>
      </c>
    </row>
    <row r="119" spans="1:6" ht="18" customHeight="1">
      <c r="A119" s="151" t="s">
        <v>174</v>
      </c>
      <c r="B119" s="150" t="s">
        <v>19</v>
      </c>
      <c r="F119" s="187">
        <f>SUM(F117:F118)</f>
        <v>36934729.020000003</v>
      </c>
    </row>
    <row r="120" spans="1:6" ht="18" customHeight="1">
      <c r="A120" s="151"/>
      <c r="B120" s="150"/>
    </row>
    <row r="121" spans="1:6" ht="18" customHeight="1">
      <c r="A121" s="151" t="s">
        <v>167</v>
      </c>
      <c r="B121" s="150" t="s">
        <v>36</v>
      </c>
      <c r="F121" s="157">
        <v>68283992.670000002</v>
      </c>
    </row>
    <row r="122" spans="1:6" ht="18" customHeight="1">
      <c r="A122" s="151"/>
    </row>
    <row r="123" spans="1:6" ht="18" customHeight="1">
      <c r="A123" s="151" t="s">
        <v>175</v>
      </c>
      <c r="B123" s="150" t="s">
        <v>20</v>
      </c>
      <c r="F123" s="157">
        <v>-31349263.649999999</v>
      </c>
    </row>
    <row r="124" spans="1:6" ht="18" customHeight="1">
      <c r="A124" s="151"/>
    </row>
    <row r="125" spans="1:6" ht="18" customHeight="1">
      <c r="A125" s="151" t="s">
        <v>176</v>
      </c>
      <c r="B125" s="150" t="s">
        <v>21</v>
      </c>
      <c r="F125" s="157">
        <v>-142226.66</v>
      </c>
    </row>
    <row r="126" spans="1:6" ht="18" customHeight="1">
      <c r="A126" s="151"/>
    </row>
    <row r="127" spans="1:6" ht="18" customHeight="1">
      <c r="A127" s="151" t="s">
        <v>177</v>
      </c>
      <c r="B127" s="150" t="s">
        <v>22</v>
      </c>
      <c r="F127" s="157">
        <v>-31491490.309999999</v>
      </c>
    </row>
    <row r="128" spans="1:6" ht="18" customHeight="1">
      <c r="A128" s="151"/>
    </row>
    <row r="129" spans="1:11" ht="42.75" customHeight="1">
      <c r="F129" s="153" t="s">
        <v>9</v>
      </c>
      <c r="G129" s="153" t="s">
        <v>37</v>
      </c>
      <c r="H129" s="153" t="s">
        <v>29</v>
      </c>
      <c r="I129" s="153" t="s">
        <v>30</v>
      </c>
      <c r="J129" s="153" t="s">
        <v>33</v>
      </c>
      <c r="K129" s="153" t="s">
        <v>34</v>
      </c>
    </row>
    <row r="130" spans="1:11" ht="18" customHeight="1">
      <c r="A130" s="154" t="s">
        <v>157</v>
      </c>
      <c r="B130" s="150" t="s">
        <v>23</v>
      </c>
    </row>
    <row r="131" spans="1:11" ht="18" customHeight="1">
      <c r="A131" s="151" t="s">
        <v>158</v>
      </c>
      <c r="B131" s="147" t="s">
        <v>24</v>
      </c>
      <c r="F131" s="156"/>
      <c r="G131" s="156"/>
      <c r="H131" s="157"/>
      <c r="I131" s="158">
        <v>0</v>
      </c>
      <c r="J131" s="157"/>
      <c r="K131" s="159">
        <f>(H131+I131)-J131</f>
        <v>0</v>
      </c>
    </row>
    <row r="132" spans="1:11" ht="18" customHeight="1">
      <c r="A132" s="151" t="s">
        <v>159</v>
      </c>
      <c r="B132" s="147" t="s">
        <v>25</v>
      </c>
      <c r="F132" s="156"/>
      <c r="G132" s="156"/>
      <c r="H132" s="157"/>
      <c r="I132" s="158">
        <v>0</v>
      </c>
      <c r="J132" s="157"/>
      <c r="K132" s="159">
        <f>(H132+I132)-J132</f>
        <v>0</v>
      </c>
    </row>
    <row r="133" spans="1:11" ht="18" customHeight="1">
      <c r="A133" s="151" t="s">
        <v>160</v>
      </c>
      <c r="B133" s="898"/>
      <c r="C133" s="899"/>
      <c r="D133" s="900"/>
      <c r="F133" s="156"/>
      <c r="G133" s="156"/>
      <c r="H133" s="157"/>
      <c r="I133" s="158">
        <v>0</v>
      </c>
      <c r="J133" s="157"/>
      <c r="K133" s="159">
        <f>(H133+I133)-J133</f>
        <v>0</v>
      </c>
    </row>
    <row r="134" spans="1:11" ht="18" customHeight="1">
      <c r="A134" s="151" t="s">
        <v>161</v>
      </c>
      <c r="B134" s="898"/>
      <c r="C134" s="899"/>
      <c r="D134" s="900"/>
      <c r="F134" s="156"/>
      <c r="G134" s="156"/>
      <c r="H134" s="157"/>
      <c r="I134" s="158">
        <v>0</v>
      </c>
      <c r="J134" s="157"/>
      <c r="K134" s="159">
        <f>(H134+I134)-J134</f>
        <v>0</v>
      </c>
    </row>
    <row r="135" spans="1:11" ht="18" customHeight="1">
      <c r="A135" s="151" t="s">
        <v>162</v>
      </c>
      <c r="B135" s="898"/>
      <c r="C135" s="899"/>
      <c r="D135" s="900"/>
      <c r="F135" s="156"/>
      <c r="G135" s="156"/>
      <c r="H135" s="157"/>
      <c r="I135" s="158">
        <v>0</v>
      </c>
      <c r="J135" s="157"/>
      <c r="K135" s="159">
        <f>(H135+I135)-J135</f>
        <v>0</v>
      </c>
    </row>
    <row r="136" spans="1:11" ht="18" customHeight="1">
      <c r="A136" s="154"/>
    </row>
    <row r="137" spans="1:11" ht="18" customHeight="1">
      <c r="A137" s="154" t="s">
        <v>163</v>
      </c>
      <c r="B137" s="150" t="s">
        <v>27</v>
      </c>
      <c r="F137" s="162">
        <f t="shared" ref="F137:K137" si="13">SUM(F131:F135)</f>
        <v>0</v>
      </c>
      <c r="G137" s="162">
        <f t="shared" si="13"/>
        <v>0</v>
      </c>
      <c r="H137" s="159">
        <f t="shared" si="13"/>
        <v>0</v>
      </c>
      <c r="I137" s="159">
        <f t="shared" si="13"/>
        <v>0</v>
      </c>
      <c r="J137" s="159">
        <f t="shared" si="13"/>
        <v>0</v>
      </c>
      <c r="K137" s="159">
        <f t="shared" si="13"/>
        <v>0</v>
      </c>
    </row>
    <row r="138" spans="1:11" ht="18" customHeight="1">
      <c r="A138" s="147"/>
    </row>
    <row r="139" spans="1:11" ht="42.75" customHeight="1">
      <c r="F139" s="153" t="s">
        <v>9</v>
      </c>
      <c r="G139" s="153" t="s">
        <v>37</v>
      </c>
      <c r="H139" s="153" t="s">
        <v>29</v>
      </c>
      <c r="I139" s="153" t="s">
        <v>30</v>
      </c>
      <c r="J139" s="153" t="s">
        <v>33</v>
      </c>
      <c r="K139" s="153" t="s">
        <v>34</v>
      </c>
    </row>
    <row r="140" spans="1:11" ht="18" customHeight="1">
      <c r="A140" s="154" t="s">
        <v>166</v>
      </c>
      <c r="B140" s="150" t="s">
        <v>26</v>
      </c>
    </row>
    <row r="141" spans="1:11" ht="18" customHeight="1">
      <c r="A141" s="151" t="s">
        <v>137</v>
      </c>
      <c r="B141" s="150" t="s">
        <v>64</v>
      </c>
      <c r="F141" s="197">
        <f t="shared" ref="F141:K141" si="14">F36</f>
        <v>4385.7</v>
      </c>
      <c r="G141" s="197">
        <f t="shared" si="14"/>
        <v>43594</v>
      </c>
      <c r="H141" s="197">
        <f t="shared" si="14"/>
        <v>430473</v>
      </c>
      <c r="I141" s="197">
        <f t="shared" si="14"/>
        <v>0</v>
      </c>
      <c r="J141" s="197">
        <f t="shared" si="14"/>
        <v>94560</v>
      </c>
      <c r="K141" s="197">
        <f t="shared" si="14"/>
        <v>335913</v>
      </c>
    </row>
    <row r="142" spans="1:11" ht="18" customHeight="1">
      <c r="A142" s="151" t="s">
        <v>142</v>
      </c>
      <c r="B142" s="150" t="s">
        <v>65</v>
      </c>
      <c r="F142" s="197">
        <f t="shared" ref="F142:K142" si="15">F49</f>
        <v>0</v>
      </c>
      <c r="G142" s="197">
        <f t="shared" si="15"/>
        <v>0</v>
      </c>
      <c r="H142" s="197">
        <f t="shared" si="15"/>
        <v>0</v>
      </c>
      <c r="I142" s="197">
        <f t="shared" si="15"/>
        <v>0</v>
      </c>
      <c r="J142" s="197">
        <f t="shared" si="15"/>
        <v>0</v>
      </c>
      <c r="K142" s="197">
        <f t="shared" si="15"/>
        <v>0</v>
      </c>
    </row>
    <row r="143" spans="1:11" ht="18" customHeight="1">
      <c r="A143" s="151" t="s">
        <v>144</v>
      </c>
      <c r="B143" s="150" t="s">
        <v>66</v>
      </c>
      <c r="F143" s="197">
        <f t="shared" ref="F143:K143" si="16">F64</f>
        <v>0</v>
      </c>
      <c r="G143" s="197">
        <f t="shared" si="16"/>
        <v>0</v>
      </c>
      <c r="H143" s="197">
        <f t="shared" si="16"/>
        <v>1528000</v>
      </c>
      <c r="I143" s="197">
        <f t="shared" si="16"/>
        <v>1170747</v>
      </c>
      <c r="J143" s="197">
        <f t="shared" si="16"/>
        <v>0</v>
      </c>
      <c r="K143" s="197">
        <f t="shared" si="16"/>
        <v>2698747</v>
      </c>
    </row>
    <row r="144" spans="1:11" ht="18" customHeight="1">
      <c r="A144" s="151" t="s">
        <v>146</v>
      </c>
      <c r="B144" s="150" t="s">
        <v>67</v>
      </c>
      <c r="F144" s="197">
        <f t="shared" ref="F144:K144" si="17">F74</f>
        <v>0</v>
      </c>
      <c r="G144" s="197">
        <f t="shared" si="17"/>
        <v>0</v>
      </c>
      <c r="H144" s="197">
        <f t="shared" si="17"/>
        <v>0</v>
      </c>
      <c r="I144" s="197">
        <f t="shared" si="17"/>
        <v>0</v>
      </c>
      <c r="J144" s="197">
        <f t="shared" si="17"/>
        <v>0</v>
      </c>
      <c r="K144" s="197">
        <f t="shared" si="17"/>
        <v>0</v>
      </c>
    </row>
    <row r="145" spans="1:11" ht="18" customHeight="1">
      <c r="A145" s="151" t="s">
        <v>148</v>
      </c>
      <c r="B145" s="150" t="s">
        <v>68</v>
      </c>
      <c r="F145" s="197">
        <f t="shared" ref="F145:K145" si="18">F82</f>
        <v>0</v>
      </c>
      <c r="G145" s="197">
        <f t="shared" si="18"/>
        <v>0</v>
      </c>
      <c r="H145" s="197">
        <f t="shared" si="18"/>
        <v>0</v>
      </c>
      <c r="I145" s="197">
        <f t="shared" si="18"/>
        <v>0</v>
      </c>
      <c r="J145" s="197">
        <f t="shared" si="18"/>
        <v>0</v>
      </c>
      <c r="K145" s="197">
        <f t="shared" si="18"/>
        <v>0</v>
      </c>
    </row>
    <row r="146" spans="1:11" ht="18" customHeight="1">
      <c r="A146" s="151" t="s">
        <v>150</v>
      </c>
      <c r="B146" s="150" t="s">
        <v>69</v>
      </c>
      <c r="F146" s="197">
        <f t="shared" ref="F146:K146" si="19">F98</f>
        <v>0</v>
      </c>
      <c r="G146" s="197">
        <f t="shared" si="19"/>
        <v>0</v>
      </c>
      <c r="H146" s="197">
        <f t="shared" si="19"/>
        <v>0</v>
      </c>
      <c r="I146" s="197">
        <f t="shared" si="19"/>
        <v>0</v>
      </c>
      <c r="J146" s="197">
        <f t="shared" si="19"/>
        <v>0</v>
      </c>
      <c r="K146" s="197">
        <f t="shared" si="19"/>
        <v>0</v>
      </c>
    </row>
    <row r="147" spans="1:11" ht="18" customHeight="1">
      <c r="A147" s="151" t="s">
        <v>153</v>
      </c>
      <c r="B147" s="150" t="s">
        <v>61</v>
      </c>
      <c r="F147" s="162">
        <f t="shared" ref="F147:K147" si="20">F108</f>
        <v>789.6</v>
      </c>
      <c r="G147" s="162">
        <f t="shared" si="20"/>
        <v>0</v>
      </c>
      <c r="H147" s="162">
        <f t="shared" si="20"/>
        <v>72511</v>
      </c>
      <c r="I147" s="162">
        <f t="shared" si="20"/>
        <v>32625</v>
      </c>
      <c r="J147" s="162">
        <f t="shared" si="20"/>
        <v>0</v>
      </c>
      <c r="K147" s="162">
        <f t="shared" si="20"/>
        <v>105136</v>
      </c>
    </row>
    <row r="148" spans="1:11" ht="18" customHeight="1">
      <c r="A148" s="151" t="s">
        <v>155</v>
      </c>
      <c r="B148" s="150" t="s">
        <v>70</v>
      </c>
      <c r="F148" s="198" t="s">
        <v>73</v>
      </c>
      <c r="G148" s="198" t="s">
        <v>73</v>
      </c>
      <c r="H148" s="199" t="s">
        <v>73</v>
      </c>
      <c r="I148" s="199" t="s">
        <v>73</v>
      </c>
      <c r="J148" s="199" t="s">
        <v>73</v>
      </c>
      <c r="K148" s="200">
        <f>F111</f>
        <v>2108744.4900000002</v>
      </c>
    </row>
    <row r="149" spans="1:11" ht="18" customHeight="1">
      <c r="A149" s="151" t="s">
        <v>163</v>
      </c>
      <c r="B149" s="150" t="s">
        <v>71</v>
      </c>
      <c r="F149" s="162">
        <f t="shared" ref="F149:K149" si="21">F137</f>
        <v>0</v>
      </c>
      <c r="G149" s="162">
        <f t="shared" si="21"/>
        <v>0</v>
      </c>
      <c r="H149" s="162">
        <f t="shared" si="21"/>
        <v>0</v>
      </c>
      <c r="I149" s="162">
        <f t="shared" si="21"/>
        <v>0</v>
      </c>
      <c r="J149" s="162">
        <f t="shared" si="21"/>
        <v>0</v>
      </c>
      <c r="K149" s="162">
        <f t="shared" si="21"/>
        <v>0</v>
      </c>
    </row>
    <row r="150" spans="1:11" ht="18" customHeight="1">
      <c r="A150" s="151" t="s">
        <v>185</v>
      </c>
      <c r="B150" s="150" t="s">
        <v>186</v>
      </c>
      <c r="F150" s="198" t="s">
        <v>73</v>
      </c>
      <c r="G150" s="198" t="s">
        <v>73</v>
      </c>
      <c r="H150" s="162">
        <f>H18</f>
        <v>0</v>
      </c>
      <c r="I150" s="162">
        <f>I18</f>
        <v>0</v>
      </c>
      <c r="J150" s="162">
        <f>J18</f>
        <v>0</v>
      </c>
      <c r="K150" s="162">
        <f>K18</f>
        <v>0</v>
      </c>
    </row>
    <row r="151" spans="1:11" ht="18" customHeight="1">
      <c r="B151" s="150"/>
      <c r="F151" s="174"/>
      <c r="G151" s="174"/>
      <c r="H151" s="174"/>
      <c r="I151" s="174"/>
      <c r="J151" s="174"/>
      <c r="K151" s="174"/>
    </row>
    <row r="152" spans="1:11" ht="18" customHeight="1">
      <c r="A152" s="154" t="s">
        <v>165</v>
      </c>
      <c r="B152" s="150" t="s">
        <v>26</v>
      </c>
      <c r="F152" s="201">
        <f t="shared" ref="F152:K152" si="22">SUM(F141:F150)</f>
        <v>5175.3</v>
      </c>
      <c r="G152" s="201">
        <f t="shared" si="22"/>
        <v>43594</v>
      </c>
      <c r="H152" s="201">
        <f t="shared" si="22"/>
        <v>2030984</v>
      </c>
      <c r="I152" s="201">
        <f t="shared" si="22"/>
        <v>1203372</v>
      </c>
      <c r="J152" s="201">
        <f t="shared" si="22"/>
        <v>94560</v>
      </c>
      <c r="K152" s="201">
        <f t="shared" si="22"/>
        <v>5248540.49</v>
      </c>
    </row>
    <row r="154" spans="1:11" ht="18" customHeight="1">
      <c r="A154" s="154" t="s">
        <v>168</v>
      </c>
      <c r="B154" s="150" t="s">
        <v>28</v>
      </c>
      <c r="F154" s="53">
        <f>K152/F121</f>
        <v>7.6863409486977799E-2</v>
      </c>
    </row>
    <row r="155" spans="1:11" ht="18" customHeight="1">
      <c r="A155" s="154" t="s">
        <v>169</v>
      </c>
      <c r="B155" s="150" t="s">
        <v>72</v>
      </c>
      <c r="F155" s="53">
        <f>K152/F127</f>
        <v>-0.16666535747701172</v>
      </c>
      <c r="G155" s="150"/>
    </row>
    <row r="156" spans="1:11" ht="18" customHeight="1">
      <c r="G156" s="150"/>
    </row>
  </sheetData>
  <sheetProtection algorithmName="SHA-512" hashValue="iVvdvBFvLJrCQayOzWBOnlmmkvSOlg0vsuWfxw4ykvUWsRMIU69Eos4F9LU4n3blGdfrud4L5z60Zw6vfmvLvQ==" saltValue="dNfDTr1s26G+Dg2uXX89nw==" spinCount="100000" sheet="1" objects="1" scenarios="1"/>
  <mergeCells count="34">
    <mergeCell ref="B106:D106"/>
    <mergeCell ref="B133:D133"/>
    <mergeCell ref="B134:D134"/>
    <mergeCell ref="B135:D135"/>
    <mergeCell ref="B94:D94"/>
    <mergeCell ref="B95:D95"/>
    <mergeCell ref="B96:D96"/>
    <mergeCell ref="B103:C103"/>
    <mergeCell ref="B104:D104"/>
    <mergeCell ref="B105:D105"/>
    <mergeCell ref="B90:C90"/>
    <mergeCell ref="B44:D44"/>
    <mergeCell ref="B45:D45"/>
    <mergeCell ref="B46:D46"/>
    <mergeCell ref="B47:D47"/>
    <mergeCell ref="B52:C52"/>
    <mergeCell ref="B53:D53"/>
    <mergeCell ref="B55:D55"/>
    <mergeCell ref="B56:D56"/>
    <mergeCell ref="B57:D57"/>
    <mergeCell ref="B59:D59"/>
    <mergeCell ref="B62:D62"/>
    <mergeCell ref="B41:C41"/>
    <mergeCell ref="D2:H2"/>
    <mergeCell ref="C5:G5"/>
    <mergeCell ref="C6:G6"/>
    <mergeCell ref="C7:G7"/>
    <mergeCell ref="C9:G9"/>
    <mergeCell ref="C10:G10"/>
    <mergeCell ref="C11:G11"/>
    <mergeCell ref="B13:H13"/>
    <mergeCell ref="B30:D30"/>
    <mergeCell ref="B31:D31"/>
    <mergeCell ref="B34:D34"/>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K156"/>
  <sheetViews>
    <sheetView showGridLines="0" zoomScaleNormal="100" zoomScaleSheetLayoutView="50" workbookViewId="0">
      <selection activeCell="K18" sqref="K18"/>
    </sheetView>
  </sheetViews>
  <sheetFormatPr defaultRowHeight="18" customHeight="1"/>
  <cols>
    <col min="1" max="1" width="8.42578125" style="146" customWidth="1"/>
    <col min="2" max="2" width="55.42578125" style="147" bestFit="1" customWidth="1"/>
    <col min="3" max="3" width="9.5703125" style="147" customWidth="1"/>
    <col min="4" max="4" width="9.140625" style="147"/>
    <col min="5" max="5" width="12.42578125" style="147" customWidth="1"/>
    <col min="6" max="6" width="18.5703125" style="147" customWidth="1"/>
    <col min="7" max="7" width="23.5703125" style="147" customWidth="1"/>
    <col min="8" max="8" width="17.140625" style="147" customWidth="1"/>
    <col min="9" max="9" width="21.140625" style="147" customWidth="1"/>
    <col min="10" max="10" width="19.85546875" style="147" customWidth="1"/>
    <col min="11" max="11" width="17.5703125" style="147" customWidth="1"/>
    <col min="12" max="16384" width="9.140625" style="147"/>
  </cols>
  <sheetData>
    <row r="1" spans="1:11" ht="18" customHeight="1">
      <c r="C1" s="148"/>
      <c r="D1" s="149"/>
      <c r="E1" s="148"/>
      <c r="F1" s="148"/>
      <c r="G1" s="148"/>
      <c r="H1" s="148"/>
      <c r="I1" s="148"/>
      <c r="J1" s="148"/>
      <c r="K1" s="148"/>
    </row>
    <row r="2" spans="1:11" ht="18" customHeight="1">
      <c r="D2" s="910" t="s">
        <v>713</v>
      </c>
      <c r="E2" s="911"/>
      <c r="F2" s="911"/>
      <c r="G2" s="911"/>
      <c r="H2" s="911"/>
    </row>
    <row r="3" spans="1:11" ht="18" customHeight="1">
      <c r="B3" s="150" t="s">
        <v>0</v>
      </c>
    </row>
    <row r="5" spans="1:11" ht="18" customHeight="1">
      <c r="B5" s="151" t="s">
        <v>40</v>
      </c>
      <c r="C5" s="917" t="s">
        <v>731</v>
      </c>
      <c r="D5" s="918"/>
      <c r="E5" s="918"/>
      <c r="F5" s="918"/>
      <c r="G5" s="919"/>
    </row>
    <row r="6" spans="1:11" ht="18" customHeight="1">
      <c r="B6" s="151" t="s">
        <v>3</v>
      </c>
      <c r="C6" s="929">
        <v>210058</v>
      </c>
      <c r="D6" s="921"/>
      <c r="E6" s="921"/>
      <c r="F6" s="921"/>
      <c r="G6" s="922"/>
    </row>
    <row r="7" spans="1:11" ht="18" customHeight="1">
      <c r="B7" s="151" t="s">
        <v>4</v>
      </c>
      <c r="C7" s="930">
        <v>557</v>
      </c>
      <c r="D7" s="924"/>
      <c r="E7" s="924"/>
      <c r="F7" s="924"/>
      <c r="G7" s="925"/>
    </row>
    <row r="9" spans="1:11" ht="18" customHeight="1">
      <c r="B9" s="151" t="s">
        <v>1</v>
      </c>
      <c r="C9" s="912" t="s">
        <v>732</v>
      </c>
      <c r="D9" s="918"/>
      <c r="E9" s="918"/>
      <c r="F9" s="918"/>
      <c r="G9" s="919"/>
    </row>
    <row r="10" spans="1:11" ht="18" customHeight="1">
      <c r="B10" s="151" t="s">
        <v>2</v>
      </c>
      <c r="C10" s="926" t="s">
        <v>630</v>
      </c>
      <c r="D10" s="927"/>
      <c r="E10" s="927"/>
      <c r="F10" s="927"/>
      <c r="G10" s="928"/>
    </row>
    <row r="11" spans="1:11" ht="18" customHeight="1">
      <c r="B11" s="151" t="s">
        <v>32</v>
      </c>
      <c r="C11" s="912" t="s">
        <v>733</v>
      </c>
      <c r="D11" s="913"/>
      <c r="E11" s="913"/>
      <c r="F11" s="913"/>
      <c r="G11" s="913"/>
    </row>
    <row r="12" spans="1:11" ht="18" customHeight="1">
      <c r="B12" s="151"/>
      <c r="C12" s="151"/>
      <c r="D12" s="151"/>
      <c r="E12" s="151"/>
      <c r="F12" s="151"/>
      <c r="G12" s="151"/>
    </row>
    <row r="13" spans="1:11" ht="24.6" customHeight="1">
      <c r="B13" s="914"/>
      <c r="C13" s="915"/>
      <c r="D13" s="915"/>
      <c r="E13" s="915"/>
      <c r="F13" s="915"/>
      <c r="G13" s="915"/>
      <c r="H13" s="916"/>
      <c r="I13" s="148"/>
    </row>
    <row r="14" spans="1:11" ht="18" customHeight="1">
      <c r="B14" s="152"/>
    </row>
    <row r="15" spans="1:11" ht="18" customHeight="1">
      <c r="B15" s="152"/>
    </row>
    <row r="16" spans="1:11" ht="45.2" customHeight="1">
      <c r="A16" s="149" t="s">
        <v>181</v>
      </c>
      <c r="B16" s="148"/>
      <c r="C16" s="148"/>
      <c r="D16" s="148"/>
      <c r="E16" s="148"/>
      <c r="F16" s="153" t="s">
        <v>9</v>
      </c>
      <c r="G16" s="153" t="s">
        <v>37</v>
      </c>
      <c r="H16" s="153" t="s">
        <v>29</v>
      </c>
      <c r="I16" s="153" t="s">
        <v>30</v>
      </c>
      <c r="J16" s="153" t="s">
        <v>33</v>
      </c>
      <c r="K16" s="153" t="s">
        <v>34</v>
      </c>
    </row>
    <row r="17" spans="1:11" ht="18" customHeight="1">
      <c r="A17" s="154" t="s">
        <v>184</v>
      </c>
      <c r="B17" s="150" t="s">
        <v>182</v>
      </c>
    </row>
    <row r="18" spans="1:11" ht="18" customHeight="1">
      <c r="A18" s="151" t="s">
        <v>185</v>
      </c>
      <c r="B18" s="155" t="s">
        <v>183</v>
      </c>
      <c r="F18" s="156" t="s">
        <v>73</v>
      </c>
      <c r="G18" s="156" t="s">
        <v>73</v>
      </c>
      <c r="H18" s="157">
        <v>3043858.19</v>
      </c>
      <c r="I18" s="158">
        <v>0</v>
      </c>
      <c r="J18" s="157">
        <v>2602879.34</v>
      </c>
      <c r="K18" s="159">
        <f>(H18+I18)-J18</f>
        <v>440978.85000000009</v>
      </c>
    </row>
    <row r="19" spans="1:11" ht="45.2" customHeight="1">
      <c r="A19" s="149" t="s">
        <v>8</v>
      </c>
      <c r="B19" s="148"/>
      <c r="C19" s="148"/>
      <c r="D19" s="148"/>
      <c r="E19" s="148"/>
      <c r="F19" s="153" t="s">
        <v>9</v>
      </c>
      <c r="G19" s="153" t="s">
        <v>37</v>
      </c>
      <c r="H19" s="153" t="s">
        <v>29</v>
      </c>
      <c r="I19" s="153" t="s">
        <v>30</v>
      </c>
      <c r="J19" s="153" t="s">
        <v>33</v>
      </c>
      <c r="K19" s="153" t="s">
        <v>34</v>
      </c>
    </row>
    <row r="20" spans="1:11" ht="18" customHeight="1">
      <c r="A20" s="154" t="s">
        <v>74</v>
      </c>
      <c r="B20" s="150" t="s">
        <v>41</v>
      </c>
    </row>
    <row r="21" spans="1:11" ht="18" customHeight="1">
      <c r="A21" s="151" t="s">
        <v>75</v>
      </c>
      <c r="B21" s="155" t="s">
        <v>42</v>
      </c>
      <c r="F21" s="156"/>
      <c r="G21" s="156"/>
      <c r="H21" s="157"/>
      <c r="I21" s="158">
        <f t="shared" ref="I21:I34" si="0">H21*F$114</f>
        <v>0</v>
      </c>
      <c r="J21" s="157"/>
      <c r="K21" s="159">
        <f t="shared" ref="K21:K34" si="1">(H21+I21)-J21</f>
        <v>0</v>
      </c>
    </row>
    <row r="22" spans="1:11" ht="18" customHeight="1">
      <c r="A22" s="151" t="s">
        <v>76</v>
      </c>
      <c r="B22" s="147" t="s">
        <v>6</v>
      </c>
      <c r="F22" s="156">
        <v>1123</v>
      </c>
      <c r="G22" s="156">
        <v>1002</v>
      </c>
      <c r="H22" s="157">
        <v>39417</v>
      </c>
      <c r="I22" s="158">
        <f>H22*F$114</f>
        <v>12061.601999999999</v>
      </c>
      <c r="J22" s="157">
        <v>200</v>
      </c>
      <c r="K22" s="159">
        <f t="shared" si="1"/>
        <v>51278.601999999999</v>
      </c>
    </row>
    <row r="23" spans="1:11" ht="18" customHeight="1">
      <c r="A23" s="151" t="s">
        <v>77</v>
      </c>
      <c r="B23" s="147" t="s">
        <v>43</v>
      </c>
      <c r="F23" s="156"/>
      <c r="G23" s="156"/>
      <c r="H23" s="157"/>
      <c r="I23" s="158">
        <f t="shared" si="0"/>
        <v>0</v>
      </c>
      <c r="J23" s="157"/>
      <c r="K23" s="159">
        <f t="shared" si="1"/>
        <v>0</v>
      </c>
    </row>
    <row r="24" spans="1:11" ht="18" customHeight="1">
      <c r="A24" s="151" t="s">
        <v>78</v>
      </c>
      <c r="B24" s="147" t="s">
        <v>44</v>
      </c>
      <c r="F24" s="156"/>
      <c r="G24" s="156"/>
      <c r="H24" s="157"/>
      <c r="I24" s="158">
        <f t="shared" si="0"/>
        <v>0</v>
      </c>
      <c r="J24" s="157"/>
      <c r="K24" s="159">
        <f t="shared" si="1"/>
        <v>0</v>
      </c>
    </row>
    <row r="25" spans="1:11" ht="18" customHeight="1">
      <c r="A25" s="151" t="s">
        <v>79</v>
      </c>
      <c r="B25" s="147" t="s">
        <v>5</v>
      </c>
      <c r="F25" s="156"/>
      <c r="G25" s="156"/>
      <c r="H25" s="157"/>
      <c r="I25" s="158">
        <f t="shared" si="0"/>
        <v>0</v>
      </c>
      <c r="J25" s="157"/>
      <c r="K25" s="159">
        <f t="shared" si="1"/>
        <v>0</v>
      </c>
    </row>
    <row r="26" spans="1:11" ht="18" customHeight="1">
      <c r="A26" s="151" t="s">
        <v>80</v>
      </c>
      <c r="B26" s="147" t="s">
        <v>45</v>
      </c>
      <c r="F26" s="156"/>
      <c r="G26" s="156"/>
      <c r="H26" s="157"/>
      <c r="I26" s="158">
        <f t="shared" si="0"/>
        <v>0</v>
      </c>
      <c r="J26" s="157"/>
      <c r="K26" s="159">
        <f t="shared" si="1"/>
        <v>0</v>
      </c>
    </row>
    <row r="27" spans="1:11" ht="18" customHeight="1">
      <c r="A27" s="151" t="s">
        <v>81</v>
      </c>
      <c r="B27" s="147" t="s">
        <v>46</v>
      </c>
      <c r="F27" s="156"/>
      <c r="G27" s="156"/>
      <c r="H27" s="157"/>
      <c r="I27" s="158">
        <f t="shared" si="0"/>
        <v>0</v>
      </c>
      <c r="J27" s="157"/>
      <c r="K27" s="159">
        <f t="shared" si="1"/>
        <v>0</v>
      </c>
    </row>
    <row r="28" spans="1:11" ht="18" customHeight="1">
      <c r="A28" s="151" t="s">
        <v>82</v>
      </c>
      <c r="B28" s="147" t="s">
        <v>47</v>
      </c>
      <c r="F28" s="156"/>
      <c r="G28" s="156"/>
      <c r="H28" s="157"/>
      <c r="I28" s="158">
        <f t="shared" si="0"/>
        <v>0</v>
      </c>
      <c r="J28" s="157"/>
      <c r="K28" s="159">
        <f t="shared" si="1"/>
        <v>0</v>
      </c>
    </row>
    <row r="29" spans="1:11" ht="18" customHeight="1">
      <c r="A29" s="151" t="s">
        <v>83</v>
      </c>
      <c r="B29" s="147" t="s">
        <v>48</v>
      </c>
      <c r="F29" s="156"/>
      <c r="G29" s="156"/>
      <c r="H29" s="157"/>
      <c r="I29" s="158">
        <f t="shared" si="0"/>
        <v>0</v>
      </c>
      <c r="J29" s="157"/>
      <c r="K29" s="159">
        <f t="shared" si="1"/>
        <v>0</v>
      </c>
    </row>
    <row r="30" spans="1:11" ht="18" customHeight="1">
      <c r="A30" s="151" t="s">
        <v>84</v>
      </c>
      <c r="B30" s="898" t="s">
        <v>631</v>
      </c>
      <c r="C30" s="899"/>
      <c r="D30" s="900"/>
      <c r="F30" s="156">
        <v>2</v>
      </c>
      <c r="G30" s="156">
        <v>600</v>
      </c>
      <c r="H30" s="157">
        <v>400</v>
      </c>
      <c r="I30" s="158">
        <f t="shared" si="0"/>
        <v>122.39999999999999</v>
      </c>
      <c r="J30" s="157"/>
      <c r="K30" s="159">
        <f t="shared" si="1"/>
        <v>522.4</v>
      </c>
    </row>
    <row r="31" spans="1:11" ht="18" customHeight="1">
      <c r="A31" s="151" t="s">
        <v>133</v>
      </c>
      <c r="B31" s="898" t="s">
        <v>734</v>
      </c>
      <c r="C31" s="899"/>
      <c r="D31" s="900"/>
      <c r="F31" s="156">
        <v>24</v>
      </c>
      <c r="G31" s="156">
        <v>227</v>
      </c>
      <c r="H31" s="157">
        <v>500</v>
      </c>
      <c r="I31" s="158">
        <f t="shared" si="0"/>
        <v>153</v>
      </c>
      <c r="J31" s="157"/>
      <c r="K31" s="159">
        <f t="shared" si="1"/>
        <v>653</v>
      </c>
    </row>
    <row r="32" spans="1:11" ht="18" customHeight="1">
      <c r="A32" s="151" t="s">
        <v>134</v>
      </c>
      <c r="B32" s="393"/>
      <c r="C32" s="394"/>
      <c r="D32" s="395"/>
      <c r="F32" s="156"/>
      <c r="G32" s="160" t="s">
        <v>85</v>
      </c>
      <c r="H32" s="157"/>
      <c r="I32" s="158">
        <f t="shared" si="0"/>
        <v>0</v>
      </c>
      <c r="J32" s="157"/>
      <c r="K32" s="159">
        <f t="shared" si="1"/>
        <v>0</v>
      </c>
    </row>
    <row r="33" spans="1:11" ht="18" customHeight="1">
      <c r="A33" s="151" t="s">
        <v>135</v>
      </c>
      <c r="B33" s="393"/>
      <c r="C33" s="394"/>
      <c r="D33" s="395"/>
      <c r="F33" s="156"/>
      <c r="G33" s="160" t="s">
        <v>85</v>
      </c>
      <c r="H33" s="157"/>
      <c r="I33" s="158">
        <f t="shared" si="0"/>
        <v>0</v>
      </c>
      <c r="J33" s="157"/>
      <c r="K33" s="159">
        <f t="shared" si="1"/>
        <v>0</v>
      </c>
    </row>
    <row r="34" spans="1:11" ht="18" customHeight="1">
      <c r="A34" s="151" t="s">
        <v>136</v>
      </c>
      <c r="B34" s="898"/>
      <c r="C34" s="899"/>
      <c r="D34" s="900"/>
      <c r="F34" s="156"/>
      <c r="G34" s="160" t="s">
        <v>85</v>
      </c>
      <c r="H34" s="157"/>
      <c r="I34" s="158">
        <f t="shared" si="0"/>
        <v>0</v>
      </c>
      <c r="J34" s="157"/>
      <c r="K34" s="159">
        <f t="shared" si="1"/>
        <v>0</v>
      </c>
    </row>
    <row r="35" spans="1:11" ht="18" customHeight="1">
      <c r="K35" s="161"/>
    </row>
    <row r="36" spans="1:11" ht="18" customHeight="1">
      <c r="A36" s="154" t="s">
        <v>137</v>
      </c>
      <c r="B36" s="150" t="s">
        <v>138</v>
      </c>
      <c r="E36" s="150" t="s">
        <v>7</v>
      </c>
      <c r="F36" s="162">
        <f t="shared" ref="F36:K36" si="2">SUM(F21:F34)</f>
        <v>1149</v>
      </c>
      <c r="G36" s="162">
        <f t="shared" si="2"/>
        <v>1829</v>
      </c>
      <c r="H36" s="162">
        <f t="shared" si="2"/>
        <v>40317</v>
      </c>
      <c r="I36" s="159">
        <f t="shared" si="2"/>
        <v>12337.001999999999</v>
      </c>
      <c r="J36" s="159">
        <f t="shared" si="2"/>
        <v>200</v>
      </c>
      <c r="K36" s="159">
        <f t="shared" si="2"/>
        <v>52454.002</v>
      </c>
    </row>
    <row r="37" spans="1:11" ht="18" customHeight="1" thickBot="1">
      <c r="B37" s="150"/>
      <c r="F37" s="163"/>
      <c r="G37" s="163"/>
      <c r="H37" s="164"/>
      <c r="I37" s="164"/>
      <c r="J37" s="164"/>
      <c r="K37" s="165"/>
    </row>
    <row r="38" spans="1:11" ht="42.75" customHeight="1">
      <c r="F38" s="153" t="s">
        <v>9</v>
      </c>
      <c r="G38" s="153" t="s">
        <v>37</v>
      </c>
      <c r="H38" s="153" t="s">
        <v>29</v>
      </c>
      <c r="I38" s="153" t="s">
        <v>30</v>
      </c>
      <c r="J38" s="153" t="s">
        <v>33</v>
      </c>
      <c r="K38" s="153" t="s">
        <v>34</v>
      </c>
    </row>
    <row r="39" spans="1:11" ht="18.75" customHeight="1">
      <c r="A39" s="154" t="s">
        <v>86</v>
      </c>
      <c r="B39" s="150" t="s">
        <v>49</v>
      </c>
    </row>
    <row r="40" spans="1:11" ht="18" customHeight="1">
      <c r="A40" s="151" t="s">
        <v>87</v>
      </c>
      <c r="B40" s="147" t="s">
        <v>31</v>
      </c>
      <c r="F40" s="156">
        <v>54006</v>
      </c>
      <c r="G40" s="156"/>
      <c r="H40" s="157">
        <v>3880575.76</v>
      </c>
      <c r="I40" s="158">
        <f>H40*0.306</f>
        <v>1187456.1825599999</v>
      </c>
      <c r="J40" s="157"/>
      <c r="K40" s="159">
        <f t="shared" ref="K40:K47" si="3">(H40+I40)-J40</f>
        <v>5068031.9425599994</v>
      </c>
    </row>
    <row r="41" spans="1:11" ht="18" customHeight="1">
      <c r="A41" s="151" t="s">
        <v>88</v>
      </c>
      <c r="B41" s="904" t="s">
        <v>50</v>
      </c>
      <c r="C41" s="907"/>
      <c r="F41" s="156">
        <v>18485</v>
      </c>
      <c r="G41" s="156">
        <v>441</v>
      </c>
      <c r="H41" s="157">
        <v>906823</v>
      </c>
      <c r="I41" s="158">
        <f>H41*0.306</f>
        <v>277487.83799999999</v>
      </c>
      <c r="J41" s="157"/>
      <c r="K41" s="159">
        <f t="shared" si="3"/>
        <v>1184310.838</v>
      </c>
    </row>
    <row r="42" spans="1:11" ht="18" customHeight="1">
      <c r="A42" s="151" t="s">
        <v>89</v>
      </c>
      <c r="B42" s="155" t="s">
        <v>11</v>
      </c>
      <c r="F42" s="156">
        <v>13957</v>
      </c>
      <c r="G42" s="156">
        <v>76</v>
      </c>
      <c r="H42" s="157">
        <v>434967</v>
      </c>
      <c r="I42" s="158">
        <f>H42*0.306</f>
        <v>133099.902</v>
      </c>
      <c r="J42" s="157"/>
      <c r="K42" s="159">
        <f t="shared" si="3"/>
        <v>568066.902</v>
      </c>
    </row>
    <row r="43" spans="1:11" ht="18" customHeight="1">
      <c r="A43" s="151" t="s">
        <v>90</v>
      </c>
      <c r="B43" s="166" t="s">
        <v>10</v>
      </c>
      <c r="C43" s="167"/>
      <c r="D43" s="167"/>
      <c r="F43" s="156"/>
      <c r="G43" s="156"/>
      <c r="H43" s="157"/>
      <c r="I43" s="158">
        <v>0</v>
      </c>
      <c r="J43" s="157"/>
      <c r="K43" s="159">
        <f t="shared" si="3"/>
        <v>0</v>
      </c>
    </row>
    <row r="44" spans="1:11" ht="18" customHeight="1">
      <c r="A44" s="151" t="s">
        <v>91</v>
      </c>
      <c r="B44" s="898" t="s">
        <v>735</v>
      </c>
      <c r="C44" s="899"/>
      <c r="D44" s="900"/>
      <c r="F44" s="168">
        <v>1057</v>
      </c>
      <c r="G44" s="168">
        <v>73</v>
      </c>
      <c r="H44" s="168">
        <v>101215</v>
      </c>
      <c r="I44" s="158">
        <f>H44*0.306</f>
        <v>30971.79</v>
      </c>
      <c r="J44" s="168"/>
      <c r="K44" s="170">
        <f t="shared" si="3"/>
        <v>132186.79</v>
      </c>
    </row>
    <row r="45" spans="1:11" ht="18" customHeight="1">
      <c r="A45" s="151" t="s">
        <v>139</v>
      </c>
      <c r="B45" s="898" t="s">
        <v>736</v>
      </c>
      <c r="C45" s="899"/>
      <c r="D45" s="900"/>
      <c r="F45" s="156">
        <v>480</v>
      </c>
      <c r="G45" s="156">
        <v>150</v>
      </c>
      <c r="H45" s="157">
        <v>14959</v>
      </c>
      <c r="I45" s="158">
        <f>H45*0.306</f>
        <v>4577.4539999999997</v>
      </c>
      <c r="J45" s="157"/>
      <c r="K45" s="159">
        <f t="shared" si="3"/>
        <v>19536.453999999998</v>
      </c>
    </row>
    <row r="46" spans="1:11" ht="18" customHeight="1">
      <c r="A46" s="151" t="s">
        <v>140</v>
      </c>
      <c r="B46" s="898" t="s">
        <v>589</v>
      </c>
      <c r="C46" s="899"/>
      <c r="D46" s="900"/>
      <c r="F46" s="156">
        <v>3360</v>
      </c>
      <c r="G46" s="156">
        <v>19</v>
      </c>
      <c r="H46" s="157">
        <v>141567</v>
      </c>
      <c r="I46" s="158">
        <f>H46*0.306</f>
        <v>43319.502</v>
      </c>
      <c r="J46" s="157"/>
      <c r="K46" s="159">
        <f t="shared" si="3"/>
        <v>184886.50200000001</v>
      </c>
    </row>
    <row r="47" spans="1:11" ht="18" customHeight="1">
      <c r="A47" s="151" t="s">
        <v>141</v>
      </c>
      <c r="B47" s="898"/>
      <c r="C47" s="899"/>
      <c r="D47" s="900"/>
      <c r="F47" s="156"/>
      <c r="G47" s="156"/>
      <c r="H47" s="157"/>
      <c r="I47" s="158">
        <v>0</v>
      </c>
      <c r="J47" s="157"/>
      <c r="K47" s="159">
        <f t="shared" si="3"/>
        <v>0</v>
      </c>
    </row>
    <row r="49" spans="1:11" ht="18" customHeight="1">
      <c r="A49" s="154" t="s">
        <v>142</v>
      </c>
      <c r="B49" s="150" t="s">
        <v>143</v>
      </c>
      <c r="E49" s="150" t="s">
        <v>7</v>
      </c>
      <c r="F49" s="171">
        <f t="shared" ref="F49:K49" si="4">SUM(F40:F47)</f>
        <v>91345</v>
      </c>
      <c r="G49" s="171">
        <f t="shared" si="4"/>
        <v>759</v>
      </c>
      <c r="H49" s="159">
        <f t="shared" si="4"/>
        <v>5480106.7599999998</v>
      </c>
      <c r="I49" s="159">
        <f t="shared" si="4"/>
        <v>1676912.6685599999</v>
      </c>
      <c r="J49" s="159">
        <f t="shared" si="4"/>
        <v>0</v>
      </c>
      <c r="K49" s="159">
        <f t="shared" si="4"/>
        <v>7157019.4285599999</v>
      </c>
    </row>
    <row r="50" spans="1:11" ht="18" customHeight="1" thickBot="1">
      <c r="G50" s="172"/>
      <c r="H50" s="172"/>
      <c r="I50" s="172"/>
      <c r="J50" s="172"/>
      <c r="K50" s="172"/>
    </row>
    <row r="51" spans="1:11" ht="42.75" customHeight="1">
      <c r="F51" s="153" t="s">
        <v>9</v>
      </c>
      <c r="G51" s="153" t="s">
        <v>37</v>
      </c>
      <c r="H51" s="153" t="s">
        <v>29</v>
      </c>
      <c r="I51" s="153" t="s">
        <v>30</v>
      </c>
      <c r="J51" s="153" t="s">
        <v>33</v>
      </c>
      <c r="K51" s="153" t="s">
        <v>34</v>
      </c>
    </row>
    <row r="52" spans="1:11" ht="18" customHeight="1">
      <c r="A52" s="154" t="s">
        <v>92</v>
      </c>
      <c r="B52" s="905" t="s">
        <v>38</v>
      </c>
      <c r="C52" s="906"/>
    </row>
    <row r="53" spans="1:11" ht="18" customHeight="1">
      <c r="A53" s="151" t="s">
        <v>51</v>
      </c>
      <c r="B53" s="908" t="s">
        <v>737</v>
      </c>
      <c r="C53" s="909"/>
      <c r="D53" s="903"/>
      <c r="F53" s="156">
        <v>85</v>
      </c>
      <c r="G53" s="156">
        <v>210</v>
      </c>
      <c r="H53" s="157">
        <v>2650</v>
      </c>
      <c r="I53" s="158">
        <f>H53*0.306</f>
        <v>810.9</v>
      </c>
      <c r="J53" s="157"/>
      <c r="K53" s="159">
        <f t="shared" ref="K53:K62" si="5">(H53+I53)-J53</f>
        <v>3460.9</v>
      </c>
    </row>
    <row r="54" spans="1:11" ht="18" customHeight="1">
      <c r="A54" s="151" t="s">
        <v>93</v>
      </c>
      <c r="B54" s="396" t="s">
        <v>738</v>
      </c>
      <c r="C54" s="397"/>
      <c r="D54" s="392"/>
      <c r="F54" s="156">
        <v>450</v>
      </c>
      <c r="G54" s="156">
        <v>125</v>
      </c>
      <c r="H54" s="157">
        <v>20302</v>
      </c>
      <c r="I54" s="158">
        <f>H54*0.306</f>
        <v>6212.4120000000003</v>
      </c>
      <c r="J54" s="157"/>
      <c r="K54" s="159">
        <f t="shared" si="5"/>
        <v>26514.412</v>
      </c>
    </row>
    <row r="55" spans="1:11" ht="18" customHeight="1">
      <c r="A55" s="151" t="s">
        <v>94</v>
      </c>
      <c r="B55" s="901" t="s">
        <v>739</v>
      </c>
      <c r="C55" s="902"/>
      <c r="D55" s="903"/>
      <c r="F55" s="156">
        <v>5497</v>
      </c>
      <c r="G55" s="156">
        <v>7144</v>
      </c>
      <c r="H55" s="157">
        <v>191587</v>
      </c>
      <c r="I55" s="158">
        <f>H55*0.306</f>
        <v>58625.621999999996</v>
      </c>
      <c r="J55" s="157">
        <v>111495</v>
      </c>
      <c r="K55" s="159">
        <f t="shared" si="5"/>
        <v>138717.622</v>
      </c>
    </row>
    <row r="56" spans="1:11" ht="18" customHeight="1">
      <c r="A56" s="151" t="s">
        <v>95</v>
      </c>
      <c r="B56" s="901" t="s">
        <v>632</v>
      </c>
      <c r="C56" s="902"/>
      <c r="D56" s="903"/>
      <c r="F56" s="156">
        <v>40</v>
      </c>
      <c r="G56" s="156">
        <v>12</v>
      </c>
      <c r="H56" s="157">
        <v>1247</v>
      </c>
      <c r="I56" s="158">
        <f>1247*0.306</f>
        <v>381.58199999999999</v>
      </c>
      <c r="J56" s="157"/>
      <c r="K56" s="159">
        <f t="shared" si="5"/>
        <v>1628.5819999999999</v>
      </c>
    </row>
    <row r="57" spans="1:11" ht="18" customHeight="1">
      <c r="A57" s="151" t="s">
        <v>96</v>
      </c>
      <c r="B57" s="901" t="s">
        <v>740</v>
      </c>
      <c r="C57" s="902"/>
      <c r="D57" s="903"/>
      <c r="F57" s="156">
        <v>192</v>
      </c>
      <c r="G57" s="156">
        <v>522</v>
      </c>
      <c r="H57" s="157">
        <v>37117</v>
      </c>
      <c r="I57" s="158">
        <f>H57*0.306</f>
        <v>11357.802</v>
      </c>
      <c r="J57" s="157"/>
      <c r="K57" s="159">
        <f t="shared" si="5"/>
        <v>48474.801999999996</v>
      </c>
    </row>
    <row r="58" spans="1:11" ht="18" customHeight="1">
      <c r="A58" s="151" t="s">
        <v>97</v>
      </c>
      <c r="B58" s="396" t="s">
        <v>741</v>
      </c>
      <c r="C58" s="397"/>
      <c r="D58" s="392"/>
      <c r="F58" s="156">
        <v>641</v>
      </c>
      <c r="G58" s="156">
        <v>17200</v>
      </c>
      <c r="H58" s="157">
        <v>82687</v>
      </c>
      <c r="I58" s="158">
        <f>H58*0.306</f>
        <v>25302.221999999998</v>
      </c>
      <c r="J58" s="157"/>
      <c r="K58" s="159">
        <f t="shared" si="5"/>
        <v>107989.22199999999</v>
      </c>
    </row>
    <row r="59" spans="1:11" ht="18" customHeight="1">
      <c r="A59" s="151" t="s">
        <v>98</v>
      </c>
      <c r="B59" s="901" t="s">
        <v>742</v>
      </c>
      <c r="C59" s="902"/>
      <c r="D59" s="903"/>
      <c r="F59" s="156">
        <v>28</v>
      </c>
      <c r="G59" s="156">
        <v>179</v>
      </c>
      <c r="H59" s="157">
        <v>1123</v>
      </c>
      <c r="I59" s="158">
        <f>1123*0.306</f>
        <v>343.63799999999998</v>
      </c>
      <c r="J59" s="157"/>
      <c r="K59" s="159">
        <f t="shared" si="5"/>
        <v>1466.6379999999999</v>
      </c>
    </row>
    <row r="60" spans="1:11" ht="18" customHeight="1">
      <c r="A60" s="151" t="s">
        <v>99</v>
      </c>
      <c r="B60" s="396" t="s">
        <v>743</v>
      </c>
      <c r="C60" s="397"/>
      <c r="D60" s="392"/>
      <c r="F60" s="156">
        <v>20</v>
      </c>
      <c r="G60" s="156">
        <v>290</v>
      </c>
      <c r="H60" s="157">
        <v>2555</v>
      </c>
      <c r="I60" s="158">
        <f>2555*0.306</f>
        <v>781.83</v>
      </c>
      <c r="J60" s="157"/>
      <c r="K60" s="159">
        <f t="shared" si="5"/>
        <v>3336.83</v>
      </c>
    </row>
    <row r="61" spans="1:11" ht="18" customHeight="1">
      <c r="A61" s="151" t="s">
        <v>100</v>
      </c>
      <c r="B61" s="396"/>
      <c r="C61" s="397"/>
      <c r="D61" s="392"/>
      <c r="F61" s="156"/>
      <c r="G61" s="156"/>
      <c r="H61" s="157"/>
      <c r="I61" s="158">
        <v>0</v>
      </c>
      <c r="J61" s="157"/>
      <c r="K61" s="159">
        <f t="shared" si="5"/>
        <v>0</v>
      </c>
    </row>
    <row r="62" spans="1:11" ht="18" customHeight="1">
      <c r="A62" s="151" t="s">
        <v>101</v>
      </c>
      <c r="B62" s="901"/>
      <c r="C62" s="902"/>
      <c r="D62" s="903"/>
      <c r="F62" s="156"/>
      <c r="G62" s="156"/>
      <c r="H62" s="157"/>
      <c r="I62" s="158">
        <v>0</v>
      </c>
      <c r="J62" s="157"/>
      <c r="K62" s="159">
        <f t="shared" si="5"/>
        <v>0</v>
      </c>
    </row>
    <row r="63" spans="1:11" ht="18" customHeight="1">
      <c r="A63" s="151"/>
      <c r="I63" s="173"/>
    </row>
    <row r="64" spans="1:11" ht="18" customHeight="1">
      <c r="A64" s="151" t="s">
        <v>144</v>
      </c>
      <c r="B64" s="150" t="s">
        <v>145</v>
      </c>
      <c r="E64" s="150" t="s">
        <v>7</v>
      </c>
      <c r="F64" s="162">
        <f t="shared" ref="F64:K64" si="6">SUM(F53:F62)</f>
        <v>6953</v>
      </c>
      <c r="G64" s="162">
        <f t="shared" si="6"/>
        <v>25682</v>
      </c>
      <c r="H64" s="159">
        <f t="shared" si="6"/>
        <v>339268</v>
      </c>
      <c r="I64" s="159">
        <f t="shared" si="6"/>
        <v>103816.00799999999</v>
      </c>
      <c r="J64" s="159">
        <f t="shared" si="6"/>
        <v>111495</v>
      </c>
      <c r="K64" s="159">
        <f t="shared" si="6"/>
        <v>331589.00799999997</v>
      </c>
    </row>
    <row r="65" spans="1:11" ht="18" customHeight="1">
      <c r="F65" s="174"/>
      <c r="G65" s="174"/>
      <c r="H65" s="174"/>
      <c r="I65" s="174"/>
      <c r="J65" s="174"/>
      <c r="K65" s="174"/>
    </row>
    <row r="66" spans="1:11" ht="42.75" customHeight="1">
      <c r="F66" s="175" t="s">
        <v>9</v>
      </c>
      <c r="G66" s="175" t="s">
        <v>37</v>
      </c>
      <c r="H66" s="175" t="s">
        <v>29</v>
      </c>
      <c r="I66" s="175" t="s">
        <v>30</v>
      </c>
      <c r="J66" s="175" t="s">
        <v>33</v>
      </c>
      <c r="K66" s="175" t="s">
        <v>34</v>
      </c>
    </row>
    <row r="67" spans="1:11" ht="18" customHeight="1">
      <c r="A67" s="154" t="s">
        <v>102</v>
      </c>
      <c r="B67" s="150" t="s">
        <v>12</v>
      </c>
      <c r="F67" s="176"/>
      <c r="G67" s="176"/>
      <c r="H67" s="176"/>
      <c r="I67" s="177"/>
      <c r="J67" s="176"/>
      <c r="K67" s="178"/>
    </row>
    <row r="68" spans="1:11" ht="18" customHeight="1">
      <c r="A68" s="151" t="s">
        <v>103</v>
      </c>
      <c r="B68" s="147" t="s">
        <v>52</v>
      </c>
      <c r="F68" s="179"/>
      <c r="G68" s="179"/>
      <c r="H68" s="491">
        <v>126031</v>
      </c>
      <c r="I68" s="158">
        <f>+H68*0.306</f>
        <v>38565.485999999997</v>
      </c>
      <c r="J68" s="179"/>
      <c r="K68" s="159">
        <f>(H68+I68)-J68</f>
        <v>164596.486</v>
      </c>
    </row>
    <row r="69" spans="1:11" ht="18" customHeight="1">
      <c r="A69" s="151" t="s">
        <v>104</v>
      </c>
      <c r="B69" s="155" t="s">
        <v>53</v>
      </c>
      <c r="F69" s="179"/>
      <c r="G69" s="179"/>
      <c r="H69" s="179"/>
      <c r="I69" s="158">
        <v>0</v>
      </c>
      <c r="J69" s="179"/>
      <c r="K69" s="159">
        <f>(H69+I69)-J69</f>
        <v>0</v>
      </c>
    </row>
    <row r="70" spans="1:11" ht="18" customHeight="1">
      <c r="A70" s="151" t="s">
        <v>178</v>
      </c>
      <c r="B70" s="396"/>
      <c r="C70" s="397"/>
      <c r="D70" s="392"/>
      <c r="E70" s="150"/>
      <c r="F70" s="180"/>
      <c r="G70" s="180"/>
      <c r="H70" s="181"/>
      <c r="I70" s="158">
        <v>0</v>
      </c>
      <c r="J70" s="181"/>
      <c r="K70" s="159">
        <f>(H70+I70)-J70</f>
        <v>0</v>
      </c>
    </row>
    <row r="71" spans="1:11" ht="18" customHeight="1">
      <c r="A71" s="151" t="s">
        <v>179</v>
      </c>
      <c r="B71" s="396"/>
      <c r="C71" s="397"/>
      <c r="D71" s="392"/>
      <c r="E71" s="150"/>
      <c r="F71" s="180"/>
      <c r="G71" s="180"/>
      <c r="H71" s="181"/>
      <c r="I71" s="158">
        <v>0</v>
      </c>
      <c r="J71" s="181"/>
      <c r="K71" s="159">
        <f>(H71+I71)-J71</f>
        <v>0</v>
      </c>
    </row>
    <row r="72" spans="1:11" ht="18" customHeight="1">
      <c r="A72" s="151" t="s">
        <v>180</v>
      </c>
      <c r="B72" s="390"/>
      <c r="C72" s="391"/>
      <c r="D72" s="182"/>
      <c r="E72" s="150"/>
      <c r="F72" s="156"/>
      <c r="G72" s="156"/>
      <c r="H72" s="157"/>
      <c r="I72" s="158">
        <v>0</v>
      </c>
      <c r="J72" s="157"/>
      <c r="K72" s="159">
        <f>(H72+I72)-J72</f>
        <v>0</v>
      </c>
    </row>
    <row r="73" spans="1:11" ht="18" customHeight="1">
      <c r="A73" s="151"/>
      <c r="B73" s="155"/>
      <c r="E73" s="150"/>
      <c r="F73" s="183"/>
      <c r="G73" s="183"/>
      <c r="H73" s="184"/>
      <c r="I73" s="177"/>
      <c r="J73" s="184"/>
      <c r="K73" s="178"/>
    </row>
    <row r="74" spans="1:11" ht="18" customHeight="1">
      <c r="A74" s="154" t="s">
        <v>146</v>
      </c>
      <c r="B74" s="150" t="s">
        <v>147</v>
      </c>
      <c r="E74" s="150" t="s">
        <v>7</v>
      </c>
      <c r="F74" s="185">
        <f t="shared" ref="F74:K74" si="7">SUM(F68:F72)</f>
        <v>0</v>
      </c>
      <c r="G74" s="185">
        <f t="shared" si="7"/>
        <v>0</v>
      </c>
      <c r="H74" s="185">
        <f t="shared" si="7"/>
        <v>126031</v>
      </c>
      <c r="I74" s="186">
        <f t="shared" si="7"/>
        <v>38565.485999999997</v>
      </c>
      <c r="J74" s="185">
        <f t="shared" si="7"/>
        <v>0</v>
      </c>
      <c r="K74" s="187">
        <f t="shared" si="7"/>
        <v>164596.486</v>
      </c>
    </row>
    <row r="75" spans="1:11" ht="42.75" customHeight="1">
      <c r="F75" s="153" t="s">
        <v>9</v>
      </c>
      <c r="G75" s="153" t="s">
        <v>37</v>
      </c>
      <c r="H75" s="153" t="s">
        <v>29</v>
      </c>
      <c r="I75" s="153" t="s">
        <v>30</v>
      </c>
      <c r="J75" s="153" t="s">
        <v>33</v>
      </c>
      <c r="K75" s="153" t="s">
        <v>34</v>
      </c>
    </row>
    <row r="76" spans="1:11" ht="18" customHeight="1">
      <c r="A76" s="154" t="s">
        <v>105</v>
      </c>
      <c r="B76" s="150" t="s">
        <v>106</v>
      </c>
    </row>
    <row r="77" spans="1:11" ht="18" customHeight="1">
      <c r="A77" s="151" t="s">
        <v>107</v>
      </c>
      <c r="B77" s="155" t="s">
        <v>54</v>
      </c>
      <c r="F77" s="156"/>
      <c r="G77" s="156"/>
      <c r="H77" s="157">
        <v>12430</v>
      </c>
      <c r="I77" s="158">
        <v>0</v>
      </c>
      <c r="J77" s="157"/>
      <c r="K77" s="159">
        <f>(H77+I77)-J77</f>
        <v>12430</v>
      </c>
    </row>
    <row r="78" spans="1:11" ht="18" customHeight="1">
      <c r="A78" s="151" t="s">
        <v>108</v>
      </c>
      <c r="B78" s="155" t="s">
        <v>55</v>
      </c>
      <c r="F78" s="156"/>
      <c r="G78" s="156"/>
      <c r="H78" s="157"/>
      <c r="I78" s="158">
        <v>0</v>
      </c>
      <c r="J78" s="157"/>
      <c r="K78" s="159">
        <f>(H78+I78)-J78</f>
        <v>0</v>
      </c>
    </row>
    <row r="79" spans="1:11" ht="18" customHeight="1">
      <c r="A79" s="151" t="s">
        <v>109</v>
      </c>
      <c r="B79" s="155" t="s">
        <v>13</v>
      </c>
      <c r="F79" s="156"/>
      <c r="G79" s="156">
        <v>84</v>
      </c>
      <c r="H79" s="157">
        <f>1003.47*84</f>
        <v>84291.48</v>
      </c>
      <c r="I79" s="158">
        <f>+H79*0.306</f>
        <v>25793.192879999999</v>
      </c>
      <c r="J79" s="157"/>
      <c r="K79" s="159">
        <f>(H79+I79)-J79</f>
        <v>110084.67288</v>
      </c>
    </row>
    <row r="80" spans="1:11" ht="18" customHeight="1">
      <c r="A80" s="151" t="s">
        <v>110</v>
      </c>
      <c r="B80" s="155" t="s">
        <v>56</v>
      </c>
      <c r="F80" s="156"/>
      <c r="G80" s="156"/>
      <c r="H80" s="157"/>
      <c r="I80" s="158">
        <v>0</v>
      </c>
      <c r="J80" s="157"/>
      <c r="K80" s="159">
        <f>(H80+I80)-J80</f>
        <v>0</v>
      </c>
    </row>
    <row r="81" spans="1:11" ht="18" customHeight="1">
      <c r="A81" s="151"/>
      <c r="K81" s="188"/>
    </row>
    <row r="82" spans="1:11" ht="18" customHeight="1">
      <c r="A82" s="151" t="s">
        <v>148</v>
      </c>
      <c r="B82" s="150" t="s">
        <v>149</v>
      </c>
      <c r="E82" s="150" t="s">
        <v>7</v>
      </c>
      <c r="F82" s="185">
        <f t="shared" ref="F82:K82" si="8">SUM(F77:F80)</f>
        <v>0</v>
      </c>
      <c r="G82" s="185">
        <f t="shared" si="8"/>
        <v>84</v>
      </c>
      <c r="H82" s="187">
        <f t="shared" si="8"/>
        <v>96721.48</v>
      </c>
      <c r="I82" s="187">
        <f t="shared" si="8"/>
        <v>25793.192879999999</v>
      </c>
      <c r="J82" s="187">
        <f t="shared" si="8"/>
        <v>0</v>
      </c>
      <c r="K82" s="187">
        <f t="shared" si="8"/>
        <v>122514.67288</v>
      </c>
    </row>
    <row r="83" spans="1:11" ht="18" customHeight="1" thickBot="1">
      <c r="A83" s="151"/>
      <c r="F83" s="172"/>
      <c r="G83" s="172"/>
      <c r="H83" s="172"/>
      <c r="I83" s="172"/>
      <c r="J83" s="172"/>
      <c r="K83" s="172"/>
    </row>
    <row r="84" spans="1:11" ht="42.75" customHeight="1">
      <c r="F84" s="153" t="s">
        <v>9</v>
      </c>
      <c r="G84" s="153" t="s">
        <v>37</v>
      </c>
      <c r="H84" s="153" t="s">
        <v>29</v>
      </c>
      <c r="I84" s="153" t="s">
        <v>30</v>
      </c>
      <c r="J84" s="153" t="s">
        <v>33</v>
      </c>
      <c r="K84" s="153" t="s">
        <v>34</v>
      </c>
    </row>
    <row r="85" spans="1:11" ht="18" customHeight="1">
      <c r="A85" s="154" t="s">
        <v>111</v>
      </c>
      <c r="B85" s="150" t="s">
        <v>57</v>
      </c>
    </row>
    <row r="86" spans="1:11" ht="18" customHeight="1">
      <c r="A86" s="151" t="s">
        <v>112</v>
      </c>
      <c r="B86" s="155" t="s">
        <v>113</v>
      </c>
      <c r="F86" s="156"/>
      <c r="G86" s="156"/>
      <c r="H86" s="157"/>
      <c r="I86" s="158">
        <f t="shared" ref="I86:I96" si="9">H86*F$114</f>
        <v>0</v>
      </c>
      <c r="J86" s="157"/>
      <c r="K86" s="159">
        <f t="shared" ref="K86:K96" si="10">(H86+I86)-J86</f>
        <v>0</v>
      </c>
    </row>
    <row r="87" spans="1:11" ht="18" customHeight="1">
      <c r="A87" s="151" t="s">
        <v>114</v>
      </c>
      <c r="B87" s="155" t="s">
        <v>14</v>
      </c>
      <c r="F87" s="156"/>
      <c r="G87" s="156"/>
      <c r="H87" s="157"/>
      <c r="I87" s="158">
        <f t="shared" si="9"/>
        <v>0</v>
      </c>
      <c r="J87" s="157"/>
      <c r="K87" s="159">
        <f t="shared" si="10"/>
        <v>0</v>
      </c>
    </row>
    <row r="88" spans="1:11" ht="18" customHeight="1">
      <c r="A88" s="151" t="s">
        <v>115</v>
      </c>
      <c r="B88" s="155" t="s">
        <v>116</v>
      </c>
      <c r="F88" s="156"/>
      <c r="G88" s="156"/>
      <c r="H88" s="157"/>
      <c r="I88" s="158">
        <f t="shared" si="9"/>
        <v>0</v>
      </c>
      <c r="J88" s="157"/>
      <c r="K88" s="159">
        <f t="shared" si="10"/>
        <v>0</v>
      </c>
    </row>
    <row r="89" spans="1:11" ht="18" customHeight="1">
      <c r="A89" s="151" t="s">
        <v>117</v>
      </c>
      <c r="B89" s="155" t="s">
        <v>58</v>
      </c>
      <c r="F89" s="156"/>
      <c r="G89" s="156"/>
      <c r="H89" s="157"/>
      <c r="I89" s="158">
        <f t="shared" si="9"/>
        <v>0</v>
      </c>
      <c r="J89" s="157"/>
      <c r="K89" s="159">
        <f t="shared" si="10"/>
        <v>0</v>
      </c>
    </row>
    <row r="90" spans="1:11" ht="18" customHeight="1">
      <c r="A90" s="151" t="s">
        <v>118</v>
      </c>
      <c r="B90" s="904" t="s">
        <v>59</v>
      </c>
      <c r="C90" s="907"/>
      <c r="F90" s="156"/>
      <c r="G90" s="156"/>
      <c r="H90" s="157"/>
      <c r="I90" s="158">
        <f t="shared" si="9"/>
        <v>0</v>
      </c>
      <c r="J90" s="157"/>
      <c r="K90" s="159">
        <f t="shared" si="10"/>
        <v>0</v>
      </c>
    </row>
    <row r="91" spans="1:11" ht="18" customHeight="1">
      <c r="A91" s="151" t="s">
        <v>119</v>
      </c>
      <c r="B91" s="155" t="s">
        <v>60</v>
      </c>
      <c r="F91" s="156"/>
      <c r="G91" s="156"/>
      <c r="H91" s="157"/>
      <c r="I91" s="158">
        <f t="shared" si="9"/>
        <v>0</v>
      </c>
      <c r="J91" s="157"/>
      <c r="K91" s="159">
        <f t="shared" si="10"/>
        <v>0</v>
      </c>
    </row>
    <row r="92" spans="1:11" ht="18" customHeight="1">
      <c r="A92" s="151" t="s">
        <v>120</v>
      </c>
      <c r="B92" s="155" t="s">
        <v>121</v>
      </c>
      <c r="F92" s="189"/>
      <c r="G92" s="189"/>
      <c r="H92" s="190"/>
      <c r="I92" s="158">
        <f t="shared" si="9"/>
        <v>0</v>
      </c>
      <c r="J92" s="190"/>
      <c r="K92" s="159">
        <f t="shared" si="10"/>
        <v>0</v>
      </c>
    </row>
    <row r="93" spans="1:11" ht="18" customHeight="1">
      <c r="A93" s="151" t="s">
        <v>122</v>
      </c>
      <c r="B93" s="155" t="s">
        <v>123</v>
      </c>
      <c r="F93" s="156"/>
      <c r="G93" s="156"/>
      <c r="H93" s="157"/>
      <c r="I93" s="158">
        <f t="shared" si="9"/>
        <v>0</v>
      </c>
      <c r="J93" s="157"/>
      <c r="K93" s="159">
        <f t="shared" si="10"/>
        <v>0</v>
      </c>
    </row>
    <row r="94" spans="1:11" ht="18" customHeight="1">
      <c r="A94" s="151" t="s">
        <v>124</v>
      </c>
      <c r="B94" s="901"/>
      <c r="C94" s="902"/>
      <c r="D94" s="903"/>
      <c r="F94" s="156"/>
      <c r="G94" s="156"/>
      <c r="H94" s="157"/>
      <c r="I94" s="158">
        <f t="shared" si="9"/>
        <v>0</v>
      </c>
      <c r="J94" s="157"/>
      <c r="K94" s="159">
        <f t="shared" si="10"/>
        <v>0</v>
      </c>
    </row>
    <row r="95" spans="1:11" ht="18" customHeight="1">
      <c r="A95" s="151" t="s">
        <v>125</v>
      </c>
      <c r="B95" s="901"/>
      <c r="C95" s="902"/>
      <c r="D95" s="903"/>
      <c r="F95" s="156"/>
      <c r="G95" s="156"/>
      <c r="H95" s="157"/>
      <c r="I95" s="158">
        <f t="shared" si="9"/>
        <v>0</v>
      </c>
      <c r="J95" s="157"/>
      <c r="K95" s="159">
        <f t="shared" si="10"/>
        <v>0</v>
      </c>
    </row>
    <row r="96" spans="1:11" ht="18" customHeight="1">
      <c r="A96" s="151" t="s">
        <v>126</v>
      </c>
      <c r="B96" s="901"/>
      <c r="C96" s="902"/>
      <c r="D96" s="903"/>
      <c r="F96" s="156"/>
      <c r="G96" s="156"/>
      <c r="H96" s="157"/>
      <c r="I96" s="158">
        <f t="shared" si="9"/>
        <v>0</v>
      </c>
      <c r="J96" s="157"/>
      <c r="K96" s="159">
        <f t="shared" si="10"/>
        <v>0</v>
      </c>
    </row>
    <row r="97" spans="1:11" ht="18" customHeight="1">
      <c r="A97" s="151"/>
      <c r="B97" s="155"/>
    </row>
    <row r="98" spans="1:11" ht="18" customHeight="1">
      <c r="A98" s="154" t="s">
        <v>150</v>
      </c>
      <c r="B98" s="150" t="s">
        <v>151</v>
      </c>
      <c r="E98" s="150" t="s">
        <v>7</v>
      </c>
      <c r="F98" s="162">
        <f t="shared" ref="F98:K98" si="11">SUM(F86:F96)</f>
        <v>0</v>
      </c>
      <c r="G98" s="162">
        <f t="shared" si="11"/>
        <v>0</v>
      </c>
      <c r="H98" s="162">
        <f t="shared" si="11"/>
        <v>0</v>
      </c>
      <c r="I98" s="162">
        <f t="shared" si="11"/>
        <v>0</v>
      </c>
      <c r="J98" s="162">
        <f t="shared" si="11"/>
        <v>0</v>
      </c>
      <c r="K98" s="162">
        <f t="shared" si="11"/>
        <v>0</v>
      </c>
    </row>
    <row r="99" spans="1:11" ht="18" customHeight="1" thickBot="1">
      <c r="B99" s="150"/>
      <c r="F99" s="172"/>
      <c r="G99" s="172"/>
      <c r="H99" s="172"/>
      <c r="I99" s="172"/>
      <c r="J99" s="172"/>
      <c r="K99" s="172"/>
    </row>
    <row r="100" spans="1:11" ht="42.75" customHeight="1">
      <c r="F100" s="153" t="s">
        <v>9</v>
      </c>
      <c r="G100" s="153" t="s">
        <v>37</v>
      </c>
      <c r="H100" s="153" t="s">
        <v>29</v>
      </c>
      <c r="I100" s="153" t="s">
        <v>30</v>
      </c>
      <c r="J100" s="153" t="s">
        <v>33</v>
      </c>
      <c r="K100" s="153" t="s">
        <v>34</v>
      </c>
    </row>
    <row r="101" spans="1:11" ht="18" customHeight="1">
      <c r="A101" s="154" t="s">
        <v>130</v>
      </c>
      <c r="B101" s="150" t="s">
        <v>63</v>
      </c>
    </row>
    <row r="102" spans="1:11" ht="18" customHeight="1">
      <c r="A102" s="151" t="s">
        <v>131</v>
      </c>
      <c r="B102" s="155" t="s">
        <v>152</v>
      </c>
      <c r="F102" s="156">
        <v>656</v>
      </c>
      <c r="G102" s="156"/>
      <c r="H102" s="157">
        <f>71.83*656</f>
        <v>47120.479999999996</v>
      </c>
      <c r="I102" s="158">
        <f>H102*F$114</f>
        <v>14418.866879999998</v>
      </c>
      <c r="J102" s="157"/>
      <c r="K102" s="159">
        <f>(H102+I102)-J102</f>
        <v>61539.346879999997</v>
      </c>
    </row>
    <row r="103" spans="1:11" ht="18" customHeight="1">
      <c r="A103" s="151" t="s">
        <v>132</v>
      </c>
      <c r="B103" s="904" t="s">
        <v>62</v>
      </c>
      <c r="C103" s="904"/>
      <c r="F103" s="156"/>
      <c r="G103" s="156"/>
      <c r="H103" s="157"/>
      <c r="I103" s="158">
        <f>H103*F$114</f>
        <v>0</v>
      </c>
      <c r="J103" s="157"/>
      <c r="K103" s="159">
        <f>(H103+I103)-J103</f>
        <v>0</v>
      </c>
    </row>
    <row r="104" spans="1:11" ht="18" customHeight="1">
      <c r="A104" s="151" t="s">
        <v>128</v>
      </c>
      <c r="B104" s="901"/>
      <c r="C104" s="902"/>
      <c r="D104" s="903"/>
      <c r="F104" s="156"/>
      <c r="G104" s="156"/>
      <c r="H104" s="157"/>
      <c r="I104" s="158">
        <f>H104*F$114</f>
        <v>0</v>
      </c>
      <c r="J104" s="157"/>
      <c r="K104" s="159">
        <f>(H104+I104)-J104</f>
        <v>0</v>
      </c>
    </row>
    <row r="105" spans="1:11" ht="18" customHeight="1">
      <c r="A105" s="151" t="s">
        <v>127</v>
      </c>
      <c r="B105" s="901"/>
      <c r="C105" s="902"/>
      <c r="D105" s="903"/>
      <c r="F105" s="156"/>
      <c r="G105" s="156"/>
      <c r="H105" s="157"/>
      <c r="I105" s="158">
        <f>H105*F$114</f>
        <v>0</v>
      </c>
      <c r="J105" s="157"/>
      <c r="K105" s="159">
        <f>(H105+I105)-J105</f>
        <v>0</v>
      </c>
    </row>
    <row r="106" spans="1:11" ht="18" customHeight="1">
      <c r="A106" s="151" t="s">
        <v>129</v>
      </c>
      <c r="B106" s="901"/>
      <c r="C106" s="902"/>
      <c r="D106" s="903"/>
      <c r="F106" s="156"/>
      <c r="G106" s="156"/>
      <c r="H106" s="157"/>
      <c r="I106" s="158">
        <f>H106*F$114</f>
        <v>0</v>
      </c>
      <c r="J106" s="157"/>
      <c r="K106" s="159">
        <f>(H106+I106)-J106</f>
        <v>0</v>
      </c>
    </row>
    <row r="107" spans="1:11" ht="18" customHeight="1">
      <c r="B107" s="150"/>
    </row>
    <row r="108" spans="1:11" s="167" customFormat="1" ht="18" customHeight="1">
      <c r="A108" s="154" t="s">
        <v>153</v>
      </c>
      <c r="B108" s="191" t="s">
        <v>154</v>
      </c>
      <c r="C108" s="147"/>
      <c r="D108" s="147"/>
      <c r="E108" s="150" t="s">
        <v>7</v>
      </c>
      <c r="F108" s="162">
        <f t="shared" ref="F108:K108" si="12">SUM(F102:F106)</f>
        <v>656</v>
      </c>
      <c r="G108" s="162">
        <f t="shared" si="12"/>
        <v>0</v>
      </c>
      <c r="H108" s="159">
        <f t="shared" si="12"/>
        <v>47120.479999999996</v>
      </c>
      <c r="I108" s="159">
        <f t="shared" si="12"/>
        <v>14418.866879999998</v>
      </c>
      <c r="J108" s="159">
        <f t="shared" si="12"/>
        <v>0</v>
      </c>
      <c r="K108" s="159">
        <f t="shared" si="12"/>
        <v>61539.346879999997</v>
      </c>
    </row>
    <row r="109" spans="1:11" s="167" customFormat="1" ht="18" customHeight="1" thickBot="1">
      <c r="A109" s="192"/>
      <c r="B109" s="193"/>
      <c r="C109" s="194"/>
      <c r="D109" s="194"/>
      <c r="E109" s="194"/>
      <c r="F109" s="172"/>
      <c r="G109" s="172"/>
      <c r="H109" s="172"/>
      <c r="I109" s="172"/>
      <c r="J109" s="172"/>
      <c r="K109" s="172"/>
    </row>
    <row r="110" spans="1:11" s="167" customFormat="1" ht="18" customHeight="1">
      <c r="A110" s="154" t="s">
        <v>156</v>
      </c>
      <c r="B110" s="150" t="s">
        <v>39</v>
      </c>
      <c r="C110" s="147"/>
      <c r="D110" s="147"/>
      <c r="E110" s="147"/>
      <c r="F110" s="147"/>
      <c r="G110" s="147"/>
      <c r="H110" s="147"/>
      <c r="I110" s="147"/>
      <c r="J110" s="147"/>
      <c r="K110" s="147"/>
    </row>
    <row r="111" spans="1:11" ht="18" customHeight="1">
      <c r="A111" s="154" t="s">
        <v>155</v>
      </c>
      <c r="B111" s="150" t="s">
        <v>164</v>
      </c>
      <c r="E111" s="150" t="s">
        <v>7</v>
      </c>
      <c r="F111" s="157">
        <v>877000</v>
      </c>
    </row>
    <row r="112" spans="1:11" ht="18" customHeight="1">
      <c r="B112" s="150"/>
      <c r="E112" s="150"/>
      <c r="F112" s="195"/>
    </row>
    <row r="113" spans="1:6" ht="18" customHeight="1">
      <c r="A113" s="154"/>
      <c r="B113" s="150" t="s">
        <v>15</v>
      </c>
    </row>
    <row r="114" spans="1:6" ht="18" customHeight="1">
      <c r="A114" s="151" t="s">
        <v>171</v>
      </c>
      <c r="B114" s="155" t="s">
        <v>35</v>
      </c>
      <c r="F114" s="196">
        <v>0.30599999999999999</v>
      </c>
    </row>
    <row r="115" spans="1:6" ht="18" customHeight="1">
      <c r="A115" s="151"/>
      <c r="B115" s="150"/>
    </row>
    <row r="116" spans="1:6" ht="18" customHeight="1">
      <c r="A116" s="151" t="s">
        <v>170</v>
      </c>
      <c r="B116" s="150" t="s">
        <v>16</v>
      </c>
    </row>
    <row r="117" spans="1:6" ht="18" customHeight="1">
      <c r="A117" s="151" t="s">
        <v>172</v>
      </c>
      <c r="B117" s="155" t="s">
        <v>17</v>
      </c>
      <c r="F117" s="157">
        <v>101730650.27</v>
      </c>
    </row>
    <row r="118" spans="1:6" ht="18" customHeight="1">
      <c r="A118" s="151" t="s">
        <v>173</v>
      </c>
      <c r="B118" s="147" t="s">
        <v>18</v>
      </c>
      <c r="F118" s="157">
        <v>4370355.18</v>
      </c>
    </row>
    <row r="119" spans="1:6" ht="18" customHeight="1">
      <c r="A119" s="151" t="s">
        <v>174</v>
      </c>
      <c r="B119" s="150" t="s">
        <v>19</v>
      </c>
      <c r="F119" s="187">
        <f>SUM(F117:F118)</f>
        <v>106101005.44999999</v>
      </c>
    </row>
    <row r="120" spans="1:6" ht="18" customHeight="1">
      <c r="A120" s="151"/>
      <c r="B120" s="150"/>
    </row>
    <row r="121" spans="1:6" ht="18" customHeight="1">
      <c r="A121" s="151" t="s">
        <v>167</v>
      </c>
      <c r="B121" s="150" t="s">
        <v>36</v>
      </c>
      <c r="F121" s="157">
        <v>106210000</v>
      </c>
    </row>
    <row r="122" spans="1:6" ht="18" customHeight="1">
      <c r="A122" s="151"/>
    </row>
    <row r="123" spans="1:6" ht="18" customHeight="1">
      <c r="A123" s="151" t="s">
        <v>175</v>
      </c>
      <c r="B123" s="150" t="s">
        <v>20</v>
      </c>
      <c r="F123" s="157">
        <v>-108994.55</v>
      </c>
    </row>
    <row r="124" spans="1:6" ht="18" customHeight="1">
      <c r="A124" s="151"/>
    </row>
    <row r="125" spans="1:6" ht="18" customHeight="1">
      <c r="A125" s="151" t="s">
        <v>176</v>
      </c>
      <c r="B125" s="150" t="s">
        <v>21</v>
      </c>
      <c r="F125" s="157">
        <v>-524000</v>
      </c>
    </row>
    <row r="126" spans="1:6" ht="18" customHeight="1">
      <c r="A126" s="151"/>
    </row>
    <row r="127" spans="1:6" ht="18" customHeight="1">
      <c r="A127" s="151" t="s">
        <v>177</v>
      </c>
      <c r="B127" s="150" t="s">
        <v>22</v>
      </c>
      <c r="F127" s="157">
        <v>-632994.55000000005</v>
      </c>
    </row>
    <row r="128" spans="1:6" ht="18" customHeight="1">
      <c r="A128" s="151"/>
    </row>
    <row r="129" spans="1:11" ht="42.75" customHeight="1">
      <c r="F129" s="153" t="s">
        <v>9</v>
      </c>
      <c r="G129" s="153" t="s">
        <v>37</v>
      </c>
      <c r="H129" s="153" t="s">
        <v>29</v>
      </c>
      <c r="I129" s="153" t="s">
        <v>30</v>
      </c>
      <c r="J129" s="153" t="s">
        <v>33</v>
      </c>
      <c r="K129" s="153" t="s">
        <v>34</v>
      </c>
    </row>
    <row r="130" spans="1:11" ht="18" customHeight="1">
      <c r="A130" s="154" t="s">
        <v>157</v>
      </c>
      <c r="B130" s="150" t="s">
        <v>23</v>
      </c>
    </row>
    <row r="131" spans="1:11" ht="18" customHeight="1">
      <c r="A131" s="151" t="s">
        <v>158</v>
      </c>
      <c r="B131" s="147" t="s">
        <v>24</v>
      </c>
      <c r="F131" s="156"/>
      <c r="G131" s="156"/>
      <c r="H131" s="157"/>
      <c r="I131" s="158">
        <v>0</v>
      </c>
      <c r="J131" s="157"/>
      <c r="K131" s="159">
        <f>(H131+I131)-J131</f>
        <v>0</v>
      </c>
    </row>
    <row r="132" spans="1:11" ht="18" customHeight="1">
      <c r="A132" s="151" t="s">
        <v>159</v>
      </c>
      <c r="B132" s="147" t="s">
        <v>25</v>
      </c>
      <c r="F132" s="156"/>
      <c r="G132" s="156"/>
      <c r="H132" s="157"/>
      <c r="I132" s="158">
        <v>0</v>
      </c>
      <c r="J132" s="157"/>
      <c r="K132" s="159">
        <f>(H132+I132)-J132</f>
        <v>0</v>
      </c>
    </row>
    <row r="133" spans="1:11" ht="18" customHeight="1">
      <c r="A133" s="151" t="s">
        <v>160</v>
      </c>
      <c r="B133" s="898"/>
      <c r="C133" s="899"/>
      <c r="D133" s="900"/>
      <c r="F133" s="156"/>
      <c r="G133" s="156"/>
      <c r="H133" s="157"/>
      <c r="I133" s="158">
        <v>0</v>
      </c>
      <c r="J133" s="157"/>
      <c r="K133" s="159">
        <f>(H133+I133)-J133</f>
        <v>0</v>
      </c>
    </row>
    <row r="134" spans="1:11" ht="18" customHeight="1">
      <c r="A134" s="151" t="s">
        <v>161</v>
      </c>
      <c r="B134" s="898"/>
      <c r="C134" s="899"/>
      <c r="D134" s="900"/>
      <c r="F134" s="156"/>
      <c r="G134" s="156"/>
      <c r="H134" s="157"/>
      <c r="I134" s="158">
        <v>0</v>
      </c>
      <c r="J134" s="157"/>
      <c r="K134" s="159">
        <f>(H134+I134)-J134</f>
        <v>0</v>
      </c>
    </row>
    <row r="135" spans="1:11" ht="18" customHeight="1">
      <c r="A135" s="151" t="s">
        <v>162</v>
      </c>
      <c r="B135" s="898"/>
      <c r="C135" s="899"/>
      <c r="D135" s="900"/>
      <c r="F135" s="156"/>
      <c r="G135" s="156"/>
      <c r="H135" s="157"/>
      <c r="I135" s="158">
        <v>0</v>
      </c>
      <c r="J135" s="157"/>
      <c r="K135" s="159">
        <f>(H135+I135)-J135</f>
        <v>0</v>
      </c>
    </row>
    <row r="136" spans="1:11" ht="18" customHeight="1">
      <c r="A136" s="154"/>
    </row>
    <row r="137" spans="1:11" ht="18" customHeight="1">
      <c r="A137" s="154" t="s">
        <v>163</v>
      </c>
      <c r="B137" s="150" t="s">
        <v>27</v>
      </c>
      <c r="F137" s="162">
        <f t="shared" ref="F137:K137" si="13">SUM(F131:F135)</f>
        <v>0</v>
      </c>
      <c r="G137" s="162">
        <f t="shared" si="13"/>
        <v>0</v>
      </c>
      <c r="H137" s="159">
        <f t="shared" si="13"/>
        <v>0</v>
      </c>
      <c r="I137" s="159">
        <f t="shared" si="13"/>
        <v>0</v>
      </c>
      <c r="J137" s="159">
        <f t="shared" si="13"/>
        <v>0</v>
      </c>
      <c r="K137" s="159">
        <f t="shared" si="13"/>
        <v>0</v>
      </c>
    </row>
    <row r="138" spans="1:11" ht="18" customHeight="1">
      <c r="A138" s="147"/>
    </row>
    <row r="139" spans="1:11" ht="42.75" customHeight="1">
      <c r="F139" s="153" t="s">
        <v>9</v>
      </c>
      <c r="G139" s="153" t="s">
        <v>37</v>
      </c>
      <c r="H139" s="153" t="s">
        <v>29</v>
      </c>
      <c r="I139" s="153" t="s">
        <v>30</v>
      </c>
      <c r="J139" s="153" t="s">
        <v>33</v>
      </c>
      <c r="K139" s="153" t="s">
        <v>34</v>
      </c>
    </row>
    <row r="140" spans="1:11" ht="18" customHeight="1">
      <c r="A140" s="154" t="s">
        <v>166</v>
      </c>
      <c r="B140" s="150" t="s">
        <v>26</v>
      </c>
    </row>
    <row r="141" spans="1:11" ht="18" customHeight="1">
      <c r="A141" s="151" t="s">
        <v>137</v>
      </c>
      <c r="B141" s="150" t="s">
        <v>64</v>
      </c>
      <c r="F141" s="197">
        <f t="shared" ref="F141:K141" si="14">F36</f>
        <v>1149</v>
      </c>
      <c r="G141" s="197">
        <f t="shared" si="14"/>
        <v>1829</v>
      </c>
      <c r="H141" s="197">
        <f t="shared" si="14"/>
        <v>40317</v>
      </c>
      <c r="I141" s="197">
        <f t="shared" si="14"/>
        <v>12337.001999999999</v>
      </c>
      <c r="J141" s="197">
        <f t="shared" si="14"/>
        <v>200</v>
      </c>
      <c r="K141" s="197">
        <f t="shared" si="14"/>
        <v>52454.002</v>
      </c>
    </row>
    <row r="142" spans="1:11" ht="18" customHeight="1">
      <c r="A142" s="151" t="s">
        <v>142</v>
      </c>
      <c r="B142" s="150" t="s">
        <v>65</v>
      </c>
      <c r="F142" s="197">
        <f t="shared" ref="F142:K142" si="15">F49</f>
        <v>91345</v>
      </c>
      <c r="G142" s="197">
        <f t="shared" si="15"/>
        <v>759</v>
      </c>
      <c r="H142" s="197">
        <f t="shared" si="15"/>
        <v>5480106.7599999998</v>
      </c>
      <c r="I142" s="197">
        <f t="shared" si="15"/>
        <v>1676912.6685599999</v>
      </c>
      <c r="J142" s="197">
        <f t="shared" si="15"/>
        <v>0</v>
      </c>
      <c r="K142" s="197">
        <f t="shared" si="15"/>
        <v>7157019.4285599999</v>
      </c>
    </row>
    <row r="143" spans="1:11" ht="18" customHeight="1">
      <c r="A143" s="151" t="s">
        <v>144</v>
      </c>
      <c r="B143" s="150" t="s">
        <v>66</v>
      </c>
      <c r="F143" s="197">
        <f t="shared" ref="F143:K143" si="16">F64</f>
        <v>6953</v>
      </c>
      <c r="G143" s="197">
        <f t="shared" si="16"/>
        <v>25682</v>
      </c>
      <c r="H143" s="197">
        <f t="shared" si="16"/>
        <v>339268</v>
      </c>
      <c r="I143" s="197">
        <f t="shared" si="16"/>
        <v>103816.00799999999</v>
      </c>
      <c r="J143" s="197">
        <f t="shared" si="16"/>
        <v>111495</v>
      </c>
      <c r="K143" s="197">
        <f t="shared" si="16"/>
        <v>331589.00799999997</v>
      </c>
    </row>
    <row r="144" spans="1:11" ht="18" customHeight="1">
      <c r="A144" s="151" t="s">
        <v>146</v>
      </c>
      <c r="B144" s="150" t="s">
        <v>67</v>
      </c>
      <c r="F144" s="197">
        <f t="shared" ref="F144:K144" si="17">F74</f>
        <v>0</v>
      </c>
      <c r="G144" s="197">
        <f t="shared" si="17"/>
        <v>0</v>
      </c>
      <c r="H144" s="197">
        <f t="shared" si="17"/>
        <v>126031</v>
      </c>
      <c r="I144" s="197">
        <f t="shared" si="17"/>
        <v>38565.485999999997</v>
      </c>
      <c r="J144" s="197">
        <f t="shared" si="17"/>
        <v>0</v>
      </c>
      <c r="K144" s="197">
        <f t="shared" si="17"/>
        <v>164596.486</v>
      </c>
    </row>
    <row r="145" spans="1:11" ht="18" customHeight="1">
      <c r="A145" s="151" t="s">
        <v>148</v>
      </c>
      <c r="B145" s="150" t="s">
        <v>68</v>
      </c>
      <c r="F145" s="197">
        <f t="shared" ref="F145:K145" si="18">F82</f>
        <v>0</v>
      </c>
      <c r="G145" s="197">
        <f t="shared" si="18"/>
        <v>84</v>
      </c>
      <c r="H145" s="197">
        <f t="shared" si="18"/>
        <v>96721.48</v>
      </c>
      <c r="I145" s="197">
        <f t="shared" si="18"/>
        <v>25793.192879999999</v>
      </c>
      <c r="J145" s="197">
        <f t="shared" si="18"/>
        <v>0</v>
      </c>
      <c r="K145" s="197">
        <f t="shared" si="18"/>
        <v>122514.67288</v>
      </c>
    </row>
    <row r="146" spans="1:11" ht="18" customHeight="1">
      <c r="A146" s="151" t="s">
        <v>150</v>
      </c>
      <c r="B146" s="150" t="s">
        <v>69</v>
      </c>
      <c r="F146" s="197">
        <f t="shared" ref="F146:K146" si="19">F98</f>
        <v>0</v>
      </c>
      <c r="G146" s="197">
        <f t="shared" si="19"/>
        <v>0</v>
      </c>
      <c r="H146" s="197">
        <f t="shared" si="19"/>
        <v>0</v>
      </c>
      <c r="I146" s="197">
        <f t="shared" si="19"/>
        <v>0</v>
      </c>
      <c r="J146" s="197">
        <f t="shared" si="19"/>
        <v>0</v>
      </c>
      <c r="K146" s="197">
        <f t="shared" si="19"/>
        <v>0</v>
      </c>
    </row>
    <row r="147" spans="1:11" ht="18" customHeight="1">
      <c r="A147" s="151" t="s">
        <v>153</v>
      </c>
      <c r="B147" s="150" t="s">
        <v>61</v>
      </c>
      <c r="F147" s="162">
        <f t="shared" ref="F147:K147" si="20">F108</f>
        <v>656</v>
      </c>
      <c r="G147" s="162">
        <f t="shared" si="20"/>
        <v>0</v>
      </c>
      <c r="H147" s="162">
        <f t="shared" si="20"/>
        <v>47120.479999999996</v>
      </c>
      <c r="I147" s="162">
        <f t="shared" si="20"/>
        <v>14418.866879999998</v>
      </c>
      <c r="J147" s="162">
        <f t="shared" si="20"/>
        <v>0</v>
      </c>
      <c r="K147" s="162">
        <f t="shared" si="20"/>
        <v>61539.346879999997</v>
      </c>
    </row>
    <row r="148" spans="1:11" ht="18" customHeight="1">
      <c r="A148" s="151" t="s">
        <v>155</v>
      </c>
      <c r="B148" s="150" t="s">
        <v>70</v>
      </c>
      <c r="F148" s="198" t="s">
        <v>73</v>
      </c>
      <c r="G148" s="198" t="s">
        <v>73</v>
      </c>
      <c r="H148" s="199" t="s">
        <v>73</v>
      </c>
      <c r="I148" s="199" t="s">
        <v>73</v>
      </c>
      <c r="J148" s="199" t="s">
        <v>73</v>
      </c>
      <c r="K148" s="200">
        <f>F111</f>
        <v>877000</v>
      </c>
    </row>
    <row r="149" spans="1:11" ht="18" customHeight="1">
      <c r="A149" s="151" t="s">
        <v>163</v>
      </c>
      <c r="B149" s="150" t="s">
        <v>71</v>
      </c>
      <c r="F149" s="162">
        <f t="shared" ref="F149:K149" si="21">F137</f>
        <v>0</v>
      </c>
      <c r="G149" s="162">
        <f t="shared" si="21"/>
        <v>0</v>
      </c>
      <c r="H149" s="162">
        <f t="shared" si="21"/>
        <v>0</v>
      </c>
      <c r="I149" s="162">
        <f t="shared" si="21"/>
        <v>0</v>
      </c>
      <c r="J149" s="162">
        <f t="shared" si="21"/>
        <v>0</v>
      </c>
      <c r="K149" s="162">
        <f t="shared" si="21"/>
        <v>0</v>
      </c>
    </row>
    <row r="150" spans="1:11" ht="18" customHeight="1">
      <c r="A150" s="151" t="s">
        <v>185</v>
      </c>
      <c r="B150" s="150" t="s">
        <v>186</v>
      </c>
      <c r="F150" s="198" t="s">
        <v>73</v>
      </c>
      <c r="G150" s="198" t="s">
        <v>73</v>
      </c>
      <c r="H150" s="162">
        <f>H18</f>
        <v>3043858.19</v>
      </c>
      <c r="I150" s="162">
        <f>I18</f>
        <v>0</v>
      </c>
      <c r="J150" s="162">
        <f>J18</f>
        <v>2602879.34</v>
      </c>
      <c r="K150" s="162">
        <f>K18</f>
        <v>440978.85000000009</v>
      </c>
    </row>
    <row r="151" spans="1:11" ht="18" customHeight="1">
      <c r="B151" s="150"/>
      <c r="F151" s="174"/>
      <c r="G151" s="174"/>
      <c r="H151" s="174"/>
      <c r="I151" s="174"/>
      <c r="J151" s="174"/>
      <c r="K151" s="174"/>
    </row>
    <row r="152" spans="1:11" ht="18" customHeight="1">
      <c r="A152" s="154" t="s">
        <v>165</v>
      </c>
      <c r="B152" s="150" t="s">
        <v>26</v>
      </c>
      <c r="F152" s="201">
        <f t="shared" ref="F152:K152" si="22">SUM(F141:F150)</f>
        <v>100103</v>
      </c>
      <c r="G152" s="201">
        <f t="shared" si="22"/>
        <v>28354</v>
      </c>
      <c r="H152" s="201">
        <f t="shared" si="22"/>
        <v>9173422.9100000001</v>
      </c>
      <c r="I152" s="201">
        <f t="shared" si="22"/>
        <v>1871843.22432</v>
      </c>
      <c r="J152" s="201">
        <f t="shared" si="22"/>
        <v>2714574.34</v>
      </c>
      <c r="K152" s="201">
        <f t="shared" si="22"/>
        <v>9207691.7943200003</v>
      </c>
    </row>
    <row r="154" spans="1:11" ht="18" customHeight="1">
      <c r="A154" s="154" t="s">
        <v>168</v>
      </c>
      <c r="B154" s="150" t="s">
        <v>28</v>
      </c>
      <c r="F154" s="53">
        <f>K152/F121</f>
        <v>8.669326611731476E-2</v>
      </c>
    </row>
    <row r="155" spans="1:11" ht="18" customHeight="1">
      <c r="A155" s="154" t="s">
        <v>169</v>
      </c>
      <c r="B155" s="150" t="s">
        <v>72</v>
      </c>
      <c r="F155" s="53">
        <f>K152/F127</f>
        <v>-14.546241818859261</v>
      </c>
      <c r="G155" s="150"/>
    </row>
    <row r="156" spans="1:11" ht="18" customHeight="1">
      <c r="G156" s="150"/>
    </row>
  </sheetData>
  <sheetProtection algorithmName="SHA-512" hashValue="iVvdvBFvLJrCQayOzWBOnlmmkvSOlg0vsuWfxw4ykvUWsRMIU69Eos4F9LU4n3blGdfrud4L5z60Zw6vfmvLvQ==" saltValue="dNfDTr1s26G+Dg2uXX89nw==" spinCount="100000" sheet="1" objects="1" scenarios="1"/>
  <mergeCells count="34">
    <mergeCell ref="B41:C41"/>
    <mergeCell ref="D2:H2"/>
    <mergeCell ref="C5:G5"/>
    <mergeCell ref="C6:G6"/>
    <mergeCell ref="C7:G7"/>
    <mergeCell ref="C9:G9"/>
    <mergeCell ref="C10:G10"/>
    <mergeCell ref="C11:G11"/>
    <mergeCell ref="B13:H13"/>
    <mergeCell ref="B30:D30"/>
    <mergeCell ref="B31:D31"/>
    <mergeCell ref="B34:D34"/>
    <mergeCell ref="B90:C90"/>
    <mergeCell ref="B44:D44"/>
    <mergeCell ref="B45:D45"/>
    <mergeCell ref="B46:D46"/>
    <mergeCell ref="B47:D47"/>
    <mergeCell ref="B52:C52"/>
    <mergeCell ref="B53:D53"/>
    <mergeCell ref="B55:D55"/>
    <mergeCell ref="B56:D56"/>
    <mergeCell ref="B57:D57"/>
    <mergeCell ref="B59:D59"/>
    <mergeCell ref="B62:D62"/>
    <mergeCell ref="B106:D106"/>
    <mergeCell ref="B133:D133"/>
    <mergeCell ref="B134:D134"/>
    <mergeCell ref="B135:D135"/>
    <mergeCell ref="B94:D94"/>
    <mergeCell ref="B95:D95"/>
    <mergeCell ref="B96:D96"/>
    <mergeCell ref="B103:C103"/>
    <mergeCell ref="B104:D104"/>
    <mergeCell ref="B105:D105"/>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K156"/>
  <sheetViews>
    <sheetView showGridLines="0" zoomScaleNormal="100" zoomScaleSheetLayoutView="100" workbookViewId="0">
      <selection activeCell="K18" sqref="K18"/>
    </sheetView>
  </sheetViews>
  <sheetFormatPr defaultRowHeight="18" customHeight="1"/>
  <cols>
    <col min="1" max="1" width="8.28515625" style="146" customWidth="1"/>
    <col min="2" max="2" width="55.42578125" style="147" bestFit="1" customWidth="1"/>
    <col min="3" max="3" width="9.5703125" style="147" customWidth="1"/>
    <col min="4" max="4" width="9.140625" style="147"/>
    <col min="5" max="5" width="12.42578125" style="147" customWidth="1"/>
    <col min="6" max="6" width="18.5703125" style="147" customWidth="1"/>
    <col min="7" max="7" width="23.5703125" style="147" customWidth="1"/>
    <col min="8" max="8" width="17.140625" style="147" customWidth="1"/>
    <col min="9" max="9" width="21.140625" style="147" customWidth="1"/>
    <col min="10" max="10" width="19.85546875" style="147" customWidth="1"/>
    <col min="11" max="11" width="17.5703125" style="147" customWidth="1"/>
    <col min="12" max="16384" width="9.140625" style="147"/>
  </cols>
  <sheetData>
    <row r="1" spans="1:11" ht="18" customHeight="1">
      <c r="C1" s="148"/>
      <c r="D1" s="149"/>
      <c r="E1" s="148"/>
      <c r="F1" s="148"/>
      <c r="G1" s="148"/>
      <c r="H1" s="148"/>
      <c r="I1" s="148"/>
      <c r="J1" s="148"/>
      <c r="K1" s="148"/>
    </row>
    <row r="2" spans="1:11" ht="18" customHeight="1">
      <c r="D2" s="910" t="s">
        <v>713</v>
      </c>
      <c r="E2" s="911"/>
      <c r="F2" s="911"/>
      <c r="G2" s="911"/>
      <c r="H2" s="911"/>
    </row>
    <row r="3" spans="1:11" ht="18" customHeight="1">
      <c r="B3" s="150" t="s">
        <v>0</v>
      </c>
    </row>
    <row r="5" spans="1:11" ht="18" customHeight="1">
      <c r="B5" s="151" t="s">
        <v>40</v>
      </c>
      <c r="C5" s="917" t="s">
        <v>833</v>
      </c>
      <c r="D5" s="918"/>
      <c r="E5" s="918"/>
      <c r="F5" s="918"/>
      <c r="G5" s="919"/>
    </row>
    <row r="6" spans="1:11" ht="18" customHeight="1">
      <c r="B6" s="151" t="s">
        <v>3</v>
      </c>
      <c r="C6" s="929">
        <v>56</v>
      </c>
      <c r="D6" s="921"/>
      <c r="E6" s="921"/>
      <c r="F6" s="921"/>
      <c r="G6" s="922"/>
    </row>
    <row r="7" spans="1:11" ht="18" customHeight="1">
      <c r="B7" s="151" t="s">
        <v>4</v>
      </c>
      <c r="C7" s="930">
        <v>2200</v>
      </c>
      <c r="D7" s="924"/>
      <c r="E7" s="924"/>
      <c r="F7" s="924"/>
      <c r="G7" s="925"/>
    </row>
    <row r="9" spans="1:11" ht="18" customHeight="1">
      <c r="B9" s="151" t="s">
        <v>1</v>
      </c>
      <c r="C9" s="912" t="s">
        <v>497</v>
      </c>
      <c r="D9" s="918"/>
      <c r="E9" s="918"/>
      <c r="F9" s="918"/>
      <c r="G9" s="919"/>
    </row>
    <row r="10" spans="1:11" ht="18" customHeight="1">
      <c r="B10" s="151" t="s">
        <v>2</v>
      </c>
      <c r="C10" s="926" t="s">
        <v>491</v>
      </c>
      <c r="D10" s="927"/>
      <c r="E10" s="927"/>
      <c r="F10" s="927"/>
      <c r="G10" s="928"/>
    </row>
    <row r="11" spans="1:11" ht="18" customHeight="1">
      <c r="B11" s="151" t="s">
        <v>32</v>
      </c>
      <c r="C11" s="912" t="s">
        <v>498</v>
      </c>
      <c r="D11" s="913"/>
      <c r="E11" s="913"/>
      <c r="F11" s="913"/>
      <c r="G11" s="913"/>
    </row>
    <row r="12" spans="1:11" ht="18" customHeight="1">
      <c r="B12" s="151"/>
      <c r="C12" s="151"/>
      <c r="D12" s="151"/>
      <c r="E12" s="151"/>
      <c r="F12" s="151"/>
      <c r="G12" s="151"/>
    </row>
    <row r="13" spans="1:11" ht="24.6" customHeight="1">
      <c r="B13" s="914"/>
      <c r="C13" s="915"/>
      <c r="D13" s="915"/>
      <c r="E13" s="915"/>
      <c r="F13" s="915"/>
      <c r="G13" s="915"/>
      <c r="H13" s="916"/>
      <c r="I13" s="148"/>
    </row>
    <row r="14" spans="1:11" ht="18" customHeight="1">
      <c r="B14" s="152"/>
    </row>
    <row r="15" spans="1:11" ht="18" customHeight="1">
      <c r="B15" s="152"/>
    </row>
    <row r="16" spans="1:11" ht="45" customHeight="1">
      <c r="A16" s="149" t="s">
        <v>181</v>
      </c>
      <c r="B16" s="148"/>
      <c r="C16" s="148"/>
      <c r="D16" s="148"/>
      <c r="E16" s="148"/>
      <c r="F16" s="153" t="s">
        <v>9</v>
      </c>
      <c r="G16" s="153" t="s">
        <v>37</v>
      </c>
      <c r="H16" s="153" t="s">
        <v>29</v>
      </c>
      <c r="I16" s="153" t="s">
        <v>30</v>
      </c>
      <c r="J16" s="153" t="s">
        <v>33</v>
      </c>
      <c r="K16" s="153" t="s">
        <v>34</v>
      </c>
    </row>
    <row r="17" spans="1:11" ht="18" customHeight="1">
      <c r="A17" s="154" t="s">
        <v>184</v>
      </c>
      <c r="B17" s="150" t="s">
        <v>182</v>
      </c>
    </row>
    <row r="18" spans="1:11" ht="18" customHeight="1">
      <c r="A18" s="151" t="s">
        <v>185</v>
      </c>
      <c r="B18" s="155" t="s">
        <v>183</v>
      </c>
      <c r="F18" s="156" t="s">
        <v>73</v>
      </c>
      <c r="G18" s="156" t="s">
        <v>73</v>
      </c>
      <c r="H18" s="157">
        <v>7323938</v>
      </c>
      <c r="I18" s="158">
        <v>0</v>
      </c>
      <c r="J18" s="157">
        <v>6262882</v>
      </c>
      <c r="K18" s="159">
        <f>(H18+I18)-J18</f>
        <v>1061056</v>
      </c>
    </row>
    <row r="19" spans="1:11" ht="45" customHeight="1">
      <c r="A19" s="149" t="s">
        <v>8</v>
      </c>
      <c r="B19" s="148"/>
      <c r="C19" s="148"/>
      <c r="D19" s="148"/>
      <c r="E19" s="148"/>
      <c r="F19" s="153" t="s">
        <v>9</v>
      </c>
      <c r="G19" s="153" t="s">
        <v>37</v>
      </c>
      <c r="H19" s="153" t="s">
        <v>29</v>
      </c>
      <c r="I19" s="153" t="s">
        <v>30</v>
      </c>
      <c r="J19" s="153" t="s">
        <v>33</v>
      </c>
      <c r="K19" s="153" t="s">
        <v>34</v>
      </c>
    </row>
    <row r="20" spans="1:11" ht="18" customHeight="1">
      <c r="A20" s="154" t="s">
        <v>74</v>
      </c>
      <c r="B20" s="150" t="s">
        <v>41</v>
      </c>
    </row>
    <row r="21" spans="1:11" ht="18" customHeight="1">
      <c r="A21" s="151" t="s">
        <v>75</v>
      </c>
      <c r="B21" s="155" t="s">
        <v>42</v>
      </c>
      <c r="F21" s="156">
        <v>1981.5</v>
      </c>
      <c r="G21" s="156">
        <v>6673</v>
      </c>
      <c r="H21" s="157">
        <v>114813</v>
      </c>
      <c r="I21" s="158">
        <v>61185</v>
      </c>
      <c r="J21" s="157">
        <v>7920</v>
      </c>
      <c r="K21" s="159">
        <f t="shared" ref="K21:K34" si="0">(H21+I21)-J21</f>
        <v>168078</v>
      </c>
    </row>
    <row r="22" spans="1:11" ht="18" customHeight="1">
      <c r="A22" s="151" t="s">
        <v>76</v>
      </c>
      <c r="B22" s="147" t="s">
        <v>6</v>
      </c>
      <c r="F22" s="156"/>
      <c r="G22" s="156"/>
      <c r="H22" s="157"/>
      <c r="I22" s="158">
        <f t="shared" ref="I22:I34" si="1">H22*F$114</f>
        <v>0</v>
      </c>
      <c r="J22" s="157"/>
      <c r="K22" s="159">
        <f t="shared" si="0"/>
        <v>0</v>
      </c>
    </row>
    <row r="23" spans="1:11" ht="18" customHeight="1">
      <c r="A23" s="151" t="s">
        <v>77</v>
      </c>
      <c r="B23" s="147" t="s">
        <v>43</v>
      </c>
      <c r="F23" s="156">
        <v>2917.5</v>
      </c>
      <c r="G23" s="156">
        <v>22360</v>
      </c>
      <c r="H23" s="157">
        <v>91535</v>
      </c>
      <c r="I23" s="158">
        <v>58577</v>
      </c>
      <c r="J23" s="157">
        <v>29140</v>
      </c>
      <c r="K23" s="159">
        <f t="shared" si="0"/>
        <v>120972</v>
      </c>
    </row>
    <row r="24" spans="1:11" ht="18" customHeight="1">
      <c r="A24" s="151" t="s">
        <v>78</v>
      </c>
      <c r="B24" s="147" t="s">
        <v>44</v>
      </c>
      <c r="F24" s="156">
        <v>2083.8000000000002</v>
      </c>
      <c r="G24" s="156">
        <v>2025</v>
      </c>
      <c r="H24" s="157">
        <v>110228</v>
      </c>
      <c r="I24" s="158">
        <v>77599</v>
      </c>
      <c r="J24" s="157">
        <v>30</v>
      </c>
      <c r="K24" s="159">
        <f t="shared" si="0"/>
        <v>187797</v>
      </c>
    </row>
    <row r="25" spans="1:11" ht="18" customHeight="1">
      <c r="A25" s="151" t="s">
        <v>79</v>
      </c>
      <c r="B25" s="147" t="s">
        <v>5</v>
      </c>
      <c r="F25" s="156">
        <v>137.5</v>
      </c>
      <c r="G25" s="156">
        <v>55</v>
      </c>
      <c r="H25" s="157">
        <v>9900</v>
      </c>
      <c r="I25" s="158">
        <v>6970</v>
      </c>
      <c r="J25" s="157">
        <v>2750</v>
      </c>
      <c r="K25" s="159">
        <f t="shared" si="0"/>
        <v>14120</v>
      </c>
    </row>
    <row r="26" spans="1:11" ht="18" customHeight="1">
      <c r="A26" s="151" t="s">
        <v>80</v>
      </c>
      <c r="B26" s="147" t="s">
        <v>45</v>
      </c>
      <c r="F26" s="156"/>
      <c r="G26" s="156"/>
      <c r="H26" s="157"/>
      <c r="I26" s="158">
        <f t="shared" si="1"/>
        <v>0</v>
      </c>
      <c r="J26" s="157"/>
      <c r="K26" s="159">
        <f t="shared" si="0"/>
        <v>0</v>
      </c>
    </row>
    <row r="27" spans="1:11" ht="18" customHeight="1">
      <c r="A27" s="151" t="s">
        <v>81</v>
      </c>
      <c r="B27" s="147" t="s">
        <v>46</v>
      </c>
      <c r="F27" s="156"/>
      <c r="G27" s="156"/>
      <c r="H27" s="157"/>
      <c r="I27" s="158">
        <f t="shared" si="1"/>
        <v>0</v>
      </c>
      <c r="J27" s="157"/>
      <c r="K27" s="159">
        <f t="shared" si="0"/>
        <v>0</v>
      </c>
    </row>
    <row r="28" spans="1:11" ht="18" customHeight="1">
      <c r="A28" s="151" t="s">
        <v>82</v>
      </c>
      <c r="B28" s="147" t="s">
        <v>47</v>
      </c>
      <c r="F28" s="156"/>
      <c r="G28" s="156"/>
      <c r="H28" s="157"/>
      <c r="I28" s="158">
        <f t="shared" si="1"/>
        <v>0</v>
      </c>
      <c r="J28" s="157"/>
      <c r="K28" s="159">
        <f t="shared" si="0"/>
        <v>0</v>
      </c>
    </row>
    <row r="29" spans="1:11" ht="18" customHeight="1">
      <c r="A29" s="151" t="s">
        <v>83</v>
      </c>
      <c r="B29" s="147" t="s">
        <v>48</v>
      </c>
      <c r="F29" s="156">
        <v>7837</v>
      </c>
      <c r="G29" s="156">
        <v>14900</v>
      </c>
      <c r="H29" s="157">
        <v>344131</v>
      </c>
      <c r="I29" s="158">
        <v>128842</v>
      </c>
      <c r="J29" s="157"/>
      <c r="K29" s="159">
        <f t="shared" si="0"/>
        <v>472973</v>
      </c>
    </row>
    <row r="30" spans="1:11" ht="18" customHeight="1">
      <c r="A30" s="151" t="s">
        <v>84</v>
      </c>
      <c r="B30" s="898"/>
      <c r="C30" s="899"/>
      <c r="D30" s="900"/>
      <c r="F30" s="156"/>
      <c r="G30" s="156"/>
      <c r="H30" s="157"/>
      <c r="I30" s="158">
        <f t="shared" si="1"/>
        <v>0</v>
      </c>
      <c r="J30" s="157"/>
      <c r="K30" s="159">
        <f t="shared" si="0"/>
        <v>0</v>
      </c>
    </row>
    <row r="31" spans="1:11" ht="18" customHeight="1">
      <c r="A31" s="151" t="s">
        <v>133</v>
      </c>
      <c r="B31" s="898"/>
      <c r="C31" s="899"/>
      <c r="D31" s="900"/>
      <c r="F31" s="156"/>
      <c r="G31" s="156"/>
      <c r="H31" s="157"/>
      <c r="I31" s="158">
        <f t="shared" si="1"/>
        <v>0</v>
      </c>
      <c r="J31" s="157"/>
      <c r="K31" s="159">
        <f t="shared" si="0"/>
        <v>0</v>
      </c>
    </row>
    <row r="32" spans="1:11" ht="18" customHeight="1">
      <c r="A32" s="151" t="s">
        <v>134</v>
      </c>
      <c r="B32" s="393"/>
      <c r="C32" s="394"/>
      <c r="D32" s="395"/>
      <c r="F32" s="156"/>
      <c r="G32" s="160" t="s">
        <v>85</v>
      </c>
      <c r="H32" s="157"/>
      <c r="I32" s="158">
        <f t="shared" si="1"/>
        <v>0</v>
      </c>
      <c r="J32" s="157"/>
      <c r="K32" s="159">
        <f t="shared" si="0"/>
        <v>0</v>
      </c>
    </row>
    <row r="33" spans="1:11" ht="18" customHeight="1">
      <c r="A33" s="151" t="s">
        <v>135</v>
      </c>
      <c r="B33" s="393"/>
      <c r="C33" s="394"/>
      <c r="D33" s="395"/>
      <c r="F33" s="156"/>
      <c r="G33" s="160" t="s">
        <v>85</v>
      </c>
      <c r="H33" s="157"/>
      <c r="I33" s="158">
        <f t="shared" si="1"/>
        <v>0</v>
      </c>
      <c r="J33" s="157"/>
      <c r="K33" s="159">
        <f t="shared" si="0"/>
        <v>0</v>
      </c>
    </row>
    <row r="34" spans="1:11" ht="18" customHeight="1">
      <c r="A34" s="151" t="s">
        <v>136</v>
      </c>
      <c r="B34" s="898"/>
      <c r="C34" s="899"/>
      <c r="D34" s="900"/>
      <c r="F34" s="156"/>
      <c r="G34" s="160" t="s">
        <v>85</v>
      </c>
      <c r="H34" s="157"/>
      <c r="I34" s="158">
        <f t="shared" si="1"/>
        <v>0</v>
      </c>
      <c r="J34" s="157"/>
      <c r="K34" s="159">
        <f t="shared" si="0"/>
        <v>0</v>
      </c>
    </row>
    <row r="35" spans="1:11" ht="18" customHeight="1">
      <c r="K35" s="161"/>
    </row>
    <row r="36" spans="1:11" ht="18" customHeight="1">
      <c r="A36" s="154" t="s">
        <v>137</v>
      </c>
      <c r="B36" s="150" t="s">
        <v>138</v>
      </c>
      <c r="E36" s="150" t="s">
        <v>7</v>
      </c>
      <c r="F36" s="162">
        <f t="shared" ref="F36:K36" si="2">SUM(F21:F34)</f>
        <v>14957.3</v>
      </c>
      <c r="G36" s="162">
        <f t="shared" si="2"/>
        <v>46013</v>
      </c>
      <c r="H36" s="162">
        <f t="shared" si="2"/>
        <v>670607</v>
      </c>
      <c r="I36" s="159">
        <f t="shared" si="2"/>
        <v>333173</v>
      </c>
      <c r="J36" s="159">
        <f t="shared" si="2"/>
        <v>39840</v>
      </c>
      <c r="K36" s="159">
        <f t="shared" si="2"/>
        <v>963940</v>
      </c>
    </row>
    <row r="37" spans="1:11" ht="18" customHeight="1" thickBot="1">
      <c r="B37" s="150"/>
      <c r="F37" s="163"/>
      <c r="G37" s="163"/>
      <c r="H37" s="164"/>
      <c r="I37" s="164"/>
      <c r="J37" s="164"/>
      <c r="K37" s="165"/>
    </row>
    <row r="38" spans="1:11" ht="42.75" customHeight="1">
      <c r="F38" s="153" t="s">
        <v>9</v>
      </c>
      <c r="G38" s="153" t="s">
        <v>37</v>
      </c>
      <c r="H38" s="153" t="s">
        <v>29</v>
      </c>
      <c r="I38" s="153" t="s">
        <v>30</v>
      </c>
      <c r="J38" s="153" t="s">
        <v>33</v>
      </c>
      <c r="K38" s="153" t="s">
        <v>34</v>
      </c>
    </row>
    <row r="39" spans="1:11" ht="18.75" customHeight="1">
      <c r="A39" s="154" t="s">
        <v>86</v>
      </c>
      <c r="B39" s="150" t="s">
        <v>49</v>
      </c>
    </row>
    <row r="40" spans="1:11" ht="18" customHeight="1">
      <c r="A40" s="151" t="s">
        <v>87</v>
      </c>
      <c r="B40" s="147" t="s">
        <v>31</v>
      </c>
      <c r="F40" s="156">
        <v>95610</v>
      </c>
      <c r="G40" s="156"/>
      <c r="H40" s="157">
        <v>4369946</v>
      </c>
      <c r="I40" s="158">
        <v>3076442</v>
      </c>
      <c r="J40" s="157"/>
      <c r="K40" s="159">
        <f t="shared" ref="K40:K47" si="3">(H40+I40)-J40</f>
        <v>7446388</v>
      </c>
    </row>
    <row r="41" spans="1:11" ht="18" customHeight="1">
      <c r="A41" s="151" t="s">
        <v>88</v>
      </c>
      <c r="B41" s="904" t="s">
        <v>50</v>
      </c>
      <c r="C41" s="907"/>
      <c r="F41" s="156">
        <v>1812</v>
      </c>
      <c r="G41" s="156">
        <v>698</v>
      </c>
      <c r="H41" s="157">
        <v>97951</v>
      </c>
      <c r="I41" s="158">
        <v>31968</v>
      </c>
      <c r="J41" s="157"/>
      <c r="K41" s="159">
        <f t="shared" si="3"/>
        <v>129919</v>
      </c>
    </row>
    <row r="42" spans="1:11" ht="18" customHeight="1">
      <c r="A42" s="151" t="s">
        <v>89</v>
      </c>
      <c r="B42" s="155" t="s">
        <v>11</v>
      </c>
      <c r="F42" s="156">
        <v>520</v>
      </c>
      <c r="G42" s="156">
        <v>25</v>
      </c>
      <c r="H42" s="157">
        <v>28016</v>
      </c>
      <c r="I42" s="158">
        <v>8307</v>
      </c>
      <c r="J42" s="157"/>
      <c r="K42" s="159">
        <f t="shared" si="3"/>
        <v>36323</v>
      </c>
    </row>
    <row r="43" spans="1:11" ht="18" customHeight="1">
      <c r="A43" s="151" t="s">
        <v>90</v>
      </c>
      <c r="B43" s="166" t="s">
        <v>10</v>
      </c>
      <c r="C43" s="167"/>
      <c r="D43" s="167"/>
      <c r="F43" s="156"/>
      <c r="G43" s="156"/>
      <c r="H43" s="157"/>
      <c r="I43" s="158">
        <v>0</v>
      </c>
      <c r="J43" s="157"/>
      <c r="K43" s="159">
        <f t="shared" si="3"/>
        <v>0</v>
      </c>
    </row>
    <row r="44" spans="1:11" ht="18" customHeight="1">
      <c r="A44" s="151" t="s">
        <v>91</v>
      </c>
      <c r="B44" s="898"/>
      <c r="C44" s="899"/>
      <c r="D44" s="900"/>
      <c r="F44" s="168"/>
      <c r="G44" s="168"/>
      <c r="H44" s="168"/>
      <c r="I44" s="169">
        <v>0</v>
      </c>
      <c r="J44" s="168"/>
      <c r="K44" s="170">
        <f t="shared" si="3"/>
        <v>0</v>
      </c>
    </row>
    <row r="45" spans="1:11" ht="18" customHeight="1">
      <c r="A45" s="151" t="s">
        <v>139</v>
      </c>
      <c r="B45" s="898"/>
      <c r="C45" s="899"/>
      <c r="D45" s="900"/>
      <c r="F45" s="156"/>
      <c r="G45" s="156"/>
      <c r="H45" s="157"/>
      <c r="I45" s="158">
        <v>0</v>
      </c>
      <c r="J45" s="157"/>
      <c r="K45" s="159">
        <f t="shared" si="3"/>
        <v>0</v>
      </c>
    </row>
    <row r="46" spans="1:11" ht="18" customHeight="1">
      <c r="A46" s="151" t="s">
        <v>140</v>
      </c>
      <c r="B46" s="898"/>
      <c r="C46" s="899"/>
      <c r="D46" s="900"/>
      <c r="F46" s="156"/>
      <c r="G46" s="156"/>
      <c r="H46" s="157"/>
      <c r="I46" s="158">
        <v>0</v>
      </c>
      <c r="J46" s="157"/>
      <c r="K46" s="159">
        <f t="shared" si="3"/>
        <v>0</v>
      </c>
    </row>
    <row r="47" spans="1:11" ht="18" customHeight="1">
      <c r="A47" s="151" t="s">
        <v>141</v>
      </c>
      <c r="B47" s="898"/>
      <c r="C47" s="899"/>
      <c r="D47" s="900"/>
      <c r="F47" s="156"/>
      <c r="G47" s="156"/>
      <c r="H47" s="157"/>
      <c r="I47" s="158">
        <v>0</v>
      </c>
      <c r="J47" s="157"/>
      <c r="K47" s="159">
        <f t="shared" si="3"/>
        <v>0</v>
      </c>
    </row>
    <row r="49" spans="1:11" ht="18" customHeight="1">
      <c r="A49" s="154" t="s">
        <v>142</v>
      </c>
      <c r="B49" s="150" t="s">
        <v>143</v>
      </c>
      <c r="E49" s="150" t="s">
        <v>7</v>
      </c>
      <c r="F49" s="171">
        <f t="shared" ref="F49:K49" si="4">SUM(F40:F47)</f>
        <v>97942</v>
      </c>
      <c r="G49" s="171">
        <f t="shared" si="4"/>
        <v>723</v>
      </c>
      <c r="H49" s="159">
        <f t="shared" si="4"/>
        <v>4495913</v>
      </c>
      <c r="I49" s="159">
        <f t="shared" si="4"/>
        <v>3116717</v>
      </c>
      <c r="J49" s="159">
        <f t="shared" si="4"/>
        <v>0</v>
      </c>
      <c r="K49" s="159">
        <f t="shared" si="4"/>
        <v>7612630</v>
      </c>
    </row>
    <row r="50" spans="1:11" ht="18" customHeight="1" thickBot="1">
      <c r="G50" s="172"/>
      <c r="H50" s="172"/>
      <c r="I50" s="172"/>
      <c r="J50" s="172"/>
      <c r="K50" s="172"/>
    </row>
    <row r="51" spans="1:11" ht="42.75" customHeight="1">
      <c r="F51" s="153" t="s">
        <v>9</v>
      </c>
      <c r="G51" s="153" t="s">
        <v>37</v>
      </c>
      <c r="H51" s="153" t="s">
        <v>29</v>
      </c>
      <c r="I51" s="153" t="s">
        <v>30</v>
      </c>
      <c r="J51" s="153" t="s">
        <v>33</v>
      </c>
      <c r="K51" s="153" t="s">
        <v>34</v>
      </c>
    </row>
    <row r="52" spans="1:11" ht="18" customHeight="1">
      <c r="A52" s="154" t="s">
        <v>92</v>
      </c>
      <c r="B52" s="905" t="s">
        <v>38</v>
      </c>
      <c r="C52" s="906"/>
    </row>
    <row r="53" spans="1:11" ht="18" customHeight="1">
      <c r="A53" s="151" t="s">
        <v>51</v>
      </c>
      <c r="B53" s="1118" t="s">
        <v>493</v>
      </c>
      <c r="C53" s="909"/>
      <c r="D53" s="903"/>
      <c r="F53" s="156"/>
      <c r="G53" s="156"/>
      <c r="H53" s="157">
        <v>255150</v>
      </c>
      <c r="I53" s="158">
        <v>0</v>
      </c>
      <c r="J53" s="157"/>
      <c r="K53" s="159">
        <f t="shared" ref="K53:K62" si="5">(H53+I53)-J53</f>
        <v>255150</v>
      </c>
    </row>
    <row r="54" spans="1:11" ht="18" customHeight="1">
      <c r="A54" s="151" t="s">
        <v>93</v>
      </c>
      <c r="B54" s="398" t="s">
        <v>834</v>
      </c>
      <c r="C54" s="397"/>
      <c r="D54" s="392"/>
      <c r="F54" s="156">
        <v>42802</v>
      </c>
      <c r="G54" s="156">
        <v>5666</v>
      </c>
      <c r="H54" s="157">
        <v>4280540</v>
      </c>
      <c r="I54" s="158">
        <v>0</v>
      </c>
      <c r="J54" s="157">
        <v>2807566</v>
      </c>
      <c r="K54" s="159">
        <f t="shared" si="5"/>
        <v>1472974</v>
      </c>
    </row>
    <row r="55" spans="1:11" ht="18" customHeight="1">
      <c r="A55" s="151" t="s">
        <v>94</v>
      </c>
      <c r="B55" s="901"/>
      <c r="C55" s="902"/>
      <c r="D55" s="903"/>
      <c r="F55" s="156"/>
      <c r="G55" s="156"/>
      <c r="H55" s="157"/>
      <c r="I55" s="158">
        <v>0</v>
      </c>
      <c r="J55" s="157"/>
      <c r="K55" s="159">
        <f t="shared" si="5"/>
        <v>0</v>
      </c>
    </row>
    <row r="56" spans="1:11" ht="18" customHeight="1">
      <c r="A56" s="151" t="s">
        <v>95</v>
      </c>
      <c r="B56" s="901"/>
      <c r="C56" s="902"/>
      <c r="D56" s="903"/>
      <c r="F56" s="156"/>
      <c r="G56" s="156"/>
      <c r="H56" s="157"/>
      <c r="I56" s="158">
        <v>0</v>
      </c>
      <c r="J56" s="157"/>
      <c r="K56" s="159">
        <f t="shared" si="5"/>
        <v>0</v>
      </c>
    </row>
    <row r="57" spans="1:11" ht="18" customHeight="1">
      <c r="A57" s="151" t="s">
        <v>96</v>
      </c>
      <c r="B57" s="901"/>
      <c r="C57" s="902"/>
      <c r="D57" s="903"/>
      <c r="F57" s="156"/>
      <c r="G57" s="156"/>
      <c r="H57" s="157"/>
      <c r="I57" s="158">
        <v>0</v>
      </c>
      <c r="J57" s="157"/>
      <c r="K57" s="159">
        <f t="shared" si="5"/>
        <v>0</v>
      </c>
    </row>
    <row r="58" spans="1:11" ht="18" customHeight="1">
      <c r="A58" s="151" t="s">
        <v>97</v>
      </c>
      <c r="B58" s="398" t="s">
        <v>517</v>
      </c>
      <c r="C58" s="397"/>
      <c r="D58" s="392"/>
      <c r="F58" s="156">
        <v>209000</v>
      </c>
      <c r="G58" s="156">
        <v>665</v>
      </c>
      <c r="H58" s="157">
        <v>14982200</v>
      </c>
      <c r="I58" s="158">
        <v>4039288</v>
      </c>
      <c r="J58" s="157">
        <v>16020060</v>
      </c>
      <c r="K58" s="159">
        <f t="shared" si="5"/>
        <v>3001428</v>
      </c>
    </row>
    <row r="59" spans="1:11" ht="18" customHeight="1">
      <c r="A59" s="151" t="s">
        <v>98</v>
      </c>
      <c r="B59" s="1092" t="s">
        <v>835</v>
      </c>
      <c r="C59" s="902"/>
      <c r="D59" s="903"/>
      <c r="F59" s="156"/>
      <c r="G59" s="156"/>
      <c r="H59" s="157">
        <v>5524300</v>
      </c>
      <c r="I59" s="158">
        <v>2516443</v>
      </c>
      <c r="J59" s="157">
        <v>5356366</v>
      </c>
      <c r="K59" s="159">
        <f t="shared" si="5"/>
        <v>2684377</v>
      </c>
    </row>
    <row r="60" spans="1:11" ht="18" customHeight="1">
      <c r="A60" s="151" t="s">
        <v>99</v>
      </c>
      <c r="B60" s="398" t="s">
        <v>504</v>
      </c>
      <c r="C60" s="397"/>
      <c r="D60" s="392"/>
      <c r="F60" s="156"/>
      <c r="G60" s="156"/>
      <c r="H60" s="157">
        <v>61837</v>
      </c>
      <c r="I60" s="158">
        <v>0</v>
      </c>
      <c r="J60" s="157"/>
      <c r="K60" s="159">
        <f t="shared" si="5"/>
        <v>61837</v>
      </c>
    </row>
    <row r="61" spans="1:11" ht="18" customHeight="1">
      <c r="A61" s="151" t="s">
        <v>100</v>
      </c>
      <c r="B61" s="396"/>
      <c r="C61" s="397"/>
      <c r="D61" s="392"/>
      <c r="F61" s="156"/>
      <c r="G61" s="156"/>
      <c r="H61" s="157"/>
      <c r="I61" s="158">
        <v>0</v>
      </c>
      <c r="J61" s="157"/>
      <c r="K61" s="159">
        <f t="shared" si="5"/>
        <v>0</v>
      </c>
    </row>
    <row r="62" spans="1:11" ht="18" customHeight="1">
      <c r="A62" s="151" t="s">
        <v>101</v>
      </c>
      <c r="B62" s="901"/>
      <c r="C62" s="902"/>
      <c r="D62" s="903"/>
      <c r="F62" s="156"/>
      <c r="G62" s="156"/>
      <c r="H62" s="157"/>
      <c r="I62" s="158">
        <v>0</v>
      </c>
      <c r="J62" s="157"/>
      <c r="K62" s="159">
        <f t="shared" si="5"/>
        <v>0</v>
      </c>
    </row>
    <row r="63" spans="1:11" ht="18" customHeight="1">
      <c r="A63" s="151"/>
      <c r="I63" s="173"/>
    </row>
    <row r="64" spans="1:11" ht="18" customHeight="1">
      <c r="A64" s="151" t="s">
        <v>144</v>
      </c>
      <c r="B64" s="150" t="s">
        <v>145</v>
      </c>
      <c r="E64" s="150" t="s">
        <v>7</v>
      </c>
      <c r="F64" s="162">
        <f t="shared" ref="F64:K64" si="6">SUM(F53:F62)</f>
        <v>251802</v>
      </c>
      <c r="G64" s="162">
        <f t="shared" si="6"/>
        <v>6331</v>
      </c>
      <c r="H64" s="159">
        <f t="shared" si="6"/>
        <v>25104027</v>
      </c>
      <c r="I64" s="159">
        <f t="shared" si="6"/>
        <v>6555731</v>
      </c>
      <c r="J64" s="159">
        <f t="shared" si="6"/>
        <v>24183992</v>
      </c>
      <c r="K64" s="159">
        <f t="shared" si="6"/>
        <v>7475766</v>
      </c>
    </row>
    <row r="65" spans="1:11" ht="18" customHeight="1">
      <c r="F65" s="174"/>
      <c r="G65" s="174"/>
      <c r="H65" s="174"/>
      <c r="I65" s="174"/>
      <c r="J65" s="174"/>
      <c r="K65" s="174"/>
    </row>
    <row r="66" spans="1:11" ht="42.75" customHeight="1">
      <c r="F66" s="175" t="s">
        <v>9</v>
      </c>
      <c r="G66" s="175" t="s">
        <v>37</v>
      </c>
      <c r="H66" s="175" t="s">
        <v>29</v>
      </c>
      <c r="I66" s="175" t="s">
        <v>30</v>
      </c>
      <c r="J66" s="175" t="s">
        <v>33</v>
      </c>
      <c r="K66" s="175" t="s">
        <v>34</v>
      </c>
    </row>
    <row r="67" spans="1:11" ht="18" customHeight="1">
      <c r="A67" s="154" t="s">
        <v>102</v>
      </c>
      <c r="B67" s="150" t="s">
        <v>12</v>
      </c>
      <c r="F67" s="176"/>
      <c r="G67" s="176"/>
      <c r="H67" s="176"/>
      <c r="I67" s="177"/>
      <c r="J67" s="176"/>
      <c r="K67" s="178"/>
    </row>
    <row r="68" spans="1:11" ht="18" customHeight="1">
      <c r="A68" s="151" t="s">
        <v>103</v>
      </c>
      <c r="B68" s="147" t="s">
        <v>52</v>
      </c>
      <c r="F68" s="179"/>
      <c r="G68" s="179"/>
      <c r="H68" s="179"/>
      <c r="I68" s="158">
        <v>0</v>
      </c>
      <c r="J68" s="179"/>
      <c r="K68" s="159">
        <f>(H68+I68)-J68</f>
        <v>0</v>
      </c>
    </row>
    <row r="69" spans="1:11" ht="18" customHeight="1">
      <c r="A69" s="151" t="s">
        <v>104</v>
      </c>
      <c r="B69" s="155" t="s">
        <v>53</v>
      </c>
      <c r="F69" s="179"/>
      <c r="G69" s="179"/>
      <c r="H69" s="179"/>
      <c r="I69" s="158">
        <v>0</v>
      </c>
      <c r="J69" s="179"/>
      <c r="K69" s="159">
        <f>(H69+I69)-J69</f>
        <v>0</v>
      </c>
    </row>
    <row r="70" spans="1:11" ht="18" customHeight="1">
      <c r="A70" s="151" t="s">
        <v>178</v>
      </c>
      <c r="B70" s="396"/>
      <c r="C70" s="397"/>
      <c r="D70" s="392"/>
      <c r="E70" s="150"/>
      <c r="F70" s="180"/>
      <c r="G70" s="180"/>
      <c r="H70" s="181"/>
      <c r="I70" s="158">
        <v>0</v>
      </c>
      <c r="J70" s="181"/>
      <c r="K70" s="159">
        <f>(H70+I70)-J70</f>
        <v>0</v>
      </c>
    </row>
    <row r="71" spans="1:11" ht="18" customHeight="1">
      <c r="A71" s="151" t="s">
        <v>179</v>
      </c>
      <c r="B71" s="396"/>
      <c r="C71" s="397"/>
      <c r="D71" s="392"/>
      <c r="E71" s="150"/>
      <c r="F71" s="180"/>
      <c r="G71" s="180"/>
      <c r="H71" s="181"/>
      <c r="I71" s="158">
        <v>0</v>
      </c>
      <c r="J71" s="181"/>
      <c r="K71" s="159">
        <f>(H71+I71)-J71</f>
        <v>0</v>
      </c>
    </row>
    <row r="72" spans="1:11" ht="18" customHeight="1">
      <c r="A72" s="151" t="s">
        <v>180</v>
      </c>
      <c r="B72" s="390"/>
      <c r="C72" s="391"/>
      <c r="D72" s="182"/>
      <c r="E72" s="150"/>
      <c r="F72" s="156"/>
      <c r="G72" s="156"/>
      <c r="H72" s="157"/>
      <c r="I72" s="158">
        <v>0</v>
      </c>
      <c r="J72" s="157"/>
      <c r="K72" s="159">
        <f>(H72+I72)-J72</f>
        <v>0</v>
      </c>
    </row>
    <row r="73" spans="1:11" ht="18" customHeight="1">
      <c r="A73" s="151"/>
      <c r="B73" s="155"/>
      <c r="E73" s="150"/>
      <c r="F73" s="183"/>
      <c r="G73" s="183"/>
      <c r="H73" s="184"/>
      <c r="I73" s="177"/>
      <c r="J73" s="184"/>
      <c r="K73" s="178"/>
    </row>
    <row r="74" spans="1:11" ht="18" customHeight="1">
      <c r="A74" s="154" t="s">
        <v>146</v>
      </c>
      <c r="B74" s="150" t="s">
        <v>147</v>
      </c>
      <c r="E74" s="150" t="s">
        <v>7</v>
      </c>
      <c r="F74" s="185">
        <f t="shared" ref="F74:K74" si="7">SUM(F68:F72)</f>
        <v>0</v>
      </c>
      <c r="G74" s="185">
        <f t="shared" si="7"/>
        <v>0</v>
      </c>
      <c r="H74" s="185">
        <f t="shared" si="7"/>
        <v>0</v>
      </c>
      <c r="I74" s="186">
        <f t="shared" si="7"/>
        <v>0</v>
      </c>
      <c r="J74" s="185">
        <f t="shared" si="7"/>
        <v>0</v>
      </c>
      <c r="K74" s="187">
        <f t="shared" si="7"/>
        <v>0</v>
      </c>
    </row>
    <row r="75" spans="1:11" ht="42.75" customHeight="1">
      <c r="F75" s="153" t="s">
        <v>9</v>
      </c>
      <c r="G75" s="153" t="s">
        <v>37</v>
      </c>
      <c r="H75" s="153" t="s">
        <v>29</v>
      </c>
      <c r="I75" s="153" t="s">
        <v>30</v>
      </c>
      <c r="J75" s="153" t="s">
        <v>33</v>
      </c>
      <c r="K75" s="153" t="s">
        <v>34</v>
      </c>
    </row>
    <row r="76" spans="1:11" ht="18" customHeight="1">
      <c r="A76" s="154" t="s">
        <v>105</v>
      </c>
      <c r="B76" s="150" t="s">
        <v>106</v>
      </c>
    </row>
    <row r="77" spans="1:11" ht="18" customHeight="1">
      <c r="A77" s="151" t="s">
        <v>107</v>
      </c>
      <c r="B77" s="155" t="s">
        <v>54</v>
      </c>
      <c r="F77" s="156"/>
      <c r="G77" s="156"/>
      <c r="H77" s="157">
        <v>29667</v>
      </c>
      <c r="I77" s="158">
        <v>0</v>
      </c>
      <c r="J77" s="157">
        <v>3000</v>
      </c>
      <c r="K77" s="159">
        <f>(H77+I77)-J77</f>
        <v>26667</v>
      </c>
    </row>
    <row r="78" spans="1:11" ht="18" customHeight="1">
      <c r="A78" s="151" t="s">
        <v>108</v>
      </c>
      <c r="B78" s="155" t="s">
        <v>55</v>
      </c>
      <c r="F78" s="156"/>
      <c r="G78" s="156"/>
      <c r="H78" s="157"/>
      <c r="I78" s="158">
        <v>0</v>
      </c>
      <c r="J78" s="157"/>
      <c r="K78" s="159">
        <f>(H78+I78)-J78</f>
        <v>0</v>
      </c>
    </row>
    <row r="79" spans="1:11" ht="18" customHeight="1">
      <c r="A79" s="151" t="s">
        <v>109</v>
      </c>
      <c r="B79" s="155" t="s">
        <v>13</v>
      </c>
      <c r="F79" s="156">
        <v>12</v>
      </c>
      <c r="G79" s="156">
        <v>200</v>
      </c>
      <c r="H79" s="157">
        <v>3092</v>
      </c>
      <c r="I79" s="158">
        <v>2177</v>
      </c>
      <c r="J79" s="157"/>
      <c r="K79" s="159">
        <f>(H79+I79)-J79</f>
        <v>5269</v>
      </c>
    </row>
    <row r="80" spans="1:11" ht="18" customHeight="1">
      <c r="A80" s="151" t="s">
        <v>110</v>
      </c>
      <c r="B80" s="155" t="s">
        <v>56</v>
      </c>
      <c r="F80" s="156"/>
      <c r="G80" s="156"/>
      <c r="H80" s="157"/>
      <c r="I80" s="158">
        <v>0</v>
      </c>
      <c r="J80" s="157"/>
      <c r="K80" s="159">
        <f>(H80+I80)-J80</f>
        <v>0</v>
      </c>
    </row>
    <row r="81" spans="1:11" ht="18" customHeight="1">
      <c r="A81" s="151"/>
      <c r="K81" s="188"/>
    </row>
    <row r="82" spans="1:11" ht="18" customHeight="1">
      <c r="A82" s="151" t="s">
        <v>148</v>
      </c>
      <c r="B82" s="150" t="s">
        <v>149</v>
      </c>
      <c r="E82" s="150" t="s">
        <v>7</v>
      </c>
      <c r="F82" s="185">
        <f t="shared" ref="F82:K82" si="8">SUM(F77:F80)</f>
        <v>12</v>
      </c>
      <c r="G82" s="185">
        <f t="shared" si="8"/>
        <v>200</v>
      </c>
      <c r="H82" s="187">
        <f t="shared" si="8"/>
        <v>32759</v>
      </c>
      <c r="I82" s="187">
        <f t="shared" si="8"/>
        <v>2177</v>
      </c>
      <c r="J82" s="187">
        <f t="shared" si="8"/>
        <v>3000</v>
      </c>
      <c r="K82" s="187">
        <f t="shared" si="8"/>
        <v>31936</v>
      </c>
    </row>
    <row r="83" spans="1:11" ht="18" customHeight="1" thickBot="1">
      <c r="A83" s="151"/>
      <c r="F83" s="172"/>
      <c r="G83" s="172"/>
      <c r="H83" s="172"/>
      <c r="I83" s="172"/>
      <c r="J83" s="172"/>
      <c r="K83" s="172"/>
    </row>
    <row r="84" spans="1:11" ht="42.75" customHeight="1">
      <c r="F84" s="153" t="s">
        <v>9</v>
      </c>
      <c r="G84" s="153" t="s">
        <v>37</v>
      </c>
      <c r="H84" s="153" t="s">
        <v>29</v>
      </c>
      <c r="I84" s="153" t="s">
        <v>30</v>
      </c>
      <c r="J84" s="153" t="s">
        <v>33</v>
      </c>
      <c r="K84" s="153" t="s">
        <v>34</v>
      </c>
    </row>
    <row r="85" spans="1:11" ht="18" customHeight="1">
      <c r="A85" s="154" t="s">
        <v>111</v>
      </c>
      <c r="B85" s="150" t="s">
        <v>57</v>
      </c>
    </row>
    <row r="86" spans="1:11" ht="18" customHeight="1">
      <c r="A86" s="151" t="s">
        <v>112</v>
      </c>
      <c r="B86" s="155" t="s">
        <v>113</v>
      </c>
      <c r="F86" s="156"/>
      <c r="G86" s="156"/>
      <c r="H86" s="157"/>
      <c r="I86" s="158">
        <f t="shared" ref="I86:I96" si="9">H86*F$114</f>
        <v>0</v>
      </c>
      <c r="J86" s="157"/>
      <c r="K86" s="159">
        <f t="shared" ref="K86:K96" si="10">(H86+I86)-J86</f>
        <v>0</v>
      </c>
    </row>
    <row r="87" spans="1:11" ht="18" customHeight="1">
      <c r="A87" s="151" t="s">
        <v>114</v>
      </c>
      <c r="B87" s="155" t="s">
        <v>14</v>
      </c>
      <c r="F87" s="156"/>
      <c r="G87" s="156"/>
      <c r="H87" s="157"/>
      <c r="I87" s="158">
        <f t="shared" si="9"/>
        <v>0</v>
      </c>
      <c r="J87" s="157"/>
      <c r="K87" s="159">
        <f t="shared" si="10"/>
        <v>0</v>
      </c>
    </row>
    <row r="88" spans="1:11" ht="18" customHeight="1">
      <c r="A88" s="151" t="s">
        <v>115</v>
      </c>
      <c r="B88" s="155" t="s">
        <v>116</v>
      </c>
      <c r="F88" s="156">
        <v>32008</v>
      </c>
      <c r="G88" s="156">
        <v>36</v>
      </c>
      <c r="H88" s="157">
        <v>587064</v>
      </c>
      <c r="I88" s="158">
        <v>242579</v>
      </c>
      <c r="J88" s="157">
        <v>498778</v>
      </c>
      <c r="K88" s="159">
        <f t="shared" si="10"/>
        <v>330865</v>
      </c>
    </row>
    <row r="89" spans="1:11" ht="18" customHeight="1">
      <c r="A89" s="151" t="s">
        <v>117</v>
      </c>
      <c r="B89" s="155" t="s">
        <v>58</v>
      </c>
      <c r="F89" s="156"/>
      <c r="G89" s="156"/>
      <c r="H89" s="157"/>
      <c r="I89" s="158">
        <f t="shared" si="9"/>
        <v>0</v>
      </c>
      <c r="J89" s="157"/>
      <c r="K89" s="159">
        <f t="shared" si="10"/>
        <v>0</v>
      </c>
    </row>
    <row r="90" spans="1:11" ht="18" customHeight="1">
      <c r="A90" s="151" t="s">
        <v>118</v>
      </c>
      <c r="B90" s="904" t="s">
        <v>59</v>
      </c>
      <c r="C90" s="907"/>
      <c r="F90" s="156"/>
      <c r="G90" s="156"/>
      <c r="H90" s="157"/>
      <c r="I90" s="158">
        <f t="shared" si="9"/>
        <v>0</v>
      </c>
      <c r="J90" s="157"/>
      <c r="K90" s="159">
        <f t="shared" si="10"/>
        <v>0</v>
      </c>
    </row>
    <row r="91" spans="1:11" ht="18" customHeight="1">
      <c r="A91" s="151" t="s">
        <v>119</v>
      </c>
      <c r="B91" s="155" t="s">
        <v>60</v>
      </c>
      <c r="F91" s="156"/>
      <c r="G91" s="156"/>
      <c r="H91" s="157"/>
      <c r="I91" s="158">
        <f t="shared" si="9"/>
        <v>0</v>
      </c>
      <c r="J91" s="157"/>
      <c r="K91" s="159">
        <f t="shared" si="10"/>
        <v>0</v>
      </c>
    </row>
    <row r="92" spans="1:11" ht="18" customHeight="1">
      <c r="A92" s="151" t="s">
        <v>120</v>
      </c>
      <c r="B92" s="155" t="s">
        <v>121</v>
      </c>
      <c r="F92" s="189"/>
      <c r="G92" s="189"/>
      <c r="H92" s="190">
        <v>29317</v>
      </c>
      <c r="I92" s="158">
        <v>0</v>
      </c>
      <c r="J92" s="190"/>
      <c r="K92" s="159">
        <f t="shared" si="10"/>
        <v>29317</v>
      </c>
    </row>
    <row r="93" spans="1:11" ht="18" customHeight="1">
      <c r="A93" s="151" t="s">
        <v>122</v>
      </c>
      <c r="B93" s="155" t="s">
        <v>123</v>
      </c>
      <c r="F93" s="156"/>
      <c r="G93" s="156"/>
      <c r="H93" s="157">
        <v>1414</v>
      </c>
      <c r="I93" s="158">
        <v>995</v>
      </c>
      <c r="J93" s="157"/>
      <c r="K93" s="159">
        <f t="shared" si="10"/>
        <v>2409</v>
      </c>
    </row>
    <row r="94" spans="1:11" ht="18" customHeight="1">
      <c r="A94" s="151" t="s">
        <v>124</v>
      </c>
      <c r="B94" s="901"/>
      <c r="C94" s="902"/>
      <c r="D94" s="903"/>
      <c r="F94" s="156"/>
      <c r="G94" s="156"/>
      <c r="H94" s="157"/>
      <c r="I94" s="158">
        <f t="shared" si="9"/>
        <v>0</v>
      </c>
      <c r="J94" s="157"/>
      <c r="K94" s="159">
        <f t="shared" si="10"/>
        <v>0</v>
      </c>
    </row>
    <row r="95" spans="1:11" ht="18" customHeight="1">
      <c r="A95" s="151" t="s">
        <v>125</v>
      </c>
      <c r="B95" s="901"/>
      <c r="C95" s="902"/>
      <c r="D95" s="903"/>
      <c r="F95" s="156"/>
      <c r="G95" s="156"/>
      <c r="H95" s="157"/>
      <c r="I95" s="158">
        <f t="shared" si="9"/>
        <v>0</v>
      </c>
      <c r="J95" s="157"/>
      <c r="K95" s="159">
        <f t="shared" si="10"/>
        <v>0</v>
      </c>
    </row>
    <row r="96" spans="1:11" ht="18" customHeight="1">
      <c r="A96" s="151" t="s">
        <v>126</v>
      </c>
      <c r="B96" s="901"/>
      <c r="C96" s="902"/>
      <c r="D96" s="903"/>
      <c r="F96" s="156"/>
      <c r="G96" s="156"/>
      <c r="H96" s="157"/>
      <c r="I96" s="158">
        <f t="shared" si="9"/>
        <v>0</v>
      </c>
      <c r="J96" s="157"/>
      <c r="K96" s="159">
        <f t="shared" si="10"/>
        <v>0</v>
      </c>
    </row>
    <row r="97" spans="1:11" ht="18" customHeight="1">
      <c r="A97" s="151"/>
      <c r="B97" s="155"/>
    </row>
    <row r="98" spans="1:11" ht="18" customHeight="1">
      <c r="A98" s="154" t="s">
        <v>150</v>
      </c>
      <c r="B98" s="150" t="s">
        <v>151</v>
      </c>
      <c r="E98" s="150" t="s">
        <v>7</v>
      </c>
      <c r="F98" s="162">
        <f t="shared" ref="F98:K98" si="11">SUM(F86:F96)</f>
        <v>32008</v>
      </c>
      <c r="G98" s="162">
        <f t="shared" si="11"/>
        <v>36</v>
      </c>
      <c r="H98" s="162">
        <f t="shared" si="11"/>
        <v>617795</v>
      </c>
      <c r="I98" s="162">
        <f t="shared" si="11"/>
        <v>243574</v>
      </c>
      <c r="J98" s="162">
        <f t="shared" si="11"/>
        <v>498778</v>
      </c>
      <c r="K98" s="162">
        <f t="shared" si="11"/>
        <v>362591</v>
      </c>
    </row>
    <row r="99" spans="1:11" ht="18" customHeight="1" thickBot="1">
      <c r="B99" s="150"/>
      <c r="F99" s="172"/>
      <c r="G99" s="172"/>
      <c r="H99" s="172"/>
      <c r="I99" s="172"/>
      <c r="J99" s="172"/>
      <c r="K99" s="172"/>
    </row>
    <row r="100" spans="1:11" ht="42.75" customHeight="1">
      <c r="F100" s="153" t="s">
        <v>9</v>
      </c>
      <c r="G100" s="153" t="s">
        <v>37</v>
      </c>
      <c r="H100" s="153" t="s">
        <v>29</v>
      </c>
      <c r="I100" s="153" t="s">
        <v>30</v>
      </c>
      <c r="J100" s="153" t="s">
        <v>33</v>
      </c>
      <c r="K100" s="153" t="s">
        <v>34</v>
      </c>
    </row>
    <row r="101" spans="1:11" ht="18" customHeight="1">
      <c r="A101" s="154" t="s">
        <v>130</v>
      </c>
      <c r="B101" s="150" t="s">
        <v>63</v>
      </c>
    </row>
    <row r="102" spans="1:11" ht="18" customHeight="1">
      <c r="A102" s="151" t="s">
        <v>131</v>
      </c>
      <c r="B102" s="155" t="s">
        <v>152</v>
      </c>
      <c r="F102" s="156">
        <v>1164.5</v>
      </c>
      <c r="G102" s="156"/>
      <c r="H102" s="157">
        <v>116042</v>
      </c>
      <c r="I102" s="158">
        <v>81693</v>
      </c>
      <c r="J102" s="157"/>
      <c r="K102" s="159">
        <f>(H102+I102)-J102</f>
        <v>197735</v>
      </c>
    </row>
    <row r="103" spans="1:11" ht="18" customHeight="1">
      <c r="A103" s="151" t="s">
        <v>132</v>
      </c>
      <c r="B103" s="904" t="s">
        <v>62</v>
      </c>
      <c r="C103" s="904"/>
      <c r="F103" s="156"/>
      <c r="G103" s="156"/>
      <c r="H103" s="157"/>
      <c r="I103" s="158">
        <f>H103*F$114</f>
        <v>0</v>
      </c>
      <c r="J103" s="157"/>
      <c r="K103" s="159">
        <f>(H103+I103)-J103</f>
        <v>0</v>
      </c>
    </row>
    <row r="104" spans="1:11" ht="18" customHeight="1">
      <c r="A104" s="151" t="s">
        <v>128</v>
      </c>
      <c r="B104" s="901"/>
      <c r="C104" s="902"/>
      <c r="D104" s="903"/>
      <c r="F104" s="156"/>
      <c r="G104" s="156"/>
      <c r="H104" s="157"/>
      <c r="I104" s="158">
        <f>H104*F$114</f>
        <v>0</v>
      </c>
      <c r="J104" s="157"/>
      <c r="K104" s="159">
        <f>(H104+I104)-J104</f>
        <v>0</v>
      </c>
    </row>
    <row r="105" spans="1:11" ht="18" customHeight="1">
      <c r="A105" s="151" t="s">
        <v>127</v>
      </c>
      <c r="B105" s="901"/>
      <c r="C105" s="902"/>
      <c r="D105" s="903"/>
      <c r="F105" s="156"/>
      <c r="G105" s="156"/>
      <c r="H105" s="157"/>
      <c r="I105" s="158">
        <f>H105*F$114</f>
        <v>0</v>
      </c>
      <c r="J105" s="157"/>
      <c r="K105" s="159">
        <f>(H105+I105)-J105</f>
        <v>0</v>
      </c>
    </row>
    <row r="106" spans="1:11" ht="18" customHeight="1">
      <c r="A106" s="151" t="s">
        <v>129</v>
      </c>
      <c r="B106" s="901"/>
      <c r="C106" s="902"/>
      <c r="D106" s="903"/>
      <c r="F106" s="156"/>
      <c r="G106" s="156"/>
      <c r="H106" s="157"/>
      <c r="I106" s="158">
        <f>H106*F$114</f>
        <v>0</v>
      </c>
      <c r="J106" s="157"/>
      <c r="K106" s="159">
        <f>(H106+I106)-J106</f>
        <v>0</v>
      </c>
    </row>
    <row r="107" spans="1:11" ht="18" customHeight="1">
      <c r="B107" s="150"/>
    </row>
    <row r="108" spans="1:11" s="167" customFormat="1" ht="18" customHeight="1">
      <c r="A108" s="154" t="s">
        <v>153</v>
      </c>
      <c r="B108" s="191" t="s">
        <v>154</v>
      </c>
      <c r="C108" s="147"/>
      <c r="D108" s="147"/>
      <c r="E108" s="150" t="s">
        <v>7</v>
      </c>
      <c r="F108" s="162">
        <f t="shared" ref="F108:K108" si="12">SUM(F102:F106)</f>
        <v>1164.5</v>
      </c>
      <c r="G108" s="162">
        <f t="shared" si="12"/>
        <v>0</v>
      </c>
      <c r="H108" s="159">
        <f t="shared" si="12"/>
        <v>116042</v>
      </c>
      <c r="I108" s="159">
        <f t="shared" si="12"/>
        <v>81693</v>
      </c>
      <c r="J108" s="159">
        <f t="shared" si="12"/>
        <v>0</v>
      </c>
      <c r="K108" s="159">
        <f t="shared" si="12"/>
        <v>197735</v>
      </c>
    </row>
    <row r="109" spans="1:11" s="167" customFormat="1" ht="18" customHeight="1" thickBot="1">
      <c r="A109" s="192"/>
      <c r="B109" s="193"/>
      <c r="C109" s="194"/>
      <c r="D109" s="194"/>
      <c r="E109" s="194"/>
      <c r="F109" s="172"/>
      <c r="G109" s="172"/>
      <c r="H109" s="172"/>
      <c r="I109" s="172"/>
      <c r="J109" s="172"/>
      <c r="K109" s="172"/>
    </row>
    <row r="110" spans="1:11" s="167" customFormat="1" ht="18" customHeight="1">
      <c r="A110" s="154" t="s">
        <v>156</v>
      </c>
      <c r="B110" s="150" t="s">
        <v>39</v>
      </c>
      <c r="C110" s="147"/>
      <c r="D110" s="147"/>
      <c r="E110" s="147"/>
      <c r="F110" s="147"/>
      <c r="G110" s="147"/>
      <c r="H110" s="147"/>
      <c r="I110" s="147"/>
      <c r="J110" s="147"/>
      <c r="K110" s="147"/>
    </row>
    <row r="111" spans="1:11" ht="18" customHeight="1">
      <c r="A111" s="154" t="s">
        <v>155</v>
      </c>
      <c r="B111" s="150" t="s">
        <v>164</v>
      </c>
      <c r="E111" s="150" t="s">
        <v>7</v>
      </c>
      <c r="F111" s="157">
        <v>3151845</v>
      </c>
    </row>
    <row r="112" spans="1:11" ht="18" customHeight="1">
      <c r="B112" s="150"/>
      <c r="E112" s="150"/>
      <c r="F112" s="195"/>
    </row>
    <row r="113" spans="1:6" ht="18" customHeight="1">
      <c r="A113" s="154"/>
      <c r="B113" s="150" t="s">
        <v>15</v>
      </c>
    </row>
    <row r="114" spans="1:6" ht="18" customHeight="1">
      <c r="A114" s="151" t="s">
        <v>171</v>
      </c>
      <c r="B114" s="155" t="s">
        <v>35</v>
      </c>
      <c r="F114" s="196">
        <v>0.70399999999999996</v>
      </c>
    </row>
    <row r="115" spans="1:6" ht="18" customHeight="1">
      <c r="A115" s="151"/>
      <c r="B115" s="150"/>
    </row>
    <row r="116" spans="1:6" ht="18" customHeight="1">
      <c r="A116" s="151" t="s">
        <v>170</v>
      </c>
      <c r="B116" s="150" t="s">
        <v>16</v>
      </c>
    </row>
    <row r="117" spans="1:6" ht="18" customHeight="1">
      <c r="A117" s="151" t="s">
        <v>172</v>
      </c>
      <c r="B117" s="155" t="s">
        <v>17</v>
      </c>
      <c r="F117" s="157">
        <v>298927665</v>
      </c>
    </row>
    <row r="118" spans="1:6" ht="18" customHeight="1">
      <c r="A118" s="151" t="s">
        <v>173</v>
      </c>
      <c r="B118" s="147" t="s">
        <v>18</v>
      </c>
      <c r="F118" s="157">
        <v>12967505</v>
      </c>
    </row>
    <row r="119" spans="1:6" ht="18" customHeight="1">
      <c r="A119" s="151" t="s">
        <v>174</v>
      </c>
      <c r="B119" s="150" t="s">
        <v>19</v>
      </c>
      <c r="F119" s="187">
        <f>SUM(F117:F118)</f>
        <v>311895170</v>
      </c>
    </row>
    <row r="120" spans="1:6" ht="18" customHeight="1">
      <c r="A120" s="151"/>
      <c r="B120" s="150"/>
    </row>
    <row r="121" spans="1:6" ht="18" customHeight="1">
      <c r="A121" s="151" t="s">
        <v>167</v>
      </c>
      <c r="B121" s="150" t="s">
        <v>36</v>
      </c>
      <c r="F121" s="157">
        <v>303538841</v>
      </c>
    </row>
    <row r="122" spans="1:6" ht="18" customHeight="1">
      <c r="A122" s="151"/>
    </row>
    <row r="123" spans="1:6" ht="18" customHeight="1">
      <c r="A123" s="151" t="s">
        <v>175</v>
      </c>
      <c r="B123" s="150" t="s">
        <v>20</v>
      </c>
      <c r="F123" s="157">
        <f>+F119-F121</f>
        <v>8356329</v>
      </c>
    </row>
    <row r="124" spans="1:6" ht="18" customHeight="1">
      <c r="A124" s="151"/>
    </row>
    <row r="125" spans="1:6" ht="18" customHeight="1">
      <c r="A125" s="151" t="s">
        <v>176</v>
      </c>
      <c r="B125" s="150" t="s">
        <v>21</v>
      </c>
      <c r="F125" s="157">
        <v>2380847</v>
      </c>
    </row>
    <row r="126" spans="1:6" ht="18" customHeight="1">
      <c r="A126" s="151"/>
    </row>
    <row r="127" spans="1:6" ht="18" customHeight="1">
      <c r="A127" s="151" t="s">
        <v>177</v>
      </c>
      <c r="B127" s="150" t="s">
        <v>22</v>
      </c>
      <c r="F127" s="157">
        <f>+F125+F123</f>
        <v>10737176</v>
      </c>
    </row>
    <row r="128" spans="1:6" ht="18" customHeight="1">
      <c r="A128" s="151"/>
    </row>
    <row r="129" spans="1:11" ht="42.75" customHeight="1">
      <c r="F129" s="153" t="s">
        <v>9</v>
      </c>
      <c r="G129" s="153" t="s">
        <v>37</v>
      </c>
      <c r="H129" s="153" t="s">
        <v>29</v>
      </c>
      <c r="I129" s="153" t="s">
        <v>30</v>
      </c>
      <c r="J129" s="153" t="s">
        <v>33</v>
      </c>
      <c r="K129" s="153" t="s">
        <v>34</v>
      </c>
    </row>
    <row r="130" spans="1:11" ht="18" customHeight="1">
      <c r="A130" s="154" t="s">
        <v>157</v>
      </c>
      <c r="B130" s="150" t="s">
        <v>23</v>
      </c>
    </row>
    <row r="131" spans="1:11" ht="18" customHeight="1">
      <c r="A131" s="151" t="s">
        <v>158</v>
      </c>
      <c r="B131" s="147" t="s">
        <v>24</v>
      </c>
      <c r="F131" s="156"/>
      <c r="G131" s="156"/>
      <c r="H131" s="157"/>
      <c r="I131" s="158">
        <v>0</v>
      </c>
      <c r="J131" s="157"/>
      <c r="K131" s="159">
        <f>(H131+I131)-J131</f>
        <v>0</v>
      </c>
    </row>
    <row r="132" spans="1:11" ht="18" customHeight="1">
      <c r="A132" s="151" t="s">
        <v>159</v>
      </c>
      <c r="B132" s="147" t="s">
        <v>25</v>
      </c>
      <c r="F132" s="156"/>
      <c r="G132" s="156"/>
      <c r="H132" s="157"/>
      <c r="I132" s="158">
        <v>0</v>
      </c>
      <c r="J132" s="157"/>
      <c r="K132" s="159">
        <f>(H132+I132)-J132</f>
        <v>0</v>
      </c>
    </row>
    <row r="133" spans="1:11" ht="18" customHeight="1">
      <c r="A133" s="151" t="s">
        <v>160</v>
      </c>
      <c r="B133" s="898"/>
      <c r="C133" s="899"/>
      <c r="D133" s="900"/>
      <c r="F133" s="156"/>
      <c r="G133" s="156"/>
      <c r="H133" s="157"/>
      <c r="I133" s="158">
        <v>0</v>
      </c>
      <c r="J133" s="157"/>
      <c r="K133" s="159">
        <f>(H133+I133)-J133</f>
        <v>0</v>
      </c>
    </row>
    <row r="134" spans="1:11" ht="18" customHeight="1">
      <c r="A134" s="151" t="s">
        <v>161</v>
      </c>
      <c r="B134" s="898"/>
      <c r="C134" s="899"/>
      <c r="D134" s="900"/>
      <c r="F134" s="156"/>
      <c r="G134" s="156"/>
      <c r="H134" s="157"/>
      <c r="I134" s="158">
        <v>0</v>
      </c>
      <c r="J134" s="157"/>
      <c r="K134" s="159">
        <f>(H134+I134)-J134</f>
        <v>0</v>
      </c>
    </row>
    <row r="135" spans="1:11" ht="18" customHeight="1">
      <c r="A135" s="151" t="s">
        <v>162</v>
      </c>
      <c r="B135" s="898"/>
      <c r="C135" s="899"/>
      <c r="D135" s="900"/>
      <c r="F135" s="156"/>
      <c r="G135" s="156"/>
      <c r="H135" s="157"/>
      <c r="I135" s="158">
        <v>0</v>
      </c>
      <c r="J135" s="157"/>
      <c r="K135" s="159">
        <f>(H135+I135)-J135</f>
        <v>0</v>
      </c>
    </row>
    <row r="136" spans="1:11" ht="18" customHeight="1">
      <c r="A136" s="154"/>
    </row>
    <row r="137" spans="1:11" ht="18" customHeight="1">
      <c r="A137" s="154" t="s">
        <v>163</v>
      </c>
      <c r="B137" s="150" t="s">
        <v>27</v>
      </c>
      <c r="F137" s="162">
        <f t="shared" ref="F137:K137" si="13">SUM(F131:F135)</f>
        <v>0</v>
      </c>
      <c r="G137" s="162">
        <f t="shared" si="13"/>
        <v>0</v>
      </c>
      <c r="H137" s="159">
        <f t="shared" si="13"/>
        <v>0</v>
      </c>
      <c r="I137" s="159">
        <f t="shared" si="13"/>
        <v>0</v>
      </c>
      <c r="J137" s="159">
        <f t="shared" si="13"/>
        <v>0</v>
      </c>
      <c r="K137" s="159">
        <f t="shared" si="13"/>
        <v>0</v>
      </c>
    </row>
    <row r="138" spans="1:11" ht="18" customHeight="1">
      <c r="A138" s="147"/>
    </row>
    <row r="139" spans="1:11" ht="42.75" customHeight="1">
      <c r="F139" s="153" t="s">
        <v>9</v>
      </c>
      <c r="G139" s="153" t="s">
        <v>37</v>
      </c>
      <c r="H139" s="153" t="s">
        <v>29</v>
      </c>
      <c r="I139" s="153" t="s">
        <v>30</v>
      </c>
      <c r="J139" s="153" t="s">
        <v>33</v>
      </c>
      <c r="K139" s="153" t="s">
        <v>34</v>
      </c>
    </row>
    <row r="140" spans="1:11" ht="18" customHeight="1">
      <c r="A140" s="154" t="s">
        <v>166</v>
      </c>
      <c r="B140" s="150" t="s">
        <v>26</v>
      </c>
    </row>
    <row r="141" spans="1:11" ht="18" customHeight="1">
      <c r="A141" s="151" t="s">
        <v>137</v>
      </c>
      <c r="B141" s="150" t="s">
        <v>64</v>
      </c>
      <c r="F141" s="197">
        <f t="shared" ref="F141:K141" si="14">F36</f>
        <v>14957.3</v>
      </c>
      <c r="G141" s="197">
        <f t="shared" si="14"/>
        <v>46013</v>
      </c>
      <c r="H141" s="197">
        <f t="shared" si="14"/>
        <v>670607</v>
      </c>
      <c r="I141" s="197">
        <f t="shared" si="14"/>
        <v>333173</v>
      </c>
      <c r="J141" s="197">
        <f t="shared" si="14"/>
        <v>39840</v>
      </c>
      <c r="K141" s="197">
        <f t="shared" si="14"/>
        <v>963940</v>
      </c>
    </row>
    <row r="142" spans="1:11" ht="18" customHeight="1">
      <c r="A142" s="151" t="s">
        <v>142</v>
      </c>
      <c r="B142" s="150" t="s">
        <v>65</v>
      </c>
      <c r="F142" s="197">
        <f t="shared" ref="F142:K142" si="15">F49</f>
        <v>97942</v>
      </c>
      <c r="G142" s="197">
        <f t="shared" si="15"/>
        <v>723</v>
      </c>
      <c r="H142" s="197">
        <f t="shared" si="15"/>
        <v>4495913</v>
      </c>
      <c r="I142" s="197">
        <f t="shared" si="15"/>
        <v>3116717</v>
      </c>
      <c r="J142" s="197">
        <f t="shared" si="15"/>
        <v>0</v>
      </c>
      <c r="K142" s="197">
        <f t="shared" si="15"/>
        <v>7612630</v>
      </c>
    </row>
    <row r="143" spans="1:11" ht="18" customHeight="1">
      <c r="A143" s="151" t="s">
        <v>144</v>
      </c>
      <c r="B143" s="150" t="s">
        <v>66</v>
      </c>
      <c r="F143" s="197">
        <f t="shared" ref="F143:K143" si="16">F64</f>
        <v>251802</v>
      </c>
      <c r="G143" s="197">
        <f t="shared" si="16"/>
        <v>6331</v>
      </c>
      <c r="H143" s="197">
        <f t="shared" si="16"/>
        <v>25104027</v>
      </c>
      <c r="I143" s="197">
        <f t="shared" si="16"/>
        <v>6555731</v>
      </c>
      <c r="J143" s="197">
        <f t="shared" si="16"/>
        <v>24183992</v>
      </c>
      <c r="K143" s="197">
        <f t="shared" si="16"/>
        <v>7475766</v>
      </c>
    </row>
    <row r="144" spans="1:11" ht="18" customHeight="1">
      <c r="A144" s="151" t="s">
        <v>146</v>
      </c>
      <c r="B144" s="150" t="s">
        <v>67</v>
      </c>
      <c r="F144" s="197">
        <f t="shared" ref="F144:K144" si="17">F74</f>
        <v>0</v>
      </c>
      <c r="G144" s="197">
        <f t="shared" si="17"/>
        <v>0</v>
      </c>
      <c r="H144" s="197">
        <f t="shared" si="17"/>
        <v>0</v>
      </c>
      <c r="I144" s="197">
        <f t="shared" si="17"/>
        <v>0</v>
      </c>
      <c r="J144" s="197">
        <f t="shared" si="17"/>
        <v>0</v>
      </c>
      <c r="K144" s="197">
        <f t="shared" si="17"/>
        <v>0</v>
      </c>
    </row>
    <row r="145" spans="1:11" ht="18" customHeight="1">
      <c r="A145" s="151" t="s">
        <v>148</v>
      </c>
      <c r="B145" s="150" t="s">
        <v>68</v>
      </c>
      <c r="F145" s="197">
        <f t="shared" ref="F145:K145" si="18">F82</f>
        <v>12</v>
      </c>
      <c r="G145" s="197">
        <f t="shared" si="18"/>
        <v>200</v>
      </c>
      <c r="H145" s="197">
        <f t="shared" si="18"/>
        <v>32759</v>
      </c>
      <c r="I145" s="197">
        <f t="shared" si="18"/>
        <v>2177</v>
      </c>
      <c r="J145" s="197">
        <f t="shared" si="18"/>
        <v>3000</v>
      </c>
      <c r="K145" s="197">
        <f t="shared" si="18"/>
        <v>31936</v>
      </c>
    </row>
    <row r="146" spans="1:11" ht="18" customHeight="1">
      <c r="A146" s="151" t="s">
        <v>150</v>
      </c>
      <c r="B146" s="150" t="s">
        <v>69</v>
      </c>
      <c r="F146" s="197">
        <f t="shared" ref="F146:K146" si="19">F98</f>
        <v>32008</v>
      </c>
      <c r="G146" s="197">
        <f t="shared" si="19"/>
        <v>36</v>
      </c>
      <c r="H146" s="197">
        <f t="shared" si="19"/>
        <v>617795</v>
      </c>
      <c r="I146" s="197">
        <f t="shared" si="19"/>
        <v>243574</v>
      </c>
      <c r="J146" s="197">
        <f t="shared" si="19"/>
        <v>498778</v>
      </c>
      <c r="K146" s="197">
        <f t="shared" si="19"/>
        <v>362591</v>
      </c>
    </row>
    <row r="147" spans="1:11" ht="18" customHeight="1">
      <c r="A147" s="151" t="s">
        <v>153</v>
      </c>
      <c r="B147" s="150" t="s">
        <v>61</v>
      </c>
      <c r="F147" s="162">
        <f t="shared" ref="F147:K147" si="20">F108</f>
        <v>1164.5</v>
      </c>
      <c r="G147" s="162">
        <f t="shared" si="20"/>
        <v>0</v>
      </c>
      <c r="H147" s="162">
        <f t="shared" si="20"/>
        <v>116042</v>
      </c>
      <c r="I147" s="162">
        <f t="shared" si="20"/>
        <v>81693</v>
      </c>
      <c r="J147" s="162">
        <f t="shared" si="20"/>
        <v>0</v>
      </c>
      <c r="K147" s="162">
        <f t="shared" si="20"/>
        <v>197735</v>
      </c>
    </row>
    <row r="148" spans="1:11" ht="18" customHeight="1">
      <c r="A148" s="151" t="s">
        <v>155</v>
      </c>
      <c r="B148" s="150" t="s">
        <v>70</v>
      </c>
      <c r="F148" s="198" t="s">
        <v>73</v>
      </c>
      <c r="G148" s="198" t="s">
        <v>73</v>
      </c>
      <c r="H148" s="199" t="s">
        <v>73</v>
      </c>
      <c r="I148" s="199" t="s">
        <v>73</v>
      </c>
      <c r="J148" s="199" t="s">
        <v>73</v>
      </c>
      <c r="K148" s="200">
        <f>F111</f>
        <v>3151845</v>
      </c>
    </row>
    <row r="149" spans="1:11" ht="18" customHeight="1">
      <c r="A149" s="151" t="s">
        <v>163</v>
      </c>
      <c r="B149" s="150" t="s">
        <v>71</v>
      </c>
      <c r="F149" s="162">
        <f t="shared" ref="F149:K149" si="21">F137</f>
        <v>0</v>
      </c>
      <c r="G149" s="162">
        <f t="shared" si="21"/>
        <v>0</v>
      </c>
      <c r="H149" s="162">
        <f t="shared" si="21"/>
        <v>0</v>
      </c>
      <c r="I149" s="162">
        <f t="shared" si="21"/>
        <v>0</v>
      </c>
      <c r="J149" s="162">
        <f t="shared" si="21"/>
        <v>0</v>
      </c>
      <c r="K149" s="162">
        <f t="shared" si="21"/>
        <v>0</v>
      </c>
    </row>
    <row r="150" spans="1:11" ht="18" customHeight="1">
      <c r="A150" s="151" t="s">
        <v>185</v>
      </c>
      <c r="B150" s="150" t="s">
        <v>186</v>
      </c>
      <c r="F150" s="198" t="s">
        <v>73</v>
      </c>
      <c r="G150" s="198" t="s">
        <v>73</v>
      </c>
      <c r="H150" s="162">
        <f>H18</f>
        <v>7323938</v>
      </c>
      <c r="I150" s="162">
        <f>I18</f>
        <v>0</v>
      </c>
      <c r="J150" s="162">
        <f>J18</f>
        <v>6262882</v>
      </c>
      <c r="K150" s="162">
        <f>K18</f>
        <v>1061056</v>
      </c>
    </row>
    <row r="151" spans="1:11" ht="18" customHeight="1">
      <c r="B151" s="150"/>
      <c r="F151" s="174"/>
      <c r="G151" s="174"/>
      <c r="H151" s="174"/>
      <c r="I151" s="174"/>
      <c r="J151" s="174"/>
      <c r="K151" s="174"/>
    </row>
    <row r="152" spans="1:11" ht="18" customHeight="1">
      <c r="A152" s="154" t="s">
        <v>165</v>
      </c>
      <c r="B152" s="150" t="s">
        <v>26</v>
      </c>
      <c r="F152" s="201">
        <f t="shared" ref="F152:K152" si="22">SUM(F141:F150)</f>
        <v>397885.8</v>
      </c>
      <c r="G152" s="201">
        <f t="shared" si="22"/>
        <v>53303</v>
      </c>
      <c r="H152" s="201">
        <f t="shared" si="22"/>
        <v>38361081</v>
      </c>
      <c r="I152" s="201">
        <f t="shared" si="22"/>
        <v>10333065</v>
      </c>
      <c r="J152" s="201">
        <f t="shared" si="22"/>
        <v>30988492</v>
      </c>
      <c r="K152" s="201">
        <f t="shared" si="22"/>
        <v>20857499</v>
      </c>
    </row>
    <row r="154" spans="1:11" ht="18" customHeight="1">
      <c r="A154" s="154" t="s">
        <v>168</v>
      </c>
      <c r="B154" s="150" t="s">
        <v>28</v>
      </c>
      <c r="F154" s="53">
        <f>K152/F121</f>
        <v>6.8714431837736373E-2</v>
      </c>
    </row>
    <row r="155" spans="1:11" ht="18" customHeight="1">
      <c r="A155" s="154" t="s">
        <v>169</v>
      </c>
      <c r="B155" s="150" t="s">
        <v>72</v>
      </c>
      <c r="F155" s="53">
        <f>K152/F127</f>
        <v>1.9425497914907979</v>
      </c>
      <c r="G155" s="150"/>
    </row>
    <row r="156" spans="1:11" ht="18" customHeight="1">
      <c r="G156" s="150"/>
    </row>
  </sheetData>
  <sheetProtection algorithmName="SHA-512" hashValue="iVvdvBFvLJrCQayOzWBOnlmmkvSOlg0vsuWfxw4ykvUWsRMIU69Eos4F9LU4n3blGdfrud4L5z60Zw6vfmvLvQ==" saltValue="dNfDTr1s26G+Dg2uXX89nw==" spinCount="100000" sheet="1" objects="1" scenarios="1"/>
  <mergeCells count="34">
    <mergeCell ref="B41:C41"/>
    <mergeCell ref="D2:H2"/>
    <mergeCell ref="C5:G5"/>
    <mergeCell ref="C6:G6"/>
    <mergeCell ref="C7:G7"/>
    <mergeCell ref="C9:G9"/>
    <mergeCell ref="C10:G10"/>
    <mergeCell ref="C11:G11"/>
    <mergeCell ref="B13:H13"/>
    <mergeCell ref="B30:D30"/>
    <mergeCell ref="B31:D31"/>
    <mergeCell ref="B34:D34"/>
    <mergeCell ref="B90:C90"/>
    <mergeCell ref="B44:D44"/>
    <mergeCell ref="B45:D45"/>
    <mergeCell ref="B46:D46"/>
    <mergeCell ref="B47:D47"/>
    <mergeCell ref="B52:C52"/>
    <mergeCell ref="B53:D53"/>
    <mergeCell ref="B55:D55"/>
    <mergeCell ref="B56:D56"/>
    <mergeCell ref="B57:D57"/>
    <mergeCell ref="B59:D59"/>
    <mergeCell ref="B62:D62"/>
    <mergeCell ref="B106:D106"/>
    <mergeCell ref="B133:D133"/>
    <mergeCell ref="B134:D134"/>
    <mergeCell ref="B135:D135"/>
    <mergeCell ref="B94:D94"/>
    <mergeCell ref="B95:D95"/>
    <mergeCell ref="B96:D96"/>
    <mergeCell ref="B103:C103"/>
    <mergeCell ref="B104:D104"/>
    <mergeCell ref="B105:D105"/>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dimension ref="A1:K156"/>
  <sheetViews>
    <sheetView showGridLines="0" topLeftCell="A103" zoomScaleNormal="100" zoomScaleSheetLayoutView="70" workbookViewId="0">
      <selection activeCell="K18" sqref="K18"/>
    </sheetView>
  </sheetViews>
  <sheetFormatPr defaultRowHeight="18" customHeight="1"/>
  <cols>
    <col min="1" max="1" width="8.28515625" style="7" customWidth="1"/>
    <col min="2" max="2" width="55.42578125" bestFit="1" customWidth="1"/>
    <col min="3" max="3" width="9.5703125" customWidth="1"/>
    <col min="5" max="5" width="12.42578125" customWidth="1"/>
    <col min="6" max="6" width="18.5703125" customWidth="1"/>
    <col min="7" max="7" width="23.5703125" customWidth="1"/>
    <col min="8" max="8" width="17.140625" customWidth="1"/>
    <col min="9" max="9" width="21.140625" customWidth="1"/>
    <col min="10" max="10" width="19.85546875" customWidth="1"/>
    <col min="11" max="11" width="17.5703125" customWidth="1"/>
  </cols>
  <sheetData>
    <row r="1" spans="1:11" ht="18" customHeight="1">
      <c r="C1" s="3"/>
      <c r="D1" s="2"/>
      <c r="E1" s="3"/>
      <c r="F1" s="3"/>
      <c r="G1" s="3"/>
      <c r="H1" s="3"/>
      <c r="I1" s="3"/>
      <c r="J1" s="3"/>
      <c r="K1" s="3"/>
    </row>
    <row r="2" spans="1:11" ht="18" customHeight="1">
      <c r="D2" s="940" t="s">
        <v>187</v>
      </c>
      <c r="E2" s="941"/>
      <c r="F2" s="941"/>
      <c r="G2" s="941"/>
      <c r="H2" s="941"/>
    </row>
    <row r="3" spans="1:11" ht="18" customHeight="1">
      <c r="B3" s="1" t="s">
        <v>0</v>
      </c>
    </row>
    <row r="5" spans="1:11" ht="18" customHeight="1">
      <c r="B5" s="4" t="s">
        <v>40</v>
      </c>
      <c r="C5" s="975" t="s">
        <v>897</v>
      </c>
      <c r="D5" s="943"/>
      <c r="E5" s="943"/>
      <c r="F5" s="943"/>
      <c r="G5" s="944"/>
    </row>
    <row r="6" spans="1:11" ht="18" customHeight="1">
      <c r="B6" s="4" t="s">
        <v>3</v>
      </c>
      <c r="C6" s="976" t="s">
        <v>338</v>
      </c>
      <c r="D6" s="946"/>
      <c r="E6" s="946"/>
      <c r="F6" s="946"/>
      <c r="G6" s="947"/>
    </row>
    <row r="7" spans="1:11" ht="18" customHeight="1">
      <c r="B7" s="4" t="s">
        <v>4</v>
      </c>
      <c r="C7" s="948">
        <v>2001</v>
      </c>
      <c r="D7" s="949"/>
      <c r="E7" s="949"/>
      <c r="F7" s="949"/>
      <c r="G7" s="950"/>
    </row>
    <row r="9" spans="1:11" ht="18" customHeight="1">
      <c r="B9" s="4" t="s">
        <v>1</v>
      </c>
      <c r="C9" s="942" t="s">
        <v>188</v>
      </c>
      <c r="D9" s="943"/>
      <c r="E9" s="943"/>
      <c r="F9" s="943"/>
      <c r="G9" s="944"/>
    </row>
    <row r="10" spans="1:11" ht="18" customHeight="1">
      <c r="B10" s="4" t="s">
        <v>2</v>
      </c>
      <c r="C10" s="951" t="s">
        <v>189</v>
      </c>
      <c r="D10" s="952"/>
      <c r="E10" s="952"/>
      <c r="F10" s="952"/>
      <c r="G10" s="953"/>
    </row>
    <row r="11" spans="1:11" ht="18" customHeight="1">
      <c r="B11" s="4" t="s">
        <v>32</v>
      </c>
      <c r="C11" s="942" t="s">
        <v>190</v>
      </c>
      <c r="D11" s="954"/>
      <c r="E11" s="954"/>
      <c r="F11" s="954"/>
      <c r="G11" s="954"/>
    </row>
    <row r="12" spans="1:11" ht="18" customHeight="1">
      <c r="B12" s="4"/>
      <c r="C12" s="4"/>
      <c r="D12" s="4"/>
      <c r="E12" s="4"/>
      <c r="F12" s="4"/>
      <c r="G12" s="4"/>
    </row>
    <row r="13" spans="1:11" ht="24.6" customHeight="1">
      <c r="B13" s="955"/>
      <c r="C13" s="956"/>
      <c r="D13" s="956"/>
      <c r="E13" s="956"/>
      <c r="F13" s="956"/>
      <c r="G13" s="956"/>
      <c r="H13" s="957"/>
      <c r="I13" s="3"/>
    </row>
    <row r="14" spans="1:11" ht="18" customHeight="1">
      <c r="B14" s="6"/>
    </row>
    <row r="15" spans="1:11" ht="18" customHeight="1">
      <c r="B15" s="6"/>
    </row>
    <row r="16" spans="1:11" ht="45" customHeight="1">
      <c r="A16" s="2" t="s">
        <v>181</v>
      </c>
      <c r="B16" s="3"/>
      <c r="C16" s="3"/>
      <c r="D16" s="3"/>
      <c r="E16" s="3"/>
      <c r="F16" s="8" t="s">
        <v>9</v>
      </c>
      <c r="G16" s="8" t="s">
        <v>37</v>
      </c>
      <c r="H16" s="8" t="s">
        <v>29</v>
      </c>
      <c r="I16" s="8" t="s">
        <v>30</v>
      </c>
      <c r="J16" s="8" t="s">
        <v>33</v>
      </c>
      <c r="K16" s="8" t="s">
        <v>34</v>
      </c>
    </row>
    <row r="17" spans="1:11" ht="18" customHeight="1">
      <c r="A17" s="5" t="s">
        <v>184</v>
      </c>
      <c r="B17" s="1" t="s">
        <v>182</v>
      </c>
    </row>
    <row r="18" spans="1:11" ht="18" customHeight="1">
      <c r="A18" s="4" t="s">
        <v>185</v>
      </c>
      <c r="B18" s="257" t="s">
        <v>183</v>
      </c>
      <c r="F18" s="13" t="s">
        <v>73</v>
      </c>
      <c r="G18" s="13" t="s">
        <v>73</v>
      </c>
      <c r="H18" s="14">
        <v>9481908</v>
      </c>
      <c r="I18" s="40">
        <v>0</v>
      </c>
      <c r="J18" s="14">
        <v>8108217</v>
      </c>
      <c r="K18" s="15">
        <f>(H18+I18)-J18</f>
        <v>1373691</v>
      </c>
    </row>
    <row r="19" spans="1:11" ht="45" customHeight="1">
      <c r="A19" s="2" t="s">
        <v>8</v>
      </c>
      <c r="B19" s="3"/>
      <c r="C19" s="3"/>
      <c r="D19" s="3"/>
      <c r="E19" s="3"/>
      <c r="F19" s="8" t="s">
        <v>9</v>
      </c>
      <c r="G19" s="8" t="s">
        <v>37</v>
      </c>
      <c r="H19" s="8" t="s">
        <v>29</v>
      </c>
      <c r="I19" s="8" t="s">
        <v>30</v>
      </c>
      <c r="J19" s="8" t="s">
        <v>33</v>
      </c>
      <c r="K19" s="8" t="s">
        <v>34</v>
      </c>
    </row>
    <row r="20" spans="1:11" ht="18" customHeight="1">
      <c r="A20" s="5" t="s">
        <v>74</v>
      </c>
      <c r="B20" s="1" t="s">
        <v>41</v>
      </c>
    </row>
    <row r="21" spans="1:11" ht="18" customHeight="1">
      <c r="A21" s="4" t="s">
        <v>75</v>
      </c>
      <c r="B21" s="257" t="s">
        <v>42</v>
      </c>
      <c r="F21" s="13">
        <f>'[13]CB Master List - FY15&amp;FY14'!$G$34</f>
        <v>14716.672597604909</v>
      </c>
      <c r="G21" s="13">
        <f>'[13]CB Master List - FY15&amp;FY14'!$H$34</f>
        <v>30371.47096303077</v>
      </c>
      <c r="H21" s="13">
        <f>'[13]CB Master List - FY15&amp;FY14'!$I$34</f>
        <v>616492.82276114472</v>
      </c>
      <c r="I21" s="40">
        <f>'[13]CB Master List - FY15&amp;FY14'!$J$34</f>
        <v>430553.29370357294</v>
      </c>
      <c r="J21" s="14">
        <f>'[13]CB Master List - FY15&amp;FY14'!$K$34</f>
        <v>56989.65625</v>
      </c>
      <c r="K21" s="15">
        <f t="shared" ref="K21:K34" si="0">(H21+I21)-J21</f>
        <v>990056.46021471766</v>
      </c>
    </row>
    <row r="22" spans="1:11" ht="18" customHeight="1">
      <c r="A22" s="4" t="s">
        <v>76</v>
      </c>
      <c r="B22" t="s">
        <v>6</v>
      </c>
      <c r="F22" s="13">
        <f>'[13]CB Master List - FY15&amp;FY14'!$G$47</f>
        <v>569.32749999999999</v>
      </c>
      <c r="G22" s="13">
        <f>'[13]CB Master List - FY15&amp;FY14'!$H$47</f>
        <v>0</v>
      </c>
      <c r="H22" s="14">
        <f>'[13]CB Master List - FY15&amp;FY14'!$I$47</f>
        <v>23767.777249999999</v>
      </c>
      <c r="I22" s="40">
        <f>'[13]CB Master List - FY15&amp;FY14'!$J$47</f>
        <v>16599.211541778415</v>
      </c>
      <c r="J22" s="14">
        <f>'[13]CB Master List - FY15&amp;FY14'!$K$47</f>
        <v>1765.8624999999997</v>
      </c>
      <c r="K22" s="15">
        <f t="shared" si="0"/>
        <v>38601.126291778412</v>
      </c>
    </row>
    <row r="23" spans="1:11" ht="18" customHeight="1">
      <c r="A23" s="4" t="s">
        <v>77</v>
      </c>
      <c r="B23" t="s">
        <v>43</v>
      </c>
      <c r="F23" s="13">
        <f>'[13]CB Master List - FY15&amp;FY14'!$G$50</f>
        <v>1246.05</v>
      </c>
      <c r="G23" s="13">
        <f>'[13]CB Master List - FY15&amp;FY14'!$H$45</f>
        <v>0</v>
      </c>
      <c r="H23" s="14">
        <f>'[13]CB Master List - FY15&amp;FY14'!$I$50</f>
        <v>17786.496149999999</v>
      </c>
      <c r="I23" s="40">
        <f>'[13]CB Master List - FY15&amp;FY14'!$J$50</f>
        <v>12421.936181721718</v>
      </c>
      <c r="J23" s="14">
        <f>'[13]CB Master List - FY15&amp;FY14'!$K$45</f>
        <v>0</v>
      </c>
      <c r="K23" s="15">
        <f t="shared" si="0"/>
        <v>30208.432331721717</v>
      </c>
    </row>
    <row r="24" spans="1:11" ht="18" customHeight="1">
      <c r="A24" s="4" t="s">
        <v>78</v>
      </c>
      <c r="B24" t="s">
        <v>44</v>
      </c>
      <c r="F24" s="13">
        <f>'[13]CB Master List - FY15&amp;FY14'!$G$56</f>
        <v>5541.0622302135525</v>
      </c>
      <c r="G24" s="13">
        <f>'[13]CB Master List - FY15&amp;FY14'!$H$56</f>
        <v>3269.9992533978166</v>
      </c>
      <c r="H24" s="14">
        <f>'[13]CB Master List - FY15&amp;FY14'!$I$56</f>
        <v>410522.46379201644</v>
      </c>
      <c r="I24" s="40">
        <f>'[13]CB Master List - FY15&amp;FY14'!$J$56</f>
        <v>286705.36362990149</v>
      </c>
      <c r="J24" s="14">
        <f>'[13]CB Master List - FY15&amp;FY14'!$K$51</f>
        <v>0</v>
      </c>
      <c r="K24" s="15">
        <f t="shared" si="0"/>
        <v>697227.82742191793</v>
      </c>
    </row>
    <row r="25" spans="1:11" ht="18" customHeight="1">
      <c r="A25" s="4" t="s">
        <v>79</v>
      </c>
      <c r="B25" t="s">
        <v>5</v>
      </c>
      <c r="F25" s="13">
        <f>'[13]CB Master List - FY15&amp;FY14'!$G$67</f>
        <v>6378.8094999999994</v>
      </c>
      <c r="G25" s="13">
        <f>'[13]CB Master List - FY15&amp;FY14'!$H$67</f>
        <v>0</v>
      </c>
      <c r="H25" s="14">
        <f>'[13]CB Master List - FY15&amp;FY14'!$I$67</f>
        <v>271124.10245000001</v>
      </c>
      <c r="I25" s="40">
        <f>'[13]CB Master List - FY15&amp;FY14'!$J$67</f>
        <v>189350.74505725404</v>
      </c>
      <c r="J25" s="14">
        <f>'[13]CB Master List - FY15&amp;FY14'!$K$67</f>
        <v>23828.8675</v>
      </c>
      <c r="K25" s="15">
        <f t="shared" si="0"/>
        <v>436645.98000725405</v>
      </c>
    </row>
    <row r="26" spans="1:11" ht="18" customHeight="1">
      <c r="A26" s="4" t="s">
        <v>80</v>
      </c>
      <c r="B26" t="s">
        <v>45</v>
      </c>
      <c r="F26" s="13"/>
      <c r="G26" s="13"/>
      <c r="H26" s="14"/>
      <c r="I26" s="40">
        <v>0</v>
      </c>
      <c r="J26" s="14"/>
      <c r="K26" s="15">
        <f t="shared" si="0"/>
        <v>0</v>
      </c>
    </row>
    <row r="27" spans="1:11" ht="18" customHeight="1">
      <c r="A27" s="4" t="s">
        <v>81</v>
      </c>
      <c r="B27" t="s">
        <v>46</v>
      </c>
      <c r="F27" s="13"/>
      <c r="G27" s="13"/>
      <c r="H27" s="14"/>
      <c r="I27" s="40">
        <f>'[13]CB Master List - FY15&amp;FY14'!$J$68</f>
        <v>0</v>
      </c>
      <c r="J27" s="14"/>
      <c r="K27" s="15">
        <f t="shared" si="0"/>
        <v>0</v>
      </c>
    </row>
    <row r="28" spans="1:11" ht="18" customHeight="1">
      <c r="A28" s="4" t="s">
        <v>82</v>
      </c>
      <c r="B28" t="s">
        <v>47</v>
      </c>
      <c r="F28" s="13"/>
      <c r="G28" s="13"/>
      <c r="H28" s="14"/>
      <c r="I28" s="40">
        <f>'[13]CB Master List - FY15&amp;FY14'!$J$71</f>
        <v>0</v>
      </c>
      <c r="J28" s="14"/>
      <c r="K28" s="15">
        <f t="shared" si="0"/>
        <v>0</v>
      </c>
    </row>
    <row r="29" spans="1:11" ht="18" customHeight="1">
      <c r="A29" s="4" t="s">
        <v>83</v>
      </c>
      <c r="B29" t="s">
        <v>48</v>
      </c>
      <c r="F29" s="13">
        <f>'[13]CB Master List - FY15&amp;FY14'!$G$89</f>
        <v>304.76443466262396</v>
      </c>
      <c r="G29" s="13">
        <f>'[13]CB Master List - FY15&amp;FY14'!$H$89</f>
        <v>358.49533739616845</v>
      </c>
      <c r="H29" s="14">
        <f>'[13]CB Master List - FY15&amp;FY14'!$I$89</f>
        <v>1226928.0001000001</v>
      </c>
      <c r="I29" s="40">
        <f>'[13]CB Master List - FY15&amp;FY14'!$J$89</f>
        <v>825917.10563180631</v>
      </c>
      <c r="J29" s="14">
        <f>'[13]CB Master List - FY15&amp;FY14'!$K$89</f>
        <v>731.7</v>
      </c>
      <c r="K29" s="15">
        <f t="shared" si="0"/>
        <v>2052113.4057318063</v>
      </c>
    </row>
    <row r="30" spans="1:11" ht="18" customHeight="1">
      <c r="A30" s="4" t="s">
        <v>84</v>
      </c>
      <c r="B30" s="893" t="s">
        <v>197</v>
      </c>
      <c r="C30" s="894"/>
      <c r="D30" s="895"/>
      <c r="F30" s="13">
        <f>'[13]CB Master List - FY15&amp;FY14'!$G$98</f>
        <v>587.64470721483008</v>
      </c>
      <c r="G30" s="13">
        <f>'[13]CB Master List - FY15&amp;FY14'!$H$98</f>
        <v>99.998536074150209</v>
      </c>
      <c r="H30" s="14">
        <f>'[13]CB Master List - FY15&amp;FY14'!$I$98</f>
        <v>29817.268981761063</v>
      </c>
      <c r="I30" s="40">
        <f>'[13]CB Master List - FY15&amp;FY14'!$J$98</f>
        <v>20824.124621344628</v>
      </c>
      <c r="J30" s="14">
        <f>'[13]CB Master List - FY15&amp;FY14'!$K$98</f>
        <v>2272.2950000000001</v>
      </c>
      <c r="K30" s="15">
        <f t="shared" si="0"/>
        <v>48369.098603105696</v>
      </c>
    </row>
    <row r="31" spans="1:11" ht="18" customHeight="1">
      <c r="A31" s="4" t="s">
        <v>133</v>
      </c>
      <c r="B31" s="893"/>
      <c r="C31" s="894"/>
      <c r="D31" s="895"/>
      <c r="F31" s="13"/>
      <c r="G31" s="13"/>
      <c r="H31" s="14"/>
      <c r="I31" s="40">
        <f>H31*F$114</f>
        <v>0</v>
      </c>
      <c r="J31" s="14"/>
      <c r="K31" s="15">
        <f t="shared" si="0"/>
        <v>0</v>
      </c>
    </row>
    <row r="32" spans="1:11" ht="18" customHeight="1">
      <c r="A32" s="4" t="s">
        <v>134</v>
      </c>
      <c r="B32" s="601"/>
      <c r="C32" s="602"/>
      <c r="D32" s="603"/>
      <c r="F32" s="13"/>
      <c r="G32" s="258" t="s">
        <v>85</v>
      </c>
      <c r="H32" s="14"/>
      <c r="I32" s="40">
        <f>H32*F$114</f>
        <v>0</v>
      </c>
      <c r="J32" s="14"/>
      <c r="K32" s="15">
        <f t="shared" si="0"/>
        <v>0</v>
      </c>
    </row>
    <row r="33" spans="1:11" ht="18" customHeight="1">
      <c r="A33" s="4" t="s">
        <v>135</v>
      </c>
      <c r="B33" s="601"/>
      <c r="C33" s="602"/>
      <c r="D33" s="603"/>
      <c r="F33" s="13"/>
      <c r="G33" s="258" t="s">
        <v>85</v>
      </c>
      <c r="H33" s="14"/>
      <c r="I33" s="40">
        <f>H33*F$114</f>
        <v>0</v>
      </c>
      <c r="J33" s="14"/>
      <c r="K33" s="15">
        <f t="shared" si="0"/>
        <v>0</v>
      </c>
    </row>
    <row r="34" spans="1:11" ht="18" customHeight="1">
      <c r="A34" s="4" t="s">
        <v>136</v>
      </c>
      <c r="B34" s="893"/>
      <c r="C34" s="894"/>
      <c r="D34" s="895"/>
      <c r="F34" s="13"/>
      <c r="G34" s="258" t="s">
        <v>85</v>
      </c>
      <c r="H34" s="14"/>
      <c r="I34" s="40">
        <f>H34*F$114</f>
        <v>0</v>
      </c>
      <c r="J34" s="14"/>
      <c r="K34" s="15">
        <f t="shared" si="0"/>
        <v>0</v>
      </c>
    </row>
    <row r="35" spans="1:11" ht="18" customHeight="1">
      <c r="K35" s="35"/>
    </row>
    <row r="36" spans="1:11" ht="18" customHeight="1">
      <c r="A36" s="5" t="s">
        <v>137</v>
      </c>
      <c r="B36" s="1" t="s">
        <v>138</v>
      </c>
      <c r="E36" s="1" t="s">
        <v>7</v>
      </c>
      <c r="F36" s="17">
        <f t="shared" ref="F36:K36" si="1">SUM(F21:F34)</f>
        <v>29344.330969695915</v>
      </c>
      <c r="G36" s="17">
        <f t="shared" si="1"/>
        <v>34099.964089898902</v>
      </c>
      <c r="H36" s="17">
        <f t="shared" si="1"/>
        <v>2596438.9314849223</v>
      </c>
      <c r="I36" s="15">
        <f t="shared" si="1"/>
        <v>1782371.7803673795</v>
      </c>
      <c r="J36" s="15">
        <f t="shared" si="1"/>
        <v>85588.381250000006</v>
      </c>
      <c r="K36" s="15">
        <f t="shared" si="1"/>
        <v>4293222.3306023022</v>
      </c>
    </row>
    <row r="37" spans="1:11" ht="18" customHeight="1" thickBot="1">
      <c r="B37" s="1"/>
      <c r="F37" s="18"/>
      <c r="G37" s="18"/>
      <c r="H37" s="19"/>
      <c r="I37" s="19"/>
      <c r="J37" s="19"/>
      <c r="K37" s="36"/>
    </row>
    <row r="38" spans="1:11" ht="42.75" customHeight="1">
      <c r="F38" s="8" t="s">
        <v>9</v>
      </c>
      <c r="G38" s="8" t="s">
        <v>37</v>
      </c>
      <c r="H38" s="8" t="s">
        <v>29</v>
      </c>
      <c r="I38" s="8" t="s">
        <v>30</v>
      </c>
      <c r="J38" s="8" t="s">
        <v>33</v>
      </c>
      <c r="K38" s="8" t="s">
        <v>34</v>
      </c>
    </row>
    <row r="39" spans="1:11" ht="18.75" customHeight="1">
      <c r="A39" s="5" t="s">
        <v>86</v>
      </c>
      <c r="B39" s="1" t="s">
        <v>49</v>
      </c>
    </row>
    <row r="40" spans="1:11" ht="18" customHeight="1">
      <c r="A40" s="4" t="s">
        <v>87</v>
      </c>
      <c r="B40" t="s">
        <v>31</v>
      </c>
      <c r="F40" s="13">
        <f>'[13]CB Master List - FY15&amp;FY14'!$G$106</f>
        <v>1416</v>
      </c>
      <c r="G40" s="13">
        <f>'[13]CB Master List - FY15&amp;FY14'!$H$106</f>
        <v>4318.8</v>
      </c>
      <c r="H40" s="14">
        <f>'[13]CB Master List - FY15&amp;FY14'!$I$106</f>
        <v>189895.66800000001</v>
      </c>
      <c r="I40" s="40">
        <v>0</v>
      </c>
      <c r="J40" s="14">
        <f>'[13]CB Master List - FY15&amp;FY14'!$K$106</f>
        <v>0</v>
      </c>
      <c r="K40" s="15">
        <f t="shared" ref="K40:K47" si="2">(H40+I40)-J40</f>
        <v>189895.66800000001</v>
      </c>
    </row>
    <row r="41" spans="1:11" ht="18" customHeight="1">
      <c r="A41" s="4" t="s">
        <v>88</v>
      </c>
      <c r="B41" s="931" t="s">
        <v>50</v>
      </c>
      <c r="C41" s="939"/>
      <c r="F41" s="13">
        <f>'[13]CB Master List - FY15&amp;FY14'!$G$117</f>
        <v>15109</v>
      </c>
      <c r="G41" s="13">
        <f>'[13]CB Master List - FY15&amp;FY14'!$H$117</f>
        <v>5883.8452380952385</v>
      </c>
      <c r="H41" s="14">
        <f>'[13]CB Master List - FY15&amp;FY14'!$I$117</f>
        <v>634578</v>
      </c>
      <c r="I41" s="40">
        <f>'[13]CB Master List - FY15&amp;FY14'!$J$117</f>
        <v>0</v>
      </c>
      <c r="J41" s="14">
        <f>'[13]CB Master List - FY15&amp;FY14'!$K$117</f>
        <v>0</v>
      </c>
      <c r="K41" s="15">
        <f t="shared" si="2"/>
        <v>634578</v>
      </c>
    </row>
    <row r="42" spans="1:11" ht="18" customHeight="1">
      <c r="A42" s="4" t="s">
        <v>89</v>
      </c>
      <c r="B42" s="257" t="s">
        <v>11</v>
      </c>
      <c r="F42" s="13">
        <f>'[13]CB Master List - FY15&amp;FY14'!$G$130</f>
        <v>622.36923875855814</v>
      </c>
      <c r="G42" s="13">
        <f>'[13]CB Master List - FY15&amp;FY14'!$H$130</f>
        <v>206.99890205561266</v>
      </c>
      <c r="H42" s="14">
        <f>'[13]CB Master List - FY15&amp;FY14'!$I$130</f>
        <v>33402.765500000001</v>
      </c>
      <c r="I42" s="40">
        <f>'[13]CB Master List - FY15&amp;FY14'!$J$130</f>
        <v>0</v>
      </c>
      <c r="J42" s="14">
        <f>'[13]CB Master List - FY15&amp;FY14'!$K$130</f>
        <v>302.21949999999998</v>
      </c>
      <c r="K42" s="15">
        <f t="shared" si="2"/>
        <v>33100.546000000002</v>
      </c>
    </row>
    <row r="43" spans="1:11" ht="18" customHeight="1">
      <c r="A43" s="4" t="s">
        <v>90</v>
      </c>
      <c r="B43" s="259" t="s">
        <v>10</v>
      </c>
      <c r="C43" s="9"/>
      <c r="D43" s="9"/>
      <c r="F43" s="13">
        <f>'[13]CB Master List - FY15&amp;FY14'!$G$128</f>
        <v>0</v>
      </c>
      <c r="G43" s="13">
        <f>'[13]CB Master List - FY15&amp;FY14'!$H$128</f>
        <v>0</v>
      </c>
      <c r="H43" s="14">
        <f>'[13]CB Master List - FY15&amp;FY14'!$I$128</f>
        <v>0</v>
      </c>
      <c r="I43" s="40">
        <v>0</v>
      </c>
      <c r="J43" s="14">
        <f>'[13]CB Master List - FY15&amp;FY14'!$K$128</f>
        <v>0</v>
      </c>
      <c r="K43" s="15">
        <f t="shared" si="2"/>
        <v>0</v>
      </c>
    </row>
    <row r="44" spans="1:11" ht="18" customHeight="1">
      <c r="A44" s="4" t="s">
        <v>91</v>
      </c>
      <c r="B44" s="893"/>
      <c r="C44" s="894"/>
      <c r="D44" s="895"/>
      <c r="F44" s="43"/>
      <c r="G44" s="43"/>
      <c r="H44" s="43"/>
      <c r="I44" s="44">
        <v>0</v>
      </c>
      <c r="J44" s="43"/>
      <c r="K44" s="45">
        <f t="shared" si="2"/>
        <v>0</v>
      </c>
    </row>
    <row r="45" spans="1:11" ht="18" customHeight="1">
      <c r="A45" s="4" t="s">
        <v>139</v>
      </c>
      <c r="B45" s="893"/>
      <c r="C45" s="894"/>
      <c r="D45" s="895"/>
      <c r="F45" s="13"/>
      <c r="G45" s="13"/>
      <c r="H45" s="14"/>
      <c r="I45" s="40">
        <v>0</v>
      </c>
      <c r="J45" s="14"/>
      <c r="K45" s="15">
        <f t="shared" si="2"/>
        <v>0</v>
      </c>
    </row>
    <row r="46" spans="1:11" ht="18" customHeight="1">
      <c r="A46" s="4" t="s">
        <v>140</v>
      </c>
      <c r="B46" s="893"/>
      <c r="C46" s="894"/>
      <c r="D46" s="895"/>
      <c r="F46" s="13"/>
      <c r="G46" s="13"/>
      <c r="H46" s="14"/>
      <c r="I46" s="40">
        <v>0</v>
      </c>
      <c r="J46" s="14"/>
      <c r="K46" s="15">
        <f t="shared" si="2"/>
        <v>0</v>
      </c>
    </row>
    <row r="47" spans="1:11" ht="18" customHeight="1">
      <c r="A47" s="4" t="s">
        <v>141</v>
      </c>
      <c r="B47" s="893"/>
      <c r="C47" s="894"/>
      <c r="D47" s="895"/>
      <c r="F47" s="13"/>
      <c r="G47" s="13"/>
      <c r="H47" s="14"/>
      <c r="I47" s="40">
        <v>0</v>
      </c>
      <c r="J47" s="14"/>
      <c r="K47" s="15">
        <f t="shared" si="2"/>
        <v>0</v>
      </c>
    </row>
    <row r="49" spans="1:11" ht="18" customHeight="1">
      <c r="A49" s="5" t="s">
        <v>142</v>
      </c>
      <c r="B49" s="1" t="s">
        <v>143</v>
      </c>
      <c r="E49" s="1" t="s">
        <v>7</v>
      </c>
      <c r="F49" s="22">
        <f t="shared" ref="F49:K49" si="3">SUM(F40:F47)</f>
        <v>17147.369238758558</v>
      </c>
      <c r="G49" s="22">
        <f t="shared" si="3"/>
        <v>10409.644140150853</v>
      </c>
      <c r="H49" s="15">
        <f t="shared" si="3"/>
        <v>857876.43350000004</v>
      </c>
      <c r="I49" s="15">
        <f t="shared" si="3"/>
        <v>0</v>
      </c>
      <c r="J49" s="15">
        <f t="shared" si="3"/>
        <v>302.21949999999998</v>
      </c>
      <c r="K49" s="15">
        <f t="shared" si="3"/>
        <v>857574.21400000004</v>
      </c>
    </row>
    <row r="50" spans="1:11" ht="18" customHeight="1" thickBot="1">
      <c r="G50" s="23"/>
      <c r="H50" s="23"/>
      <c r="I50" s="23"/>
      <c r="J50" s="23"/>
      <c r="K50" s="23"/>
    </row>
    <row r="51" spans="1:11" ht="42.75" customHeight="1">
      <c r="F51" s="8" t="s">
        <v>9</v>
      </c>
      <c r="G51" s="8" t="s">
        <v>37</v>
      </c>
      <c r="H51" s="8" t="s">
        <v>29</v>
      </c>
      <c r="I51" s="8" t="s">
        <v>30</v>
      </c>
      <c r="J51" s="8" t="s">
        <v>33</v>
      </c>
      <c r="K51" s="8" t="s">
        <v>34</v>
      </c>
    </row>
    <row r="52" spans="1:11" ht="18" customHeight="1">
      <c r="A52" s="5" t="s">
        <v>92</v>
      </c>
      <c r="B52" s="935" t="s">
        <v>38</v>
      </c>
      <c r="C52" s="936"/>
    </row>
    <row r="53" spans="1:11" ht="18" customHeight="1">
      <c r="A53" s="4" t="s">
        <v>51</v>
      </c>
      <c r="B53" s="937" t="s">
        <v>191</v>
      </c>
      <c r="C53" s="938"/>
      <c r="D53" s="934"/>
      <c r="F53" s="13"/>
      <c r="G53" s="13"/>
      <c r="H53" s="14"/>
      <c r="I53" s="40">
        <v>0</v>
      </c>
      <c r="J53" s="14"/>
      <c r="K53" s="15">
        <f t="shared" ref="K53:K62" si="4">(H53+I53)-J53</f>
        <v>0</v>
      </c>
    </row>
    <row r="54" spans="1:11" ht="18" customHeight="1">
      <c r="A54" s="4" t="s">
        <v>93</v>
      </c>
      <c r="B54" s="604" t="s">
        <v>192</v>
      </c>
      <c r="C54" s="605"/>
      <c r="D54" s="606"/>
      <c r="F54" s="13">
        <f>'[13]CB Master List - FY15&amp;FY14'!$G$155</f>
        <v>71889.665846868171</v>
      </c>
      <c r="G54" s="13">
        <f>'[13]CB Master List - FY15&amp;FY14'!$H$155</f>
        <v>3703.9958058524408</v>
      </c>
      <c r="H54" s="14">
        <f>'[13]CB Master List - FY15&amp;FY14'!$I$155</f>
        <v>8779195.7230834197</v>
      </c>
      <c r="I54" s="40">
        <f>'[13]CB Master List - FY15&amp;FY14'!$J$155</f>
        <v>0</v>
      </c>
      <c r="J54" s="14">
        <f>'[13]CB Master List - FY15&amp;FY14'!$K$155</f>
        <v>0</v>
      </c>
      <c r="K54" s="15">
        <f t="shared" si="4"/>
        <v>8779195.7230834197</v>
      </c>
    </row>
    <row r="55" spans="1:11" ht="18" customHeight="1">
      <c r="A55" s="4" t="s">
        <v>94</v>
      </c>
      <c r="B55" s="932" t="s">
        <v>193</v>
      </c>
      <c r="C55" s="933"/>
      <c r="D55" s="934"/>
      <c r="F55" s="13">
        <f>'[13]CB Master List - FY15&amp;FY14'!$G$158</f>
        <v>8796.5</v>
      </c>
      <c r="G55" s="13">
        <f>'[13]CB Master List - FY15&amp;FY14'!$H$158</f>
        <v>0</v>
      </c>
      <c r="H55" s="14">
        <f>'[13]CB Master List - FY15&amp;FY14'!$I$158</f>
        <v>456446.66000000003</v>
      </c>
      <c r="I55" s="40">
        <v>0</v>
      </c>
      <c r="J55" s="14"/>
      <c r="K55" s="15">
        <f t="shared" si="4"/>
        <v>456446.66000000003</v>
      </c>
    </row>
    <row r="56" spans="1:11" ht="18" customHeight="1">
      <c r="A56" s="4" t="s">
        <v>95</v>
      </c>
      <c r="B56" s="932" t="s">
        <v>194</v>
      </c>
      <c r="C56" s="933"/>
      <c r="D56" s="934"/>
      <c r="F56" s="13"/>
      <c r="G56" s="13"/>
      <c r="H56" s="14"/>
      <c r="I56" s="40">
        <v>0</v>
      </c>
      <c r="J56" s="14"/>
      <c r="K56" s="15">
        <f t="shared" si="4"/>
        <v>0</v>
      </c>
    </row>
    <row r="57" spans="1:11" ht="18" customHeight="1">
      <c r="A57" s="4" t="s">
        <v>96</v>
      </c>
      <c r="B57" s="932" t="s">
        <v>195</v>
      </c>
      <c r="C57" s="933"/>
      <c r="D57" s="934"/>
      <c r="F57" s="13">
        <f>'[13]CB Master List - FY15&amp;FY14'!$G$166</f>
        <v>0</v>
      </c>
      <c r="G57" s="13">
        <f>'[13]CB Master List - FY15&amp;FY14'!$H$166</f>
        <v>0</v>
      </c>
      <c r="H57" s="14">
        <f>'[13]CB Master List - FY15&amp;FY14'!$I$166</f>
        <v>2063162.3557319592</v>
      </c>
      <c r="I57" s="40">
        <f>'[13]CB Master List - FY15&amp;FY14'!$J$166</f>
        <v>0</v>
      </c>
      <c r="J57" s="14">
        <f>'[13]CB Master List - FY15&amp;FY14'!$K$166</f>
        <v>0</v>
      </c>
      <c r="K57" s="15">
        <f t="shared" si="4"/>
        <v>2063162.3557319592</v>
      </c>
    </row>
    <row r="58" spans="1:11" ht="18" customHeight="1">
      <c r="A58" s="4" t="s">
        <v>97</v>
      </c>
      <c r="B58" s="604"/>
      <c r="C58" s="605"/>
      <c r="D58" s="606"/>
      <c r="F58" s="13"/>
      <c r="G58" s="13"/>
      <c r="H58" s="14"/>
      <c r="I58" s="40">
        <v>0</v>
      </c>
      <c r="J58" s="14"/>
      <c r="K58" s="15">
        <f t="shared" si="4"/>
        <v>0</v>
      </c>
    </row>
    <row r="59" spans="1:11" ht="18" customHeight="1">
      <c r="A59" s="4" t="s">
        <v>98</v>
      </c>
      <c r="B59" s="932"/>
      <c r="C59" s="933"/>
      <c r="D59" s="934"/>
      <c r="F59" s="13"/>
      <c r="G59" s="13"/>
      <c r="H59" s="14"/>
      <c r="I59" s="40">
        <v>0</v>
      </c>
      <c r="J59" s="14"/>
      <c r="K59" s="15">
        <f t="shared" si="4"/>
        <v>0</v>
      </c>
    </row>
    <row r="60" spans="1:11" ht="18" customHeight="1">
      <c r="A60" s="4" t="s">
        <v>99</v>
      </c>
      <c r="B60" s="604"/>
      <c r="C60" s="605"/>
      <c r="D60" s="606"/>
      <c r="F60" s="13"/>
      <c r="G60" s="13"/>
      <c r="H60" s="14"/>
      <c r="I60" s="40">
        <v>0</v>
      </c>
      <c r="J60" s="14"/>
      <c r="K60" s="15">
        <f t="shared" si="4"/>
        <v>0</v>
      </c>
    </row>
    <row r="61" spans="1:11" ht="18" customHeight="1">
      <c r="A61" s="4" t="s">
        <v>100</v>
      </c>
      <c r="B61" s="604"/>
      <c r="C61" s="605"/>
      <c r="D61" s="606"/>
      <c r="F61" s="13"/>
      <c r="G61" s="13"/>
      <c r="H61" s="14"/>
      <c r="I61" s="40">
        <v>0</v>
      </c>
      <c r="J61" s="14"/>
      <c r="K61" s="15">
        <f t="shared" si="4"/>
        <v>0</v>
      </c>
    </row>
    <row r="62" spans="1:11" ht="18" customHeight="1">
      <c r="A62" s="4" t="s">
        <v>101</v>
      </c>
      <c r="B62" s="932"/>
      <c r="C62" s="933"/>
      <c r="D62" s="934"/>
      <c r="F62" s="13"/>
      <c r="G62" s="13"/>
      <c r="H62" s="14"/>
      <c r="I62" s="40">
        <v>0</v>
      </c>
      <c r="J62" s="14"/>
      <c r="K62" s="15">
        <f t="shared" si="4"/>
        <v>0</v>
      </c>
    </row>
    <row r="63" spans="1:11" ht="18" customHeight="1">
      <c r="A63" s="4"/>
      <c r="I63" s="37"/>
    </row>
    <row r="64" spans="1:11" ht="18" customHeight="1">
      <c r="A64" s="4" t="s">
        <v>144</v>
      </c>
      <c r="B64" s="1" t="s">
        <v>145</v>
      </c>
      <c r="E64" s="1" t="s">
        <v>7</v>
      </c>
      <c r="F64" s="17">
        <f t="shared" ref="F64:K64" si="5">SUM(F53:F62)</f>
        <v>80686.165846868171</v>
      </c>
      <c r="G64" s="17">
        <f t="shared" si="5"/>
        <v>3703.9958058524408</v>
      </c>
      <c r="H64" s="15">
        <f t="shared" si="5"/>
        <v>11298804.738815378</v>
      </c>
      <c r="I64" s="15">
        <f t="shared" si="5"/>
        <v>0</v>
      </c>
      <c r="J64" s="15">
        <f t="shared" si="5"/>
        <v>0</v>
      </c>
      <c r="K64" s="15">
        <f t="shared" si="5"/>
        <v>11298804.738815378</v>
      </c>
    </row>
    <row r="65" spans="1:11" ht="18" customHeight="1">
      <c r="F65" s="38"/>
      <c r="G65" s="38"/>
      <c r="H65" s="38"/>
      <c r="I65" s="38"/>
      <c r="J65" s="38"/>
      <c r="K65" s="38"/>
    </row>
    <row r="66" spans="1:11" ht="42.75" customHeight="1">
      <c r="F66" s="46" t="s">
        <v>9</v>
      </c>
      <c r="G66" s="46" t="s">
        <v>37</v>
      </c>
      <c r="H66" s="46" t="s">
        <v>29</v>
      </c>
      <c r="I66" s="46" t="s">
        <v>30</v>
      </c>
      <c r="J66" s="46" t="s">
        <v>33</v>
      </c>
      <c r="K66" s="46" t="s">
        <v>34</v>
      </c>
    </row>
    <row r="67" spans="1:11" ht="18" customHeight="1">
      <c r="A67" s="5" t="s">
        <v>102</v>
      </c>
      <c r="B67" s="1" t="s">
        <v>12</v>
      </c>
      <c r="F67" s="47"/>
      <c r="G67" s="47"/>
      <c r="H67" s="47"/>
      <c r="I67" s="48"/>
      <c r="J67" s="47"/>
      <c r="K67" s="49"/>
    </row>
    <row r="68" spans="1:11" ht="18" customHeight="1">
      <c r="A68" s="4" t="s">
        <v>103</v>
      </c>
      <c r="B68" t="s">
        <v>52</v>
      </c>
      <c r="F68" s="13">
        <f>'[13]CB Master List - FY15&amp;FY14'!$G$177</f>
        <v>7062.2978041112256</v>
      </c>
      <c r="G68" s="41">
        <f>'[13]CB Master List - FY15&amp;FY14'!$H$177</f>
        <v>0</v>
      </c>
      <c r="H68" s="14">
        <f>'[13]CB Master List - FY15&amp;FY14'!$I$177</f>
        <v>590664.14</v>
      </c>
      <c r="I68" s="40">
        <f>'[13]CB Master List - FY15&amp;FY14'!$J$177</f>
        <v>0</v>
      </c>
      <c r="J68" s="41">
        <f>'[13]CB Master List - FY15&amp;FY14'!$K$177</f>
        <v>102434.68</v>
      </c>
      <c r="K68" s="15">
        <f>(H68+I68)-J68</f>
        <v>488229.46</v>
      </c>
    </row>
    <row r="69" spans="1:11" ht="18" customHeight="1">
      <c r="A69" s="4" t="s">
        <v>104</v>
      </c>
      <c r="B69" s="257" t="s">
        <v>53</v>
      </c>
      <c r="F69" s="41">
        <f>'[13]CB Master List - FY15&amp;FY14'!$G$182</f>
        <v>0</v>
      </c>
      <c r="G69" s="41">
        <f>'[13]CB Master List - FY15&amp;FY14'!$H$182</f>
        <v>0</v>
      </c>
      <c r="H69" s="14">
        <f>'[13]CB Master List - FY15&amp;FY14'!$I$182</f>
        <v>42510.180000000008</v>
      </c>
      <c r="I69" s="40">
        <f>'[13]CB Master List - FY15&amp;FY14'!$J$182</f>
        <v>0</v>
      </c>
      <c r="J69" s="41">
        <f>'[13]CB Master List - FY15&amp;FY14'!$K$182</f>
        <v>0</v>
      </c>
      <c r="K69" s="15">
        <f>(H69+I69)-J69</f>
        <v>42510.180000000008</v>
      </c>
    </row>
    <row r="70" spans="1:11" ht="18" customHeight="1">
      <c r="A70" s="4" t="s">
        <v>178</v>
      </c>
      <c r="B70" s="604"/>
      <c r="C70" s="605"/>
      <c r="D70" s="606"/>
      <c r="E70" s="1"/>
      <c r="F70" s="26"/>
      <c r="G70" s="26"/>
      <c r="H70" s="14"/>
      <c r="I70" s="40">
        <v>0</v>
      </c>
      <c r="J70" s="27"/>
      <c r="K70" s="15">
        <f>(H70+I70)-J70</f>
        <v>0</v>
      </c>
    </row>
    <row r="71" spans="1:11" ht="18" customHeight="1">
      <c r="A71" s="4" t="s">
        <v>179</v>
      </c>
      <c r="B71" s="604"/>
      <c r="C71" s="605"/>
      <c r="D71" s="606"/>
      <c r="E71" s="1"/>
      <c r="F71" s="26"/>
      <c r="G71" s="26"/>
      <c r="H71" s="14"/>
      <c r="I71" s="40">
        <v>0</v>
      </c>
      <c r="J71" s="27"/>
      <c r="K71" s="15">
        <f>(H71+I71)-J71</f>
        <v>0</v>
      </c>
    </row>
    <row r="72" spans="1:11" ht="18" customHeight="1">
      <c r="A72" s="4" t="s">
        <v>180</v>
      </c>
      <c r="B72" s="609"/>
      <c r="C72" s="607"/>
      <c r="D72" s="25"/>
      <c r="E72" s="1"/>
      <c r="F72" s="13"/>
      <c r="G72" s="13"/>
      <c r="H72" s="14"/>
      <c r="I72" s="40">
        <v>0</v>
      </c>
      <c r="J72" s="14"/>
      <c r="K72" s="15">
        <f>(H72+I72)-J72</f>
        <v>0</v>
      </c>
    </row>
    <row r="73" spans="1:11" ht="18" customHeight="1">
      <c r="A73" s="4"/>
      <c r="B73" s="257"/>
      <c r="E73" s="1"/>
      <c r="F73" s="50"/>
      <c r="G73" s="50"/>
      <c r="H73" s="51"/>
      <c r="I73" s="48"/>
      <c r="J73" s="51"/>
      <c r="K73" s="49"/>
    </row>
    <row r="74" spans="1:11" ht="18" customHeight="1">
      <c r="A74" s="5" t="s">
        <v>146</v>
      </c>
      <c r="B74" s="1" t="s">
        <v>147</v>
      </c>
      <c r="E74" s="1" t="s">
        <v>7</v>
      </c>
      <c r="F74" s="20">
        <f t="shared" ref="F74:K74" si="6">SUM(F68:F72)</f>
        <v>7062.2978041112256</v>
      </c>
      <c r="G74" s="20">
        <f t="shared" si="6"/>
        <v>0</v>
      </c>
      <c r="H74" s="20">
        <f t="shared" si="6"/>
        <v>633174.32000000007</v>
      </c>
      <c r="I74" s="42">
        <f t="shared" si="6"/>
        <v>0</v>
      </c>
      <c r="J74" s="20">
        <f t="shared" si="6"/>
        <v>102434.68</v>
      </c>
      <c r="K74" s="16">
        <f t="shared" si="6"/>
        <v>530739.64</v>
      </c>
    </row>
    <row r="75" spans="1:11" ht="42.75" customHeight="1">
      <c r="F75" s="8" t="s">
        <v>9</v>
      </c>
      <c r="G75" s="8" t="s">
        <v>37</v>
      </c>
      <c r="H75" s="8" t="s">
        <v>29</v>
      </c>
      <c r="I75" s="8" t="s">
        <v>30</v>
      </c>
      <c r="J75" s="8" t="s">
        <v>33</v>
      </c>
      <c r="K75" s="8" t="s">
        <v>34</v>
      </c>
    </row>
    <row r="76" spans="1:11" ht="18" customHeight="1">
      <c r="A76" s="5" t="s">
        <v>105</v>
      </c>
      <c r="B76" s="1" t="s">
        <v>106</v>
      </c>
    </row>
    <row r="77" spans="1:11" ht="18" customHeight="1">
      <c r="A77" s="4" t="s">
        <v>107</v>
      </c>
      <c r="B77" s="257" t="s">
        <v>54</v>
      </c>
      <c r="F77" s="13">
        <f>'[13]CB Master List - FY15&amp;FY14'!$G$201</f>
        <v>46.999311954850597</v>
      </c>
      <c r="G77" s="13">
        <f>'[13]CB Master List - FY15&amp;FY14'!$H$201</f>
        <v>0</v>
      </c>
      <c r="H77" s="14">
        <f>'[13]CB Master List - FY15&amp;FY14'!$I$201</f>
        <v>778977.5</v>
      </c>
      <c r="I77" s="40">
        <f>'[13]CB Master List - FY15&amp;FY14'!$J$201</f>
        <v>0</v>
      </c>
      <c r="J77" s="14">
        <f>'[13]CB Master List - FY15&amp;FY14'!$K$201</f>
        <v>0</v>
      </c>
      <c r="K77" s="15">
        <f>(H77+I77)-J77</f>
        <v>778977.5</v>
      </c>
    </row>
    <row r="78" spans="1:11" ht="18" customHeight="1">
      <c r="A78" s="4" t="s">
        <v>108</v>
      </c>
      <c r="B78" s="257" t="s">
        <v>55</v>
      </c>
      <c r="F78" s="13">
        <f>'[13]CB Master List - FY15&amp;FY14'!$G$204</f>
        <v>20.999692575571544</v>
      </c>
      <c r="G78" s="13"/>
      <c r="H78" s="14"/>
      <c r="I78" s="40">
        <v>0</v>
      </c>
      <c r="J78" s="14"/>
      <c r="K78" s="15">
        <f>(H78+I78)-J78</f>
        <v>0</v>
      </c>
    </row>
    <row r="79" spans="1:11" ht="18" customHeight="1">
      <c r="A79" s="4" t="s">
        <v>109</v>
      </c>
      <c r="B79" s="257" t="s">
        <v>13</v>
      </c>
      <c r="F79" s="13"/>
      <c r="G79" s="13"/>
      <c r="H79" s="14"/>
      <c r="I79" s="40">
        <v>0</v>
      </c>
      <c r="J79" s="14"/>
      <c r="K79" s="15">
        <f>(H79+I79)-J79</f>
        <v>0</v>
      </c>
    </row>
    <row r="80" spans="1:11" ht="18" customHeight="1">
      <c r="A80" s="4" t="s">
        <v>110</v>
      </c>
      <c r="B80" s="257" t="s">
        <v>56</v>
      </c>
      <c r="F80" s="13">
        <f>'[13]CB Master List - FY15&amp;FY14'!$G$213</f>
        <v>188.49724049977314</v>
      </c>
      <c r="G80" s="13"/>
      <c r="H80" s="14"/>
      <c r="I80" s="40">
        <v>0</v>
      </c>
      <c r="J80" s="14"/>
      <c r="K80" s="15">
        <f>(H80+I80)-J80</f>
        <v>0</v>
      </c>
    </row>
    <row r="81" spans="1:11" ht="18" customHeight="1">
      <c r="A81" s="4"/>
      <c r="K81" s="31"/>
    </row>
    <row r="82" spans="1:11" ht="18" customHeight="1">
      <c r="A82" s="4" t="s">
        <v>148</v>
      </c>
      <c r="B82" s="1" t="s">
        <v>149</v>
      </c>
      <c r="E82" s="1" t="s">
        <v>7</v>
      </c>
      <c r="F82" s="20">
        <f t="shared" ref="F82:K82" si="7">SUM(F77:F80)</f>
        <v>256.49624503019527</v>
      </c>
      <c r="G82" s="20">
        <f t="shared" si="7"/>
        <v>0</v>
      </c>
      <c r="H82" s="16">
        <f t="shared" si="7"/>
        <v>778977.5</v>
      </c>
      <c r="I82" s="16">
        <f t="shared" si="7"/>
        <v>0</v>
      </c>
      <c r="J82" s="16">
        <f t="shared" si="7"/>
        <v>0</v>
      </c>
      <c r="K82" s="16">
        <f t="shared" si="7"/>
        <v>778977.5</v>
      </c>
    </row>
    <row r="83" spans="1:11" ht="18" customHeight="1" thickBot="1">
      <c r="A83" s="4"/>
      <c r="F83" s="23"/>
      <c r="G83" s="23"/>
      <c r="H83" s="23"/>
      <c r="I83" s="23"/>
      <c r="J83" s="23"/>
      <c r="K83" s="23"/>
    </row>
    <row r="84" spans="1:11" ht="42.75" customHeight="1">
      <c r="F84" s="8" t="s">
        <v>9</v>
      </c>
      <c r="G84" s="8" t="s">
        <v>37</v>
      </c>
      <c r="H84" s="8" t="s">
        <v>29</v>
      </c>
      <c r="I84" s="8" t="s">
        <v>30</v>
      </c>
      <c r="J84" s="8" t="s">
        <v>33</v>
      </c>
      <c r="K84" s="8" t="s">
        <v>34</v>
      </c>
    </row>
    <row r="85" spans="1:11" ht="18" customHeight="1">
      <c r="A85" s="5" t="s">
        <v>111</v>
      </c>
      <c r="B85" s="1" t="s">
        <v>57</v>
      </c>
    </row>
    <row r="86" spans="1:11" ht="18" customHeight="1">
      <c r="A86" s="4" t="s">
        <v>112</v>
      </c>
      <c r="B86" s="257" t="s">
        <v>113</v>
      </c>
      <c r="F86" s="13">
        <f>'[13]CB Master List - FY15&amp;FY14'!$G$225</f>
        <v>0</v>
      </c>
      <c r="G86" s="13">
        <f>'[13]CB Master List - FY15&amp;FY14'!$H$225</f>
        <v>0</v>
      </c>
      <c r="H86" s="14">
        <f>'[13]CB Master List - FY15&amp;FY14'!$I$225</f>
        <v>2466.238588698001</v>
      </c>
      <c r="I86" s="40">
        <f>'[13]CB Master List - FY15&amp;FY14'!$J$225</f>
        <v>1722.3998532002045</v>
      </c>
      <c r="J86" s="14">
        <f>'[13]CB Master List - FY15&amp;FY14'!$K$225</f>
        <v>1686.75</v>
      </c>
      <c r="K86" s="15">
        <f t="shared" ref="K86:K96" si="8">(H86+I86)-J86</f>
        <v>2501.8884418982052</v>
      </c>
    </row>
    <row r="87" spans="1:11" ht="18" customHeight="1">
      <c r="A87" s="4" t="s">
        <v>114</v>
      </c>
      <c r="B87" s="257" t="s">
        <v>14</v>
      </c>
      <c r="F87" s="13">
        <f>'[13]CB Master List - FY15&amp;FY14'!$G$228</f>
        <v>1.7499743812976287</v>
      </c>
      <c r="G87" s="13">
        <f>'[13]CB Master List - FY15&amp;FY14'!$H$228</f>
        <v>100.99852143489171</v>
      </c>
      <c r="H87" s="14">
        <f>'[13]CB Master List - FY15&amp;FY14'!$I$228</f>
        <v>0</v>
      </c>
      <c r="I87" s="40">
        <f>'[13]CB Master List - FY15&amp;FY14'!$J$228</f>
        <v>0</v>
      </c>
      <c r="J87" s="14">
        <f>'[13]CB Master List - FY15&amp;FY14'!$K$228</f>
        <v>0</v>
      </c>
      <c r="K87" s="15">
        <f t="shared" si="8"/>
        <v>0</v>
      </c>
    </row>
    <row r="88" spans="1:11" ht="18" customHeight="1">
      <c r="A88" s="4" t="s">
        <v>115</v>
      </c>
      <c r="B88" s="257" t="s">
        <v>116</v>
      </c>
      <c r="F88" s="13">
        <f>'[13]CB Master List - FY15&amp;FY14'!$G$235</f>
        <v>1009.4856462070428</v>
      </c>
      <c r="G88" s="13">
        <f>'[13]CB Master List - FY15&amp;FY14'!$H$235</f>
        <v>640.49450295843405</v>
      </c>
      <c r="H88" s="14">
        <f>'[13]CB Master List - FY15&amp;FY14'!$I$235</f>
        <v>88609.799999999988</v>
      </c>
      <c r="I88" s="40">
        <f>'[13]CB Master List - FY15&amp;FY14'!$J$235</f>
        <v>61884.323443610054</v>
      </c>
      <c r="J88" s="14">
        <f>'[13]CB Master List - FY15&amp;FY14'!$K$235</f>
        <v>0</v>
      </c>
      <c r="K88" s="15">
        <f t="shared" si="8"/>
        <v>150494.12344361003</v>
      </c>
    </row>
    <row r="89" spans="1:11" ht="18" customHeight="1">
      <c r="A89" s="4" t="s">
        <v>117</v>
      </c>
      <c r="B89" s="257" t="s">
        <v>58</v>
      </c>
      <c r="F89" s="13">
        <f>'[13]CB Master List - FY15&amp;FY14'!$G$238</f>
        <v>0.7499890205561266</v>
      </c>
      <c r="G89" s="13">
        <f>'[13]CB Master List - FY15&amp;FY14'!$H$238</f>
        <v>2.4999634018537553</v>
      </c>
      <c r="H89" s="14">
        <f>'[13]CB Master List - FY15&amp;FY14'!$I$238</f>
        <v>0</v>
      </c>
      <c r="I89" s="40">
        <f>'[13]CB Master List - FY15&amp;FY14'!$J$238</f>
        <v>0</v>
      </c>
      <c r="J89" s="14">
        <f>'[13]CB Master List - FY15&amp;FY14'!$K$238</f>
        <v>0</v>
      </c>
      <c r="K89" s="15">
        <f t="shared" si="8"/>
        <v>0</v>
      </c>
    </row>
    <row r="90" spans="1:11" ht="18" customHeight="1">
      <c r="A90" s="4" t="s">
        <v>118</v>
      </c>
      <c r="B90" s="931" t="s">
        <v>59</v>
      </c>
      <c r="C90" s="939"/>
      <c r="F90" s="13">
        <f>'[13]CB Master List - FY15&amp;FY14'!$G$241</f>
        <v>19.749710874644666</v>
      </c>
      <c r="G90" s="13">
        <f>'[13]CB Master List - FY15&amp;FY14'!$H$241</f>
        <v>70.998960612646655</v>
      </c>
      <c r="H90" s="14">
        <f>'[13]CB Master List - FY15&amp;FY14'!$I$241</f>
        <v>0</v>
      </c>
      <c r="I90" s="40">
        <f>'[13]CB Master List - FY15&amp;FY14'!$J$241</f>
        <v>0</v>
      </c>
      <c r="J90" s="14">
        <f>'[13]CB Master List - FY15&amp;FY14'!$K$241</f>
        <v>0</v>
      </c>
      <c r="K90" s="15">
        <f t="shared" si="8"/>
        <v>0</v>
      </c>
    </row>
    <row r="91" spans="1:11" ht="18" customHeight="1">
      <c r="A91" s="4" t="s">
        <v>119</v>
      </c>
      <c r="B91" s="257" t="s">
        <v>60</v>
      </c>
      <c r="F91" s="13">
        <f>'[13]CB Master List - FY15&amp;FY14'!$G$244</f>
        <v>996.48492383711584</v>
      </c>
      <c r="G91" s="13">
        <f>'[13]CB Master List - FY15&amp;FY14'!$H$244</f>
        <v>2539.9637239174422</v>
      </c>
      <c r="H91" s="14">
        <f>'[13]CB Master List - FY15&amp;FY14'!$I$244</f>
        <v>58618.971436313041</v>
      </c>
      <c r="I91" s="40">
        <f>'[13]CB Master List - FY15&amp;FY14'!$J$244</f>
        <v>40938.986300573248</v>
      </c>
      <c r="J91" s="14">
        <f>'[13]CB Master List - FY15&amp;FY14'!$K$244</f>
        <v>3691.7400000000002</v>
      </c>
      <c r="K91" s="15">
        <f t="shared" si="8"/>
        <v>95866.217736886276</v>
      </c>
    </row>
    <row r="92" spans="1:11" ht="18" customHeight="1">
      <c r="A92" s="4" t="s">
        <v>120</v>
      </c>
      <c r="B92" s="257" t="s">
        <v>121</v>
      </c>
      <c r="F92" s="29">
        <f>'[13]CB Master List - FY15&amp;FY14'!$G$253</f>
        <v>9426.1234399504719</v>
      </c>
      <c r="G92" s="29">
        <f>'[13]CB Master List - FY15&amp;FY14'!$H$253</f>
        <v>652.49122376453056</v>
      </c>
      <c r="H92" s="30">
        <f>'[13]CB Master List - FY15&amp;FY14'!$I$253</f>
        <v>682735.10295760783</v>
      </c>
      <c r="I92" s="40">
        <f>'[13]CB Master List - FY15&amp;FY14'!$J$253</f>
        <v>476816.33338225586</v>
      </c>
      <c r="J92" s="30">
        <f>'[13]CB Master List - FY15&amp;FY14'!$K$253</f>
        <v>0</v>
      </c>
      <c r="K92" s="15">
        <f t="shared" si="8"/>
        <v>1159551.4363398636</v>
      </c>
    </row>
    <row r="93" spans="1:11" ht="18" customHeight="1">
      <c r="A93" s="4" t="s">
        <v>122</v>
      </c>
      <c r="B93" s="257" t="s">
        <v>123</v>
      </c>
      <c r="F93" s="13">
        <f>'[13]CB Master List - FY15&amp;FY14'!$G$256</f>
        <v>2.2499670616683796</v>
      </c>
      <c r="G93" s="13">
        <f>'[13]CB Master List - FY15&amp;FY14'!$H$256</f>
        <v>1.9999707214830043</v>
      </c>
      <c r="H93" s="14">
        <f>'[13]CB Master List - FY15&amp;FY14'!$I$256</f>
        <v>0</v>
      </c>
      <c r="I93" s="40">
        <f>'[13]CB Master List - FY15&amp;FY14'!$J$256</f>
        <v>0</v>
      </c>
      <c r="J93" s="14">
        <f>'[13]CB Master List - FY15&amp;FY14'!$K$256</f>
        <v>0</v>
      </c>
      <c r="K93" s="15">
        <f t="shared" si="8"/>
        <v>0</v>
      </c>
    </row>
    <row r="94" spans="1:11" ht="18" customHeight="1">
      <c r="A94" s="4" t="s">
        <v>124</v>
      </c>
      <c r="B94" s="932"/>
      <c r="C94" s="933"/>
      <c r="D94" s="934"/>
      <c r="F94" s="13"/>
      <c r="G94" s="13"/>
      <c r="H94" s="14"/>
      <c r="I94" s="40">
        <f>H94*F$114</f>
        <v>0</v>
      </c>
      <c r="J94" s="14"/>
      <c r="K94" s="15">
        <f t="shared" si="8"/>
        <v>0</v>
      </c>
    </row>
    <row r="95" spans="1:11" ht="18" customHeight="1">
      <c r="A95" s="4" t="s">
        <v>125</v>
      </c>
      <c r="B95" s="932"/>
      <c r="C95" s="933"/>
      <c r="D95" s="934"/>
      <c r="F95" s="13"/>
      <c r="G95" s="13"/>
      <c r="H95" s="14"/>
      <c r="I95" s="40">
        <f>H95*F$114</f>
        <v>0</v>
      </c>
      <c r="J95" s="14"/>
      <c r="K95" s="15">
        <f t="shared" si="8"/>
        <v>0</v>
      </c>
    </row>
    <row r="96" spans="1:11" ht="18" customHeight="1">
      <c r="A96" s="4" t="s">
        <v>126</v>
      </c>
      <c r="B96" s="932"/>
      <c r="C96" s="933"/>
      <c r="D96" s="934"/>
      <c r="F96" s="13"/>
      <c r="G96" s="13"/>
      <c r="H96" s="14"/>
      <c r="I96" s="40">
        <f>H96*F$114</f>
        <v>0</v>
      </c>
      <c r="J96" s="14"/>
      <c r="K96" s="15">
        <f t="shared" si="8"/>
        <v>0</v>
      </c>
    </row>
    <row r="97" spans="1:11" ht="18" customHeight="1">
      <c r="A97" s="4"/>
      <c r="B97" s="257"/>
    </row>
    <row r="98" spans="1:11" ht="18" customHeight="1">
      <c r="A98" s="5" t="s">
        <v>150</v>
      </c>
      <c r="B98" s="1" t="s">
        <v>151</v>
      </c>
      <c r="E98" s="1" t="s">
        <v>7</v>
      </c>
      <c r="F98" s="17">
        <f t="shared" ref="F98:K98" si="9">SUM(F86:F96)</f>
        <v>11456.593651332798</v>
      </c>
      <c r="G98" s="17">
        <f t="shared" si="9"/>
        <v>4009.4468668112813</v>
      </c>
      <c r="H98" s="17">
        <f t="shared" si="9"/>
        <v>832430.11298261886</v>
      </c>
      <c r="I98" s="17">
        <f t="shared" si="9"/>
        <v>581362.04297963937</v>
      </c>
      <c r="J98" s="17">
        <f t="shared" si="9"/>
        <v>5378.49</v>
      </c>
      <c r="K98" s="17">
        <f t="shared" si="9"/>
        <v>1408413.6659622581</v>
      </c>
    </row>
    <row r="99" spans="1:11" ht="18" customHeight="1" thickBot="1">
      <c r="B99" s="1"/>
      <c r="F99" s="23"/>
      <c r="G99" s="23"/>
      <c r="H99" s="23"/>
      <c r="I99" s="23"/>
      <c r="J99" s="23"/>
      <c r="K99" s="23"/>
    </row>
    <row r="100" spans="1:11" ht="42.75" customHeight="1">
      <c r="F100" s="8" t="s">
        <v>9</v>
      </c>
      <c r="G100" s="8" t="s">
        <v>37</v>
      </c>
      <c r="H100" s="8" t="s">
        <v>29</v>
      </c>
      <c r="I100" s="8" t="s">
        <v>30</v>
      </c>
      <c r="J100" s="8" t="s">
        <v>33</v>
      </c>
      <c r="K100" s="8" t="s">
        <v>34</v>
      </c>
    </row>
    <row r="101" spans="1:11" ht="18" customHeight="1">
      <c r="A101" s="5" t="s">
        <v>130</v>
      </c>
      <c r="B101" s="1" t="s">
        <v>63</v>
      </c>
    </row>
    <row r="102" spans="1:11" ht="18" customHeight="1">
      <c r="A102" s="4" t="s">
        <v>131</v>
      </c>
      <c r="B102" s="257" t="s">
        <v>152</v>
      </c>
      <c r="F102" s="13">
        <f>'[13]CB Master List - FY15&amp;FY14'!$G$273</f>
        <v>3435.2726138008647</v>
      </c>
      <c r="G102" s="13">
        <f>'[13]CB Master List - FY15&amp;FY14'!$H$273</f>
        <v>189.9972185408854</v>
      </c>
      <c r="H102" s="14">
        <f>'[13]CB Master List - FY15&amp;FY14'!$I$273</f>
        <v>156306.75975</v>
      </c>
      <c r="I102" s="40">
        <f>'[13]CB Master List - FY15&amp;FY14'!$J$273</f>
        <v>109163.29883141199</v>
      </c>
      <c r="J102" s="14">
        <f>'[13]CB Master List - FY15&amp;FY14'!$K$273</f>
        <v>4431.5692500000005</v>
      </c>
      <c r="K102" s="15">
        <f>(H102+I102)-J102</f>
        <v>261038.48933141195</v>
      </c>
    </row>
    <row r="103" spans="1:11" ht="18" customHeight="1">
      <c r="A103" s="4" t="s">
        <v>132</v>
      </c>
      <c r="B103" s="931" t="s">
        <v>62</v>
      </c>
      <c r="C103" s="931"/>
      <c r="F103" s="13">
        <f>'[13]CB Master List - FY15&amp;FY14'!$G$276</f>
        <v>15.249776751307907</v>
      </c>
      <c r="G103" s="13">
        <f>'[13]CB Master List - FY15&amp;FY14'!$H$276</f>
        <v>110.99837504230673</v>
      </c>
      <c r="H103" s="14">
        <f>'[13]CB Master List - FY15&amp;FY14'!$I$276</f>
        <v>0</v>
      </c>
      <c r="I103" s="40">
        <f>'[13]CB Master List - FY15&amp;FY14'!$J$276</f>
        <v>0</v>
      </c>
      <c r="J103" s="14">
        <f>'[13]CB Master List - FY15&amp;FY14'!$K$276</f>
        <v>0</v>
      </c>
      <c r="K103" s="15">
        <f>(H103+I103)-J103</f>
        <v>0</v>
      </c>
    </row>
    <row r="104" spans="1:11" ht="18" customHeight="1">
      <c r="A104" s="4" t="s">
        <v>128</v>
      </c>
      <c r="B104" s="932"/>
      <c r="C104" s="933"/>
      <c r="D104" s="934"/>
      <c r="F104" s="13">
        <f>'[13]CB Master List - FY15&amp;FY14'!$G$281</f>
        <v>1872</v>
      </c>
      <c r="G104" s="13">
        <f>'[13]CB Master List - FY15&amp;FY14'!$H$281</f>
        <v>0</v>
      </c>
      <c r="H104" s="14">
        <f>'[13]CB Master List - FY15&amp;FY14'!$I$281</f>
        <v>75519.153000000006</v>
      </c>
      <c r="I104" s="40">
        <f>'[13]CB Master List - FY15&amp;FY14'!$J$281</f>
        <v>52741.927985837632</v>
      </c>
      <c r="J104" s="14">
        <f>'[13]CB Master List - FY15&amp;FY14'!$K$281</f>
        <v>10248.889500000001</v>
      </c>
      <c r="K104" s="15">
        <f>(H104+I104)-J104</f>
        <v>118012.19148583764</v>
      </c>
    </row>
    <row r="105" spans="1:11" ht="18" customHeight="1">
      <c r="A105" s="4" t="s">
        <v>127</v>
      </c>
      <c r="B105" s="932"/>
      <c r="C105" s="933"/>
      <c r="D105" s="934"/>
      <c r="F105" s="13"/>
      <c r="G105" s="13"/>
      <c r="H105" s="14"/>
      <c r="I105" s="40">
        <f>H105*F$114</f>
        <v>0</v>
      </c>
      <c r="J105" s="14"/>
      <c r="K105" s="15">
        <f>(H105+I105)-J105</f>
        <v>0</v>
      </c>
    </row>
    <row r="106" spans="1:11" ht="18" customHeight="1">
      <c r="A106" s="4" t="s">
        <v>129</v>
      </c>
      <c r="B106" s="932"/>
      <c r="C106" s="933"/>
      <c r="D106" s="934"/>
      <c r="F106" s="13"/>
      <c r="G106" s="13"/>
      <c r="H106" s="14"/>
      <c r="I106" s="40">
        <f>H106*F$114</f>
        <v>0</v>
      </c>
      <c r="J106" s="14"/>
      <c r="K106" s="15">
        <f>(H106+I106)-J106</f>
        <v>0</v>
      </c>
    </row>
    <row r="107" spans="1:11" ht="18" customHeight="1">
      <c r="B107" s="1"/>
    </row>
    <row r="108" spans="1:11" s="9" customFormat="1" ht="18" customHeight="1">
      <c r="A108" s="5" t="s">
        <v>153</v>
      </c>
      <c r="B108" s="52" t="s">
        <v>154</v>
      </c>
      <c r="C108"/>
      <c r="D108"/>
      <c r="E108" s="1" t="s">
        <v>7</v>
      </c>
      <c r="F108" s="17">
        <f t="shared" ref="F108:K108" si="10">SUM(F102:F106)</f>
        <v>5322.5223905521725</v>
      </c>
      <c r="G108" s="17">
        <f t="shared" si="10"/>
        <v>300.99559358319215</v>
      </c>
      <c r="H108" s="15">
        <f t="shared" si="10"/>
        <v>231825.91275000002</v>
      </c>
      <c r="I108" s="15">
        <f t="shared" si="10"/>
        <v>161905.22681724961</v>
      </c>
      <c r="J108" s="15">
        <f t="shared" si="10"/>
        <v>14680.458750000002</v>
      </c>
      <c r="K108" s="15">
        <f t="shared" si="10"/>
        <v>379050.68081724958</v>
      </c>
    </row>
    <row r="109" spans="1:11" s="9" customFormat="1" ht="18" customHeight="1" thickBot="1">
      <c r="A109" s="10"/>
      <c r="B109" s="11"/>
      <c r="C109" s="12"/>
      <c r="D109" s="12"/>
      <c r="E109" s="12"/>
      <c r="F109" s="23"/>
      <c r="G109" s="23"/>
      <c r="H109" s="23"/>
      <c r="I109" s="23"/>
      <c r="J109" s="23"/>
      <c r="K109" s="23"/>
    </row>
    <row r="110" spans="1:11" s="9" customFormat="1" ht="18" customHeight="1">
      <c r="A110" s="5" t="s">
        <v>156</v>
      </c>
      <c r="B110" s="1" t="s">
        <v>39</v>
      </c>
      <c r="C110"/>
      <c r="D110"/>
      <c r="E110"/>
      <c r="F110"/>
      <c r="G110"/>
      <c r="H110"/>
      <c r="I110"/>
      <c r="J110"/>
      <c r="K110"/>
    </row>
    <row r="111" spans="1:11" ht="18" customHeight="1">
      <c r="A111" s="5" t="s">
        <v>155</v>
      </c>
      <c r="B111" s="1" t="s">
        <v>164</v>
      </c>
      <c r="E111" s="1" t="s">
        <v>7</v>
      </c>
      <c r="F111" s="14">
        <f>'[13]CB Master List - FY15&amp;FY14'!$L$293+'[13]CB Master List - FY15&amp;FY14'!$L$294</f>
        <v>10238460.698000001</v>
      </c>
    </row>
    <row r="112" spans="1:11" ht="18" customHeight="1">
      <c r="B112" s="1"/>
      <c r="E112" s="1"/>
      <c r="F112" s="21"/>
    </row>
    <row r="113" spans="1:6" ht="18" customHeight="1">
      <c r="A113" s="5"/>
      <c r="B113" s="1" t="s">
        <v>15</v>
      </c>
    </row>
    <row r="114" spans="1:6" ht="18" customHeight="1">
      <c r="A114" s="4" t="s">
        <v>171</v>
      </c>
      <c r="B114" s="257" t="s">
        <v>35</v>
      </c>
      <c r="F114" s="24">
        <f>'[13]CB Master List - FY15&amp;FY14'!$L$302</f>
        <v>0.69839141318014553</v>
      </c>
    </row>
    <row r="115" spans="1:6" ht="18" customHeight="1">
      <c r="A115" s="4"/>
      <c r="B115" s="1"/>
    </row>
    <row r="116" spans="1:6" ht="18" customHeight="1">
      <c r="A116" s="4" t="s">
        <v>170</v>
      </c>
      <c r="B116" s="1" t="s">
        <v>16</v>
      </c>
    </row>
    <row r="117" spans="1:6" ht="18" customHeight="1">
      <c r="A117" s="4" t="s">
        <v>172</v>
      </c>
      <c r="B117" s="257" t="s">
        <v>17</v>
      </c>
      <c r="F117" s="14">
        <f>[14]CONS_PL!$E$73+[14]CONS_PL!$F$73</f>
        <v>332155826</v>
      </c>
    </row>
    <row r="118" spans="1:6" ht="18" customHeight="1">
      <c r="A118" s="4" t="s">
        <v>173</v>
      </c>
      <c r="B118" t="s">
        <v>18</v>
      </c>
      <c r="F118" s="14">
        <f>[14]CONS_PL!$E$120+[14]CONS_PL!$F$120</f>
        <v>6244292</v>
      </c>
    </row>
    <row r="119" spans="1:6" ht="18" customHeight="1">
      <c r="A119" s="4" t="s">
        <v>174</v>
      </c>
      <c r="B119" s="1" t="s">
        <v>19</v>
      </c>
      <c r="F119" s="16">
        <f>SUM(F117:F118)</f>
        <v>338400118</v>
      </c>
    </row>
    <row r="120" spans="1:6" ht="18" customHeight="1">
      <c r="A120" s="4"/>
      <c r="B120" s="1"/>
    </row>
    <row r="121" spans="1:6" ht="18" customHeight="1">
      <c r="A121" s="4" t="s">
        <v>167</v>
      </c>
      <c r="B121" s="1" t="s">
        <v>36</v>
      </c>
      <c r="F121" s="14">
        <f>[14]CONS_PL!$E$467+[14]CONS_PL!$F$467</f>
        <v>317638545</v>
      </c>
    </row>
    <row r="122" spans="1:6" ht="18" customHeight="1">
      <c r="A122" s="4"/>
    </row>
    <row r="123" spans="1:6" ht="18" customHeight="1">
      <c r="A123" s="4" t="s">
        <v>175</v>
      </c>
      <c r="B123" s="1" t="s">
        <v>20</v>
      </c>
      <c r="F123" s="14">
        <f>[14]CONS_PL!$E$469+[14]CONS_PL!$F$469</f>
        <v>20761573</v>
      </c>
    </row>
    <row r="124" spans="1:6" ht="18" customHeight="1">
      <c r="A124" s="4"/>
    </row>
    <row r="125" spans="1:6" ht="18" customHeight="1">
      <c r="A125" s="4" t="s">
        <v>176</v>
      </c>
      <c r="B125" s="1" t="s">
        <v>21</v>
      </c>
      <c r="F125" s="14">
        <f>[14]CONS_PL!$E$484+[14]CONS_PL!$F$484</f>
        <v>1181987</v>
      </c>
    </row>
    <row r="126" spans="1:6" ht="18" customHeight="1">
      <c r="A126" s="4"/>
    </row>
    <row r="127" spans="1:6" ht="18" customHeight="1">
      <c r="A127" s="4" t="s">
        <v>177</v>
      </c>
      <c r="B127" s="1" t="s">
        <v>22</v>
      </c>
      <c r="F127" s="14">
        <f>[14]CONS_PL!$E$491+[14]CONS_PL!$F$491</f>
        <v>21943560</v>
      </c>
    </row>
    <row r="128" spans="1:6" ht="18" customHeight="1">
      <c r="A128" s="4"/>
    </row>
    <row r="129" spans="1:11" ht="42.75" customHeight="1">
      <c r="F129" s="8" t="s">
        <v>9</v>
      </c>
      <c r="G129" s="8" t="s">
        <v>37</v>
      </c>
      <c r="H129" s="8" t="s">
        <v>29</v>
      </c>
      <c r="I129" s="8" t="s">
        <v>30</v>
      </c>
      <c r="J129" s="8" t="s">
        <v>33</v>
      </c>
      <c r="K129" s="8" t="s">
        <v>34</v>
      </c>
    </row>
    <row r="130" spans="1:11" ht="18" customHeight="1">
      <c r="A130" s="5" t="s">
        <v>157</v>
      </c>
      <c r="B130" s="1" t="s">
        <v>23</v>
      </c>
    </row>
    <row r="131" spans="1:11" ht="18" customHeight="1">
      <c r="A131" s="4" t="s">
        <v>158</v>
      </c>
      <c r="B131" t="s">
        <v>24</v>
      </c>
      <c r="F131" s="13"/>
      <c r="G131" s="13"/>
      <c r="H131" s="14"/>
      <c r="I131" s="40">
        <v>0</v>
      </c>
      <c r="J131" s="14"/>
      <c r="K131" s="15">
        <f>(H131+I131)-J131</f>
        <v>0</v>
      </c>
    </row>
    <row r="132" spans="1:11" ht="18" customHeight="1">
      <c r="A132" s="4" t="s">
        <v>159</v>
      </c>
      <c r="B132" t="s">
        <v>25</v>
      </c>
      <c r="F132" s="13"/>
      <c r="G132" s="13"/>
      <c r="H132" s="14"/>
      <c r="I132" s="40">
        <v>0</v>
      </c>
      <c r="J132" s="14"/>
      <c r="K132" s="15">
        <f>(H132+I132)-J132</f>
        <v>0</v>
      </c>
    </row>
    <row r="133" spans="1:11" ht="18" customHeight="1">
      <c r="A133" s="4" t="s">
        <v>160</v>
      </c>
      <c r="B133" s="893"/>
      <c r="C133" s="894"/>
      <c r="D133" s="895"/>
      <c r="F133" s="13"/>
      <c r="G133" s="13"/>
      <c r="H133" s="14"/>
      <c r="I133" s="40">
        <v>0</v>
      </c>
      <c r="J133" s="14"/>
      <c r="K133" s="15">
        <f>(H133+I133)-J133</f>
        <v>0</v>
      </c>
    </row>
    <row r="134" spans="1:11" ht="18" customHeight="1">
      <c r="A134" s="4" t="s">
        <v>161</v>
      </c>
      <c r="B134" s="893"/>
      <c r="C134" s="894"/>
      <c r="D134" s="895"/>
      <c r="F134" s="13"/>
      <c r="G134" s="13"/>
      <c r="H134" s="14"/>
      <c r="I134" s="40">
        <v>0</v>
      </c>
      <c r="J134" s="14"/>
      <c r="K134" s="15">
        <f>(H134+I134)-J134</f>
        <v>0</v>
      </c>
    </row>
    <row r="135" spans="1:11" ht="18" customHeight="1">
      <c r="A135" s="4" t="s">
        <v>162</v>
      </c>
      <c r="B135" s="893"/>
      <c r="C135" s="894"/>
      <c r="D135" s="895"/>
      <c r="F135" s="13"/>
      <c r="G135" s="13"/>
      <c r="H135" s="14"/>
      <c r="I135" s="40">
        <v>0</v>
      </c>
      <c r="J135" s="14"/>
      <c r="K135" s="15">
        <f>(H135+I135)-J135</f>
        <v>0</v>
      </c>
    </row>
    <row r="136" spans="1:11" ht="18" customHeight="1">
      <c r="A136" s="5"/>
    </row>
    <row r="137" spans="1:11" ht="18" customHeight="1">
      <c r="A137" s="5" t="s">
        <v>163</v>
      </c>
      <c r="B137" s="1" t="s">
        <v>27</v>
      </c>
      <c r="F137" s="17">
        <f t="shared" ref="F137:K137" si="11">SUM(F131:F135)</f>
        <v>0</v>
      </c>
      <c r="G137" s="17">
        <f t="shared" si="11"/>
        <v>0</v>
      </c>
      <c r="H137" s="15">
        <f t="shared" si="11"/>
        <v>0</v>
      </c>
      <c r="I137" s="15">
        <f t="shared" si="11"/>
        <v>0</v>
      </c>
      <c r="J137" s="15">
        <f t="shared" si="11"/>
        <v>0</v>
      </c>
      <c r="K137" s="15">
        <f t="shared" si="11"/>
        <v>0</v>
      </c>
    </row>
    <row r="138" spans="1:11" ht="18" customHeight="1">
      <c r="A138"/>
    </row>
    <row r="139" spans="1:11" ht="42.75" customHeight="1">
      <c r="F139" s="8" t="s">
        <v>9</v>
      </c>
      <c r="G139" s="8" t="s">
        <v>37</v>
      </c>
      <c r="H139" s="8" t="s">
        <v>29</v>
      </c>
      <c r="I139" s="8" t="s">
        <v>30</v>
      </c>
      <c r="J139" s="8" t="s">
        <v>33</v>
      </c>
      <c r="K139" s="8" t="s">
        <v>34</v>
      </c>
    </row>
    <row r="140" spans="1:11" ht="18" customHeight="1">
      <c r="A140" s="5" t="s">
        <v>166</v>
      </c>
      <c r="B140" s="1" t="s">
        <v>26</v>
      </c>
    </row>
    <row r="141" spans="1:11" ht="18" customHeight="1">
      <c r="A141" s="4" t="s">
        <v>137</v>
      </c>
      <c r="B141" s="1" t="s">
        <v>64</v>
      </c>
      <c r="F141" s="32">
        <f t="shared" ref="F141:K141" si="12">F36</f>
        <v>29344.330969695915</v>
      </c>
      <c r="G141" s="32">
        <f t="shared" si="12"/>
        <v>34099.964089898902</v>
      </c>
      <c r="H141" s="32">
        <f t="shared" si="12"/>
        <v>2596438.9314849223</v>
      </c>
      <c r="I141" s="32">
        <f t="shared" si="12"/>
        <v>1782371.7803673795</v>
      </c>
      <c r="J141" s="32">
        <f t="shared" si="12"/>
        <v>85588.381250000006</v>
      </c>
      <c r="K141" s="32">
        <f t="shared" si="12"/>
        <v>4293222.3306023022</v>
      </c>
    </row>
    <row r="142" spans="1:11" ht="18" customHeight="1">
      <c r="A142" s="4" t="s">
        <v>142</v>
      </c>
      <c r="B142" s="1" t="s">
        <v>65</v>
      </c>
      <c r="F142" s="32">
        <f t="shared" ref="F142:K142" si="13">F49</f>
        <v>17147.369238758558</v>
      </c>
      <c r="G142" s="32">
        <f t="shared" si="13"/>
        <v>10409.644140150853</v>
      </c>
      <c r="H142" s="32">
        <f t="shared" si="13"/>
        <v>857876.43350000004</v>
      </c>
      <c r="I142" s="32">
        <f t="shared" si="13"/>
        <v>0</v>
      </c>
      <c r="J142" s="32">
        <f t="shared" si="13"/>
        <v>302.21949999999998</v>
      </c>
      <c r="K142" s="32">
        <f t="shared" si="13"/>
        <v>857574.21400000004</v>
      </c>
    </row>
    <row r="143" spans="1:11" ht="18" customHeight="1">
      <c r="A143" s="4" t="s">
        <v>144</v>
      </c>
      <c r="B143" s="1" t="s">
        <v>66</v>
      </c>
      <c r="F143" s="32">
        <f t="shared" ref="F143:K143" si="14">F64</f>
        <v>80686.165846868171</v>
      </c>
      <c r="G143" s="32">
        <f t="shared" si="14"/>
        <v>3703.9958058524408</v>
      </c>
      <c r="H143" s="32">
        <f t="shared" si="14"/>
        <v>11298804.738815378</v>
      </c>
      <c r="I143" s="32">
        <f t="shared" si="14"/>
        <v>0</v>
      </c>
      <c r="J143" s="32">
        <f t="shared" si="14"/>
        <v>0</v>
      </c>
      <c r="K143" s="32">
        <f t="shared" si="14"/>
        <v>11298804.738815378</v>
      </c>
    </row>
    <row r="144" spans="1:11" ht="18" customHeight="1">
      <c r="A144" s="4" t="s">
        <v>146</v>
      </c>
      <c r="B144" s="1" t="s">
        <v>67</v>
      </c>
      <c r="F144" s="32">
        <f t="shared" ref="F144:K144" si="15">F74</f>
        <v>7062.2978041112256</v>
      </c>
      <c r="G144" s="32">
        <f t="shared" si="15"/>
        <v>0</v>
      </c>
      <c r="H144" s="32">
        <f t="shared" si="15"/>
        <v>633174.32000000007</v>
      </c>
      <c r="I144" s="32">
        <f t="shared" si="15"/>
        <v>0</v>
      </c>
      <c r="J144" s="32">
        <f t="shared" si="15"/>
        <v>102434.68</v>
      </c>
      <c r="K144" s="32">
        <f t="shared" si="15"/>
        <v>530739.64</v>
      </c>
    </row>
    <row r="145" spans="1:11" ht="18" customHeight="1">
      <c r="A145" s="4" t="s">
        <v>148</v>
      </c>
      <c r="B145" s="1" t="s">
        <v>68</v>
      </c>
      <c r="F145" s="32">
        <f t="shared" ref="F145:K145" si="16">F82</f>
        <v>256.49624503019527</v>
      </c>
      <c r="G145" s="32">
        <f t="shared" si="16"/>
        <v>0</v>
      </c>
      <c r="H145" s="32">
        <f t="shared" si="16"/>
        <v>778977.5</v>
      </c>
      <c r="I145" s="32">
        <f t="shared" si="16"/>
        <v>0</v>
      </c>
      <c r="J145" s="32">
        <f t="shared" si="16"/>
        <v>0</v>
      </c>
      <c r="K145" s="32">
        <f t="shared" si="16"/>
        <v>778977.5</v>
      </c>
    </row>
    <row r="146" spans="1:11" ht="18" customHeight="1">
      <c r="A146" s="4" t="s">
        <v>150</v>
      </c>
      <c r="B146" s="1" t="s">
        <v>69</v>
      </c>
      <c r="F146" s="32">
        <f t="shared" ref="F146:K146" si="17">F98</f>
        <v>11456.593651332798</v>
      </c>
      <c r="G146" s="32">
        <f t="shared" si="17"/>
        <v>4009.4468668112813</v>
      </c>
      <c r="H146" s="32">
        <f t="shared" si="17"/>
        <v>832430.11298261886</v>
      </c>
      <c r="I146" s="32">
        <f t="shared" si="17"/>
        <v>581362.04297963937</v>
      </c>
      <c r="J146" s="32">
        <f t="shared" si="17"/>
        <v>5378.49</v>
      </c>
      <c r="K146" s="32">
        <f t="shared" si="17"/>
        <v>1408413.6659622581</v>
      </c>
    </row>
    <row r="147" spans="1:11" ht="18" customHeight="1">
      <c r="A147" s="4" t="s">
        <v>153</v>
      </c>
      <c r="B147" s="1" t="s">
        <v>61</v>
      </c>
      <c r="F147" s="17">
        <f t="shared" ref="F147:K147" si="18">F108</f>
        <v>5322.5223905521725</v>
      </c>
      <c r="G147" s="17">
        <f t="shared" si="18"/>
        <v>300.99559358319215</v>
      </c>
      <c r="H147" s="17">
        <f t="shared" si="18"/>
        <v>231825.91275000002</v>
      </c>
      <c r="I147" s="17">
        <f t="shared" si="18"/>
        <v>161905.22681724961</v>
      </c>
      <c r="J147" s="17">
        <f t="shared" si="18"/>
        <v>14680.458750000002</v>
      </c>
      <c r="K147" s="17">
        <f t="shared" si="18"/>
        <v>379050.68081724958</v>
      </c>
    </row>
    <row r="148" spans="1:11" ht="18" customHeight="1">
      <c r="A148" s="4" t="s">
        <v>155</v>
      </c>
      <c r="B148" s="1" t="s">
        <v>70</v>
      </c>
      <c r="F148" s="33" t="s">
        <v>73</v>
      </c>
      <c r="G148" s="33" t="s">
        <v>73</v>
      </c>
      <c r="H148" s="34" t="s">
        <v>73</v>
      </c>
      <c r="I148" s="34" t="s">
        <v>73</v>
      </c>
      <c r="J148" s="34" t="s">
        <v>73</v>
      </c>
      <c r="K148" s="28">
        <f>F111</f>
        <v>10238460.698000001</v>
      </c>
    </row>
    <row r="149" spans="1:11" ht="18" customHeight="1">
      <c r="A149" s="4" t="s">
        <v>163</v>
      </c>
      <c r="B149" s="1" t="s">
        <v>71</v>
      </c>
      <c r="F149" s="17">
        <f t="shared" ref="F149:K149" si="19">F137</f>
        <v>0</v>
      </c>
      <c r="G149" s="17">
        <f t="shared" si="19"/>
        <v>0</v>
      </c>
      <c r="H149" s="17">
        <f t="shared" si="19"/>
        <v>0</v>
      </c>
      <c r="I149" s="17">
        <f t="shared" si="19"/>
        <v>0</v>
      </c>
      <c r="J149" s="17">
        <f t="shared" si="19"/>
        <v>0</v>
      </c>
      <c r="K149" s="17">
        <f t="shared" si="19"/>
        <v>0</v>
      </c>
    </row>
    <row r="150" spans="1:11" ht="18" customHeight="1">
      <c r="A150" s="4" t="s">
        <v>185</v>
      </c>
      <c r="B150" s="1" t="s">
        <v>186</v>
      </c>
      <c r="F150" s="33" t="s">
        <v>73</v>
      </c>
      <c r="G150" s="33" t="s">
        <v>73</v>
      </c>
      <c r="H150" s="17">
        <f>H18</f>
        <v>9481908</v>
      </c>
      <c r="I150" s="17">
        <f>I18</f>
        <v>0</v>
      </c>
      <c r="J150" s="17">
        <f>J18</f>
        <v>8108217</v>
      </c>
      <c r="K150" s="17">
        <f>K18</f>
        <v>1373691</v>
      </c>
    </row>
    <row r="151" spans="1:11" ht="18" customHeight="1">
      <c r="B151" s="1"/>
      <c r="F151" s="38"/>
      <c r="G151" s="38"/>
      <c r="H151" s="38"/>
      <c r="I151" s="38"/>
      <c r="J151" s="38"/>
      <c r="K151" s="38"/>
    </row>
    <row r="152" spans="1:11" ht="18" customHeight="1">
      <c r="A152" s="5" t="s">
        <v>165</v>
      </c>
      <c r="B152" s="1" t="s">
        <v>26</v>
      </c>
      <c r="F152" s="39">
        <f t="shared" ref="F152:K152" si="20">SUM(F141:F150)</f>
        <v>151275.77614634906</v>
      </c>
      <c r="G152" s="39">
        <f t="shared" si="20"/>
        <v>52524.046496296665</v>
      </c>
      <c r="H152" s="39">
        <f t="shared" si="20"/>
        <v>26711435.949532919</v>
      </c>
      <c r="I152" s="39">
        <f t="shared" si="20"/>
        <v>2525639.0501642688</v>
      </c>
      <c r="J152" s="39">
        <f t="shared" si="20"/>
        <v>8316601.2295000004</v>
      </c>
      <c r="K152" s="39">
        <f t="shared" si="20"/>
        <v>31158934.468197189</v>
      </c>
    </row>
    <row r="154" spans="1:11" ht="18" customHeight="1">
      <c r="A154" s="5" t="s">
        <v>168</v>
      </c>
      <c r="B154" s="1" t="s">
        <v>28</v>
      </c>
      <c r="F154" s="53">
        <f>K152/F121</f>
        <v>9.8095571078117075E-2</v>
      </c>
    </row>
    <row r="155" spans="1:11" ht="18" customHeight="1">
      <c r="A155" s="5" t="s">
        <v>169</v>
      </c>
      <c r="B155" s="1" t="s">
        <v>72</v>
      </c>
      <c r="F155" s="53">
        <f>K152/F127</f>
        <v>1.4199580409102803</v>
      </c>
      <c r="G155" s="1"/>
    </row>
    <row r="156" spans="1:11" ht="18" customHeight="1">
      <c r="G156" s="1"/>
    </row>
  </sheetData>
  <sheetProtection password="EF72" sheet="1" objects="1" scenarios="1"/>
  <mergeCells count="34">
    <mergeCell ref="D2:H2"/>
    <mergeCell ref="B45:D45"/>
    <mergeCell ref="B46:D46"/>
    <mergeCell ref="B47:D47"/>
    <mergeCell ref="B34:D34"/>
    <mergeCell ref="C11:G11"/>
    <mergeCell ref="B41:C41"/>
    <mergeCell ref="B44:D44"/>
    <mergeCell ref="B13:H13"/>
    <mergeCell ref="C5:G5"/>
    <mergeCell ref="C6:G6"/>
    <mergeCell ref="C7:G7"/>
    <mergeCell ref="C9:G9"/>
    <mergeCell ref="C10:G10"/>
    <mergeCell ref="B30:D30"/>
    <mergeCell ref="B31:D31"/>
    <mergeCell ref="B52:C52"/>
    <mergeCell ref="B90:C90"/>
    <mergeCell ref="B53:D53"/>
    <mergeCell ref="B55:D55"/>
    <mergeCell ref="B56:D56"/>
    <mergeCell ref="B62:D62"/>
    <mergeCell ref="B59:D59"/>
    <mergeCell ref="B103:C103"/>
    <mergeCell ref="B96:D96"/>
    <mergeCell ref="B95:D95"/>
    <mergeCell ref="B57:D57"/>
    <mergeCell ref="B94:D94"/>
    <mergeCell ref="B134:D134"/>
    <mergeCell ref="B135:D135"/>
    <mergeCell ref="B133:D133"/>
    <mergeCell ref="B104:D104"/>
    <mergeCell ref="B105:D105"/>
    <mergeCell ref="B106:D106"/>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dimension ref="A1:K156"/>
  <sheetViews>
    <sheetView showGridLines="0" zoomScale="80" zoomScaleNormal="80" zoomScaleSheetLayoutView="70" workbookViewId="0">
      <selection activeCell="F111" sqref="F111"/>
    </sheetView>
  </sheetViews>
  <sheetFormatPr defaultRowHeight="18" customHeight="1"/>
  <cols>
    <col min="1" max="1" width="8.28515625" style="7" customWidth="1"/>
    <col min="2" max="2" width="55.42578125" bestFit="1" customWidth="1"/>
    <col min="3" max="3" width="9.5703125" customWidth="1"/>
    <col min="5" max="5" width="12.42578125" customWidth="1"/>
    <col min="6" max="6" width="18.5703125" customWidth="1"/>
    <col min="7" max="7" width="23.5703125" customWidth="1"/>
    <col min="8" max="8" width="17.140625" customWidth="1"/>
    <col min="9" max="9" width="21.140625" customWidth="1"/>
    <col min="10" max="10" width="19.85546875" customWidth="1"/>
    <col min="11" max="11" width="17.5703125" customWidth="1"/>
  </cols>
  <sheetData>
    <row r="1" spans="1:11" ht="18" customHeight="1">
      <c r="C1" s="3"/>
      <c r="D1" s="2"/>
      <c r="E1" s="3"/>
      <c r="F1" s="3"/>
      <c r="G1" s="3"/>
      <c r="H1" s="3"/>
      <c r="I1" s="3"/>
      <c r="J1" s="3"/>
      <c r="K1" s="3"/>
    </row>
    <row r="2" spans="1:11" ht="18" customHeight="1">
      <c r="D2" s="940" t="s">
        <v>713</v>
      </c>
      <c r="E2" s="941"/>
      <c r="F2" s="941"/>
      <c r="G2" s="941"/>
      <c r="H2" s="941"/>
    </row>
    <row r="3" spans="1:11" ht="18" customHeight="1">
      <c r="B3" s="1" t="s">
        <v>0</v>
      </c>
    </row>
    <row r="5" spans="1:11" ht="18" customHeight="1">
      <c r="B5" s="4" t="s">
        <v>40</v>
      </c>
      <c r="C5" s="917" t="s">
        <v>907</v>
      </c>
      <c r="D5" s="918"/>
      <c r="E5" s="918"/>
      <c r="F5" s="918"/>
      <c r="G5" s="919"/>
    </row>
    <row r="6" spans="1:11" ht="18" customHeight="1">
      <c r="B6" s="4" t="s">
        <v>3</v>
      </c>
      <c r="C6" s="976">
        <v>3029</v>
      </c>
      <c r="D6" s="946"/>
      <c r="E6" s="946"/>
      <c r="F6" s="946"/>
      <c r="G6" s="947"/>
    </row>
    <row r="7" spans="1:11" ht="18" customHeight="1">
      <c r="B7" s="4" t="s">
        <v>4</v>
      </c>
      <c r="C7" s="948">
        <v>485</v>
      </c>
      <c r="D7" s="949"/>
      <c r="E7" s="949"/>
      <c r="F7" s="949"/>
      <c r="G7" s="950"/>
    </row>
    <row r="9" spans="1:11" ht="18" customHeight="1">
      <c r="B9" s="4" t="s">
        <v>1</v>
      </c>
      <c r="C9" s="917" t="s">
        <v>188</v>
      </c>
      <c r="D9" s="918"/>
      <c r="E9" s="918"/>
      <c r="F9" s="918"/>
      <c r="G9" s="919"/>
    </row>
    <row r="10" spans="1:11" ht="18" customHeight="1">
      <c r="B10" s="4" t="s">
        <v>2</v>
      </c>
      <c r="C10" s="980" t="s">
        <v>189</v>
      </c>
      <c r="D10" s="927"/>
      <c r="E10" s="927"/>
      <c r="F10" s="927"/>
      <c r="G10" s="928"/>
    </row>
    <row r="11" spans="1:11" ht="18" customHeight="1">
      <c r="B11" s="4" t="s">
        <v>32</v>
      </c>
      <c r="C11" s="980" t="s">
        <v>190</v>
      </c>
      <c r="D11" s="927"/>
      <c r="E11" s="927"/>
      <c r="F11" s="927"/>
      <c r="G11" s="928"/>
    </row>
    <row r="12" spans="1:11" ht="18" customHeight="1">
      <c r="B12" s="4"/>
      <c r="C12" s="4"/>
      <c r="D12" s="4"/>
      <c r="E12" s="4"/>
      <c r="F12" s="4"/>
      <c r="G12" s="4"/>
    </row>
    <row r="13" spans="1:11" ht="24.6" customHeight="1">
      <c r="B13" s="955"/>
      <c r="C13" s="956"/>
      <c r="D13" s="956"/>
      <c r="E13" s="956"/>
      <c r="F13" s="956"/>
      <c r="G13" s="956"/>
      <c r="H13" s="957"/>
      <c r="I13" s="3"/>
    </row>
    <row r="14" spans="1:11" ht="18" customHeight="1">
      <c r="B14" s="6"/>
    </row>
    <row r="15" spans="1:11" ht="18" customHeight="1">
      <c r="B15" s="6"/>
    </row>
    <row r="16" spans="1:11" ht="45" customHeight="1">
      <c r="A16" s="2" t="s">
        <v>181</v>
      </c>
      <c r="B16" s="3"/>
      <c r="C16" s="3"/>
      <c r="D16" s="3"/>
      <c r="E16" s="3"/>
      <c r="F16" s="8" t="s">
        <v>9</v>
      </c>
      <c r="G16" s="8" t="s">
        <v>37</v>
      </c>
      <c r="H16" s="8" t="s">
        <v>29</v>
      </c>
      <c r="I16" s="8" t="s">
        <v>30</v>
      </c>
      <c r="J16" s="8" t="s">
        <v>33</v>
      </c>
      <c r="K16" s="8" t="s">
        <v>34</v>
      </c>
    </row>
    <row r="17" spans="1:11" ht="18" customHeight="1">
      <c r="A17" s="5" t="s">
        <v>184</v>
      </c>
      <c r="B17" s="1" t="s">
        <v>182</v>
      </c>
    </row>
    <row r="18" spans="1:11" ht="18" customHeight="1">
      <c r="A18" s="4" t="s">
        <v>185</v>
      </c>
      <c r="B18" s="257" t="s">
        <v>183</v>
      </c>
      <c r="F18" s="13" t="s">
        <v>73</v>
      </c>
      <c r="G18" s="13" t="s">
        <v>73</v>
      </c>
      <c r="H18" s="14"/>
      <c r="I18" s="40">
        <v>0</v>
      </c>
      <c r="J18" s="14"/>
      <c r="K18" s="15">
        <f>(H18+I18)-J18</f>
        <v>0</v>
      </c>
    </row>
    <row r="19" spans="1:11" ht="45" customHeight="1">
      <c r="A19" s="2" t="s">
        <v>8</v>
      </c>
      <c r="B19" s="3"/>
      <c r="C19" s="3"/>
      <c r="D19" s="3"/>
      <c r="E19" s="3"/>
      <c r="F19" s="8" t="s">
        <v>9</v>
      </c>
      <c r="G19" s="8" t="s">
        <v>37</v>
      </c>
      <c r="H19" s="8" t="s">
        <v>29</v>
      </c>
      <c r="I19" s="8" t="s">
        <v>30</v>
      </c>
      <c r="J19" s="8" t="s">
        <v>33</v>
      </c>
      <c r="K19" s="8" t="s">
        <v>34</v>
      </c>
    </row>
    <row r="20" spans="1:11" ht="18" customHeight="1">
      <c r="A20" s="5" t="s">
        <v>74</v>
      </c>
      <c r="B20" s="1" t="s">
        <v>41</v>
      </c>
    </row>
    <row r="21" spans="1:11" ht="18" customHeight="1">
      <c r="A21" s="4" t="s">
        <v>75</v>
      </c>
      <c r="B21" s="257" t="s">
        <v>42</v>
      </c>
      <c r="F21" s="13">
        <f>'[13]CB Master List - FY15&amp;FY14'!$DH$34</f>
        <v>18553.42040283672</v>
      </c>
      <c r="G21" s="13">
        <f>'[13]CB Master List - FY15&amp;FY14'!$DI$34</f>
        <v>743.68778704559304</v>
      </c>
      <c r="H21" s="14">
        <f>'[13]CB Master List - FY15&amp;FY14'!$DJ$34</f>
        <v>277029.42733513529</v>
      </c>
      <c r="I21" s="40">
        <f>'[13]CB Master List - FY15&amp;FY14'!$DK$34</f>
        <v>262087.43481569435</v>
      </c>
      <c r="J21" s="14">
        <f>'[13]CB Master List - FY15&amp;FY14'!$DL$34</f>
        <v>71139.017343750005</v>
      </c>
      <c r="K21" s="15">
        <f t="shared" ref="K21:K34" si="0">(H21+I21)-J21</f>
        <v>467977.84480707964</v>
      </c>
    </row>
    <row r="22" spans="1:11" ht="18" customHeight="1">
      <c r="A22" s="4" t="s">
        <v>76</v>
      </c>
      <c r="B22" t="s">
        <v>6</v>
      </c>
      <c r="F22" s="13">
        <f>'[13]CB Master List - FY15&amp;FY14'!$DH$47</f>
        <v>233.08611250000001</v>
      </c>
      <c r="G22" s="13">
        <f>'[13]CB Master List - FY15&amp;FY14'!$DI$47</f>
        <v>96</v>
      </c>
      <c r="H22" s="14">
        <f>'[13]CB Master List - FY15&amp;FY14'!$DJ$47</f>
        <v>11432.908838750001</v>
      </c>
      <c r="I22" s="40">
        <f>'[13]CB Master List - FY15&amp;FY14'!$DK$47</f>
        <v>10816.257965276578</v>
      </c>
      <c r="J22" s="14">
        <f>'[13]CB Master List - FY15&amp;FY14'!$DL$47</f>
        <v>167.75693749999999</v>
      </c>
      <c r="K22" s="15">
        <f t="shared" si="0"/>
        <v>22081.409866526581</v>
      </c>
    </row>
    <row r="23" spans="1:11" ht="18" customHeight="1">
      <c r="A23" s="4" t="s">
        <v>77</v>
      </c>
      <c r="B23" t="s">
        <v>43</v>
      </c>
      <c r="F23" s="13">
        <f>'[13]CB Master List - FY15&amp;FY14'!$DH$50</f>
        <v>118.37474999999999</v>
      </c>
      <c r="G23" s="13">
        <f>'[13]CB Master List - FY15&amp;FY14'!$DI$50</f>
        <v>0</v>
      </c>
      <c r="H23" s="14">
        <f>'[13]CB Master List - FY15&amp;FY14'!$DJ$50</f>
        <v>1689.7171342499998</v>
      </c>
      <c r="I23" s="40">
        <f>'[13]CB Master List - FY15&amp;FY14'!$DK$50</f>
        <v>1598.5797376824094</v>
      </c>
      <c r="J23" s="14">
        <f>'[13]CB Master List - FY15&amp;FY14'!$DL$50</f>
        <v>0</v>
      </c>
      <c r="K23" s="15">
        <f t="shared" si="0"/>
        <v>3288.296871932409</v>
      </c>
    </row>
    <row r="24" spans="1:11" ht="18" customHeight="1">
      <c r="A24" s="4" t="s">
        <v>78</v>
      </c>
      <c r="B24" t="s">
        <v>44</v>
      </c>
      <c r="F24" s="13">
        <f>'[13]CB Master List - FY15&amp;FY14'!$DH$56</f>
        <v>51.827473140634503</v>
      </c>
      <c r="G24" s="13">
        <f>'[13]CB Master List - FY15&amp;FY14'!$DI$56</f>
        <v>4.9801245975927646</v>
      </c>
      <c r="H24" s="14">
        <f>'[13]CB Master List - FY15&amp;FY14'!$DJ$56</f>
        <v>2109.2292413334062</v>
      </c>
      <c r="I24" s="40">
        <f>'[13]CB Master List - FY15&amp;FY14'!$DK$56</f>
        <v>1995.4648378584518</v>
      </c>
      <c r="J24" s="14">
        <f>'[13]CB Master List - FY15&amp;FY14'!$DL$56</f>
        <v>0</v>
      </c>
      <c r="K24" s="15">
        <f t="shared" si="0"/>
        <v>4104.6940791918578</v>
      </c>
    </row>
    <row r="25" spans="1:11" ht="18" customHeight="1">
      <c r="A25" s="4" t="s">
        <v>79</v>
      </c>
      <c r="B25" t="s">
        <v>5</v>
      </c>
      <c r="F25" s="13">
        <f>'[13]CB Master List - FY15&amp;FY14'!$DH$67</f>
        <v>605.98690250000004</v>
      </c>
      <c r="G25" s="13">
        <f>'[13]CB Master List - FY15&amp;FY14'!$DI$67</f>
        <v>0</v>
      </c>
      <c r="H25" s="14">
        <f>'[13]CB Master List - FY15&amp;FY14'!$DJ$67</f>
        <v>25756.789732749996</v>
      </c>
      <c r="I25" s="40">
        <f>'[13]CB Master List - FY15&amp;FY14'!$DK$67</f>
        <v>24367.559125685344</v>
      </c>
      <c r="J25" s="14">
        <f>'[13]CB Master List - FY15&amp;FY14'!$DL$67</f>
        <v>2263.7424125000002</v>
      </c>
      <c r="K25" s="15">
        <f t="shared" si="0"/>
        <v>47860.606445935337</v>
      </c>
    </row>
    <row r="26" spans="1:11" ht="18" customHeight="1">
      <c r="A26" s="4" t="s">
        <v>80</v>
      </c>
      <c r="B26" t="s">
        <v>45</v>
      </c>
      <c r="F26" s="13"/>
      <c r="G26" s="13"/>
      <c r="H26" s="14"/>
      <c r="I26" s="40">
        <f>H26*F$114</f>
        <v>0</v>
      </c>
      <c r="J26" s="14"/>
      <c r="K26" s="15">
        <f t="shared" si="0"/>
        <v>0</v>
      </c>
    </row>
    <row r="27" spans="1:11" ht="18" customHeight="1">
      <c r="A27" s="4" t="s">
        <v>81</v>
      </c>
      <c r="B27" t="s">
        <v>46</v>
      </c>
      <c r="F27" s="13"/>
      <c r="G27" s="13"/>
      <c r="H27" s="14"/>
      <c r="I27" s="40">
        <f>H27*F$114</f>
        <v>0</v>
      </c>
      <c r="J27" s="14"/>
      <c r="K27" s="15">
        <f t="shared" si="0"/>
        <v>0</v>
      </c>
    </row>
    <row r="28" spans="1:11" ht="18" customHeight="1">
      <c r="A28" s="4" t="s">
        <v>82</v>
      </c>
      <c r="B28" t="s">
        <v>47</v>
      </c>
      <c r="F28" s="13"/>
      <c r="G28" s="13"/>
      <c r="H28" s="14"/>
      <c r="I28" s="40">
        <f>H28*F$114</f>
        <v>0</v>
      </c>
      <c r="J28" s="14"/>
      <c r="K28" s="15">
        <f t="shared" si="0"/>
        <v>0</v>
      </c>
    </row>
    <row r="29" spans="1:11" ht="18" customHeight="1">
      <c r="A29" s="4" t="s">
        <v>83</v>
      </c>
      <c r="B29" t="s">
        <v>48</v>
      </c>
      <c r="F29" s="13">
        <f>'[13]CB Master List - FY15&amp;FY14'!$DH$89</f>
        <v>28.098303996935485</v>
      </c>
      <c r="G29" s="13">
        <f>'[13]CB Master List - FY15&amp;FY14'!$DI$89</f>
        <v>31.10136635947638</v>
      </c>
      <c r="H29" s="14">
        <f>'[13]CB Master List - FY15&amp;FY14'!$DJ$89</f>
        <v>14567.4784095</v>
      </c>
      <c r="I29" s="40">
        <f>'[13]CB Master List - FY15&amp;FY14'!$DK$89</f>
        <v>10304.200679667647</v>
      </c>
      <c r="J29" s="14">
        <f>'[13]CB Master List - FY15&amp;FY14'!$DL$89</f>
        <v>69.511499999999998</v>
      </c>
      <c r="K29" s="15">
        <f t="shared" si="0"/>
        <v>24802.167589167646</v>
      </c>
    </row>
    <row r="30" spans="1:11" ht="18" customHeight="1">
      <c r="A30" s="4" t="s">
        <v>84</v>
      </c>
      <c r="B30" s="893" t="s">
        <v>197</v>
      </c>
      <c r="C30" s="894"/>
      <c r="D30" s="895"/>
      <c r="F30" s="13">
        <f>'[13]CB Master List - FY15&amp;FY14'!$DH$98</f>
        <v>55.879265038271676</v>
      </c>
      <c r="G30" s="13">
        <f>'[13]CB Master List - FY15&amp;FY14'!$DI$98</f>
        <v>9.764950191358361</v>
      </c>
      <c r="H30" s="14">
        <f>'[13]CB Master List - FY15&amp;FY14'!$DJ$98</f>
        <v>2838.936423294761</v>
      </c>
      <c r="I30" s="40">
        <f>'[13]CB Master List - FY15&amp;FY14'!$DK$98</f>
        <v>2685.8141820654128</v>
      </c>
      <c r="J30" s="14">
        <f>'[13]CB Master List - FY15&amp;FY14'!$DL$98</f>
        <v>215.86802500000002</v>
      </c>
      <c r="K30" s="15">
        <f t="shared" si="0"/>
        <v>5308.882580360174</v>
      </c>
    </row>
    <row r="31" spans="1:11" ht="18" customHeight="1">
      <c r="A31" s="4" t="s">
        <v>133</v>
      </c>
      <c r="B31" s="893"/>
      <c r="C31" s="894"/>
      <c r="D31" s="895"/>
      <c r="F31" s="13"/>
      <c r="G31" s="13"/>
      <c r="H31" s="14"/>
      <c r="I31" s="40">
        <f>H31*F$114</f>
        <v>0</v>
      </c>
      <c r="J31" s="14"/>
      <c r="K31" s="15">
        <f t="shared" si="0"/>
        <v>0</v>
      </c>
    </row>
    <row r="32" spans="1:11" ht="18" customHeight="1">
      <c r="A32" s="4" t="s">
        <v>134</v>
      </c>
      <c r="B32" s="721"/>
      <c r="C32" s="722"/>
      <c r="D32" s="723"/>
      <c r="F32" s="13"/>
      <c r="G32" s="258" t="s">
        <v>85</v>
      </c>
      <c r="H32" s="14"/>
      <c r="I32" s="40">
        <f>H32*F$114</f>
        <v>0</v>
      </c>
      <c r="J32" s="14"/>
      <c r="K32" s="15">
        <f t="shared" si="0"/>
        <v>0</v>
      </c>
    </row>
    <row r="33" spans="1:11" ht="18" customHeight="1">
      <c r="A33" s="4" t="s">
        <v>135</v>
      </c>
      <c r="B33" s="721"/>
      <c r="C33" s="722"/>
      <c r="D33" s="723"/>
      <c r="F33" s="13"/>
      <c r="G33" s="258" t="s">
        <v>85</v>
      </c>
      <c r="H33" s="14"/>
      <c r="I33" s="40">
        <f>H33*F$114</f>
        <v>0</v>
      </c>
      <c r="J33" s="14"/>
      <c r="K33" s="15">
        <f t="shared" si="0"/>
        <v>0</v>
      </c>
    </row>
    <row r="34" spans="1:11" ht="18" customHeight="1">
      <c r="A34" s="4" t="s">
        <v>136</v>
      </c>
      <c r="B34" s="893"/>
      <c r="C34" s="894"/>
      <c r="D34" s="895"/>
      <c r="F34" s="13"/>
      <c r="G34" s="258" t="s">
        <v>85</v>
      </c>
      <c r="H34" s="14"/>
      <c r="I34" s="40">
        <f>H34*F$114</f>
        <v>0</v>
      </c>
      <c r="J34" s="14"/>
      <c r="K34" s="15">
        <f t="shared" si="0"/>
        <v>0</v>
      </c>
    </row>
    <row r="35" spans="1:11" ht="18" customHeight="1">
      <c r="K35" s="35"/>
    </row>
    <row r="36" spans="1:11" ht="18" customHeight="1">
      <c r="A36" s="5" t="s">
        <v>137</v>
      </c>
      <c r="B36" s="1" t="s">
        <v>138</v>
      </c>
      <c r="E36" s="1" t="s">
        <v>7</v>
      </c>
      <c r="F36" s="17">
        <f t="shared" ref="F36:K36" si="1">SUM(F21:F34)</f>
        <v>19646.673210012563</v>
      </c>
      <c r="G36" s="17">
        <f t="shared" si="1"/>
        <v>885.53422819402056</v>
      </c>
      <c r="H36" s="17">
        <f t="shared" si="1"/>
        <v>335424.48711501335</v>
      </c>
      <c r="I36" s="15">
        <f t="shared" si="1"/>
        <v>313855.31134393025</v>
      </c>
      <c r="J36" s="15">
        <f t="shared" si="1"/>
        <v>73855.89621875</v>
      </c>
      <c r="K36" s="15">
        <f t="shared" si="1"/>
        <v>575423.90224019357</v>
      </c>
    </row>
    <row r="37" spans="1:11" ht="18" customHeight="1" thickBot="1">
      <c r="B37" s="1"/>
      <c r="F37" s="18"/>
      <c r="G37" s="18"/>
      <c r="H37" s="19"/>
      <c r="I37" s="19"/>
      <c r="J37" s="19"/>
      <c r="K37" s="36"/>
    </row>
    <row r="38" spans="1:11" ht="42.75" customHeight="1">
      <c r="F38" s="8" t="s">
        <v>9</v>
      </c>
      <c r="G38" s="8" t="s">
        <v>37</v>
      </c>
      <c r="H38" s="8" t="s">
        <v>29</v>
      </c>
      <c r="I38" s="8" t="s">
        <v>30</v>
      </c>
      <c r="J38" s="8" t="s">
        <v>33</v>
      </c>
      <c r="K38" s="8" t="s">
        <v>34</v>
      </c>
    </row>
    <row r="39" spans="1:11" ht="18.75" customHeight="1">
      <c r="A39" s="5" t="s">
        <v>86</v>
      </c>
      <c r="B39" s="1" t="s">
        <v>49</v>
      </c>
    </row>
    <row r="40" spans="1:11" ht="18" customHeight="1">
      <c r="A40" s="4" t="s">
        <v>87</v>
      </c>
      <c r="B40" t="s">
        <v>31</v>
      </c>
      <c r="F40" s="13"/>
      <c r="G40" s="13"/>
      <c r="H40" s="14"/>
      <c r="I40" s="40">
        <v>0</v>
      </c>
      <c r="J40" s="14"/>
      <c r="K40" s="15">
        <f t="shared" ref="K40:K47" si="2">(H40+I40)-J40</f>
        <v>0</v>
      </c>
    </row>
    <row r="41" spans="1:11" ht="18" customHeight="1">
      <c r="A41" s="4" t="s">
        <v>88</v>
      </c>
      <c r="B41" s="931" t="s">
        <v>50</v>
      </c>
      <c r="C41" s="939"/>
      <c r="F41" s="13">
        <f>'[13]CB Master List - FY15&amp;FY14'!$DH$117</f>
        <v>0.14647425287037541</v>
      </c>
      <c r="G41" s="13">
        <f>'[13]CB Master List - FY15&amp;FY14'!$DI$117</f>
        <v>0.58589701148150164</v>
      </c>
      <c r="H41" s="14"/>
      <c r="I41" s="40">
        <v>0</v>
      </c>
      <c r="J41" s="14"/>
      <c r="K41" s="15">
        <f t="shared" si="2"/>
        <v>0</v>
      </c>
    </row>
    <row r="42" spans="1:11" ht="18" customHeight="1">
      <c r="A42" s="4" t="s">
        <v>89</v>
      </c>
      <c r="B42" s="257" t="s">
        <v>11</v>
      </c>
      <c r="F42" s="13">
        <f>'[13]CB Master List - FY15&amp;FY14'!$DH$130</f>
        <v>6340.1079240995059</v>
      </c>
      <c r="G42" s="13">
        <f>'[13]CB Master List - FY15&amp;FY14'!$DI$130</f>
        <v>794.19871264351877</v>
      </c>
      <c r="H42" s="14">
        <f>'[13]CB Master List - FY15&amp;FY14'!$DJ$130</f>
        <v>267563.26272249996</v>
      </c>
      <c r="I42" s="40">
        <f>'[13]CB Master List - FY15&amp;FY14'!$DK$130</f>
        <v>0</v>
      </c>
      <c r="J42" s="14">
        <f>'[13]CB Master List - FY15&amp;FY14'!$DL$130</f>
        <v>28.710852499999998</v>
      </c>
      <c r="K42" s="15">
        <f t="shared" si="2"/>
        <v>267534.55186999997</v>
      </c>
    </row>
    <row r="43" spans="1:11" ht="18" customHeight="1">
      <c r="A43" s="4" t="s">
        <v>90</v>
      </c>
      <c r="B43" s="259" t="s">
        <v>10</v>
      </c>
      <c r="C43" s="9"/>
      <c r="D43" s="9"/>
      <c r="F43" s="13"/>
      <c r="G43" s="13"/>
      <c r="H43" s="14"/>
      <c r="I43" s="40">
        <v>0</v>
      </c>
      <c r="J43" s="14"/>
      <c r="K43" s="15">
        <f t="shared" si="2"/>
        <v>0</v>
      </c>
    </row>
    <row r="44" spans="1:11" ht="18" customHeight="1">
      <c r="A44" s="4" t="s">
        <v>91</v>
      </c>
      <c r="B44" s="893"/>
      <c r="C44" s="894"/>
      <c r="D44" s="895"/>
      <c r="F44" s="43"/>
      <c r="G44" s="43"/>
      <c r="H44" s="43"/>
      <c r="I44" s="44">
        <v>0</v>
      </c>
      <c r="J44" s="43"/>
      <c r="K44" s="45">
        <f t="shared" si="2"/>
        <v>0</v>
      </c>
    </row>
    <row r="45" spans="1:11" ht="18" customHeight="1">
      <c r="A45" s="4" t="s">
        <v>139</v>
      </c>
      <c r="B45" s="893"/>
      <c r="C45" s="894"/>
      <c r="D45" s="895"/>
      <c r="F45" s="13"/>
      <c r="G45" s="13"/>
      <c r="H45" s="14"/>
      <c r="I45" s="40">
        <v>0</v>
      </c>
      <c r="J45" s="14"/>
      <c r="K45" s="15">
        <f t="shared" si="2"/>
        <v>0</v>
      </c>
    </row>
    <row r="46" spans="1:11" ht="18" customHeight="1">
      <c r="A46" s="4" t="s">
        <v>140</v>
      </c>
      <c r="B46" s="893"/>
      <c r="C46" s="894"/>
      <c r="D46" s="895"/>
      <c r="F46" s="13"/>
      <c r="G46" s="13"/>
      <c r="H46" s="14"/>
      <c r="I46" s="40">
        <v>0</v>
      </c>
      <c r="J46" s="14"/>
      <c r="K46" s="15">
        <f t="shared" si="2"/>
        <v>0</v>
      </c>
    </row>
    <row r="47" spans="1:11" ht="18" customHeight="1">
      <c r="A47" s="4" t="s">
        <v>141</v>
      </c>
      <c r="B47" s="893"/>
      <c r="C47" s="894"/>
      <c r="D47" s="895"/>
      <c r="F47" s="13"/>
      <c r="G47" s="13"/>
      <c r="H47" s="14"/>
      <c r="I47" s="40">
        <v>0</v>
      </c>
      <c r="J47" s="14"/>
      <c r="K47" s="15">
        <f t="shared" si="2"/>
        <v>0</v>
      </c>
    </row>
    <row r="49" spans="1:11" ht="18" customHeight="1">
      <c r="A49" s="5" t="s">
        <v>142</v>
      </c>
      <c r="B49" s="1" t="s">
        <v>143</v>
      </c>
      <c r="E49" s="1" t="s">
        <v>7</v>
      </c>
      <c r="F49" s="22">
        <f t="shared" ref="F49:K49" si="3">SUM(F40:F47)</f>
        <v>6340.2543983523765</v>
      </c>
      <c r="G49" s="22">
        <f t="shared" si="3"/>
        <v>794.78460965500028</v>
      </c>
      <c r="H49" s="15">
        <f t="shared" si="3"/>
        <v>267563.26272249996</v>
      </c>
      <c r="I49" s="15">
        <f t="shared" si="3"/>
        <v>0</v>
      </c>
      <c r="J49" s="15">
        <f t="shared" si="3"/>
        <v>28.710852499999998</v>
      </c>
      <c r="K49" s="15">
        <f t="shared" si="3"/>
        <v>267534.55186999997</v>
      </c>
    </row>
    <row r="50" spans="1:11" ht="18" customHeight="1" thickBot="1">
      <c r="G50" s="23"/>
      <c r="H50" s="23"/>
      <c r="I50" s="23"/>
      <c r="J50" s="23"/>
      <c r="K50" s="23"/>
    </row>
    <row r="51" spans="1:11" ht="42.75" customHeight="1">
      <c r="F51" s="8" t="s">
        <v>9</v>
      </c>
      <c r="G51" s="8" t="s">
        <v>37</v>
      </c>
      <c r="H51" s="8" t="s">
        <v>29</v>
      </c>
      <c r="I51" s="8" t="s">
        <v>30</v>
      </c>
      <c r="J51" s="8" t="s">
        <v>33</v>
      </c>
      <c r="K51" s="8" t="s">
        <v>34</v>
      </c>
    </row>
    <row r="52" spans="1:11" ht="18" customHeight="1">
      <c r="A52" s="5" t="s">
        <v>92</v>
      </c>
      <c r="B52" s="935" t="s">
        <v>38</v>
      </c>
      <c r="C52" s="936"/>
    </row>
    <row r="53" spans="1:11" ht="18" customHeight="1">
      <c r="A53" s="4" t="s">
        <v>51</v>
      </c>
      <c r="B53" s="937"/>
      <c r="C53" s="938"/>
      <c r="D53" s="934"/>
      <c r="F53" s="13"/>
      <c r="G53" s="13"/>
      <c r="H53" s="14"/>
      <c r="I53" s="40">
        <v>0</v>
      </c>
      <c r="J53" s="14"/>
      <c r="K53" s="15">
        <f t="shared" ref="K53:K62" si="4">(H53+I53)-J53</f>
        <v>0</v>
      </c>
    </row>
    <row r="54" spans="1:11" ht="18" customHeight="1">
      <c r="A54" s="4" t="s">
        <v>93</v>
      </c>
      <c r="B54" s="724" t="s">
        <v>192</v>
      </c>
      <c r="C54" s="725"/>
      <c r="D54" s="726"/>
      <c r="F54" s="13">
        <f>'[13]CB Master List - FY15&amp;FY14'!$DH$155</f>
        <v>5.4683721071606817</v>
      </c>
      <c r="G54" s="13">
        <f>'[13]CB Master List - FY15&amp;FY14'!$DI$155</f>
        <v>27.976582298241706</v>
      </c>
      <c r="H54" s="14">
        <f>'[13]CB Master List - FY15&amp;FY14'!$DJ$155</f>
        <v>70117.138965278151</v>
      </c>
      <c r="I54" s="40">
        <f>'[13]CB Master List - FY15&amp;FY14'!$DK$155</f>
        <v>0</v>
      </c>
      <c r="J54" s="14">
        <f>'[13]CB Master List - FY15&amp;FY14'!$DL$155</f>
        <v>0</v>
      </c>
      <c r="K54" s="15">
        <f t="shared" si="4"/>
        <v>70117.138965278151</v>
      </c>
    </row>
    <row r="55" spans="1:11" ht="18" customHeight="1">
      <c r="A55" s="4" t="s">
        <v>94</v>
      </c>
      <c r="B55" s="932"/>
      <c r="C55" s="933"/>
      <c r="D55" s="934"/>
      <c r="F55" s="13"/>
      <c r="G55" s="13"/>
      <c r="H55" s="14"/>
      <c r="I55" s="40">
        <v>0</v>
      </c>
      <c r="J55" s="14"/>
      <c r="K55" s="15">
        <f t="shared" si="4"/>
        <v>0</v>
      </c>
    </row>
    <row r="56" spans="1:11" ht="18" customHeight="1">
      <c r="A56" s="4" t="s">
        <v>95</v>
      </c>
      <c r="B56" s="932"/>
      <c r="C56" s="933"/>
      <c r="D56" s="934"/>
      <c r="F56" s="13"/>
      <c r="G56" s="13"/>
      <c r="H56" s="14"/>
      <c r="I56" s="40">
        <v>0</v>
      </c>
      <c r="J56" s="14"/>
      <c r="K56" s="15">
        <f t="shared" si="4"/>
        <v>0</v>
      </c>
    </row>
    <row r="57" spans="1:11" ht="18" customHeight="1">
      <c r="A57" s="4" t="s">
        <v>96</v>
      </c>
      <c r="B57" s="932" t="s">
        <v>195</v>
      </c>
      <c r="C57" s="933"/>
      <c r="D57" s="934"/>
      <c r="F57" s="13">
        <f>'[13]CB Master List - FY15&amp;FY14'!$DH$166</f>
        <v>0</v>
      </c>
      <c r="G57" s="13">
        <f>'[13]CB Master List - FY15&amp;FY14'!$DI$166</f>
        <v>0</v>
      </c>
      <c r="H57" s="14">
        <f>'[13]CB Master List - FY15&amp;FY14'!$DJ$166</f>
        <v>700915.83</v>
      </c>
      <c r="I57" s="40">
        <f>'[13]CB Master List - FY15&amp;FY14'!$DK$166</f>
        <v>0</v>
      </c>
      <c r="J57" s="14">
        <f>'[13]CB Master List - FY15&amp;FY14'!$DL$166</f>
        <v>0</v>
      </c>
      <c r="K57" s="15">
        <f t="shared" si="4"/>
        <v>700915.83</v>
      </c>
    </row>
    <row r="58" spans="1:11" ht="18" customHeight="1">
      <c r="A58" s="4" t="s">
        <v>97</v>
      </c>
      <c r="B58" s="724"/>
      <c r="C58" s="725"/>
      <c r="D58" s="726"/>
      <c r="F58" s="13"/>
      <c r="G58" s="13"/>
      <c r="H58" s="14"/>
      <c r="I58" s="40">
        <v>0</v>
      </c>
      <c r="J58" s="14"/>
      <c r="K58" s="15">
        <f t="shared" si="4"/>
        <v>0</v>
      </c>
    </row>
    <row r="59" spans="1:11" ht="18" customHeight="1">
      <c r="A59" s="4" t="s">
        <v>98</v>
      </c>
      <c r="B59" s="932"/>
      <c r="C59" s="933"/>
      <c r="D59" s="934"/>
      <c r="F59" s="13"/>
      <c r="G59" s="13"/>
      <c r="H59" s="14"/>
      <c r="I59" s="40">
        <v>0</v>
      </c>
      <c r="J59" s="14"/>
      <c r="K59" s="15">
        <f t="shared" si="4"/>
        <v>0</v>
      </c>
    </row>
    <row r="60" spans="1:11" ht="18" customHeight="1">
      <c r="A60" s="4" t="s">
        <v>99</v>
      </c>
      <c r="B60" s="724"/>
      <c r="C60" s="725"/>
      <c r="D60" s="726"/>
      <c r="F60" s="13"/>
      <c r="G60" s="13"/>
      <c r="H60" s="14"/>
      <c r="I60" s="40">
        <v>0</v>
      </c>
      <c r="J60" s="14"/>
      <c r="K60" s="15">
        <f t="shared" si="4"/>
        <v>0</v>
      </c>
    </row>
    <row r="61" spans="1:11" ht="18" customHeight="1">
      <c r="A61" s="4" t="s">
        <v>100</v>
      </c>
      <c r="B61" s="724"/>
      <c r="C61" s="725"/>
      <c r="D61" s="726"/>
      <c r="F61" s="13"/>
      <c r="G61" s="13"/>
      <c r="H61" s="14"/>
      <c r="I61" s="40">
        <v>0</v>
      </c>
      <c r="J61" s="14"/>
      <c r="K61" s="15">
        <f t="shared" si="4"/>
        <v>0</v>
      </c>
    </row>
    <row r="62" spans="1:11" ht="18" customHeight="1">
      <c r="A62" s="4" t="s">
        <v>101</v>
      </c>
      <c r="B62" s="932"/>
      <c r="C62" s="933"/>
      <c r="D62" s="934"/>
      <c r="F62" s="13"/>
      <c r="G62" s="13"/>
      <c r="H62" s="14"/>
      <c r="I62" s="40">
        <v>0</v>
      </c>
      <c r="J62" s="14"/>
      <c r="K62" s="15">
        <f t="shared" si="4"/>
        <v>0</v>
      </c>
    </row>
    <row r="63" spans="1:11" ht="18" customHeight="1">
      <c r="A63" s="4"/>
      <c r="I63" s="37"/>
    </row>
    <row r="64" spans="1:11" ht="18" customHeight="1">
      <c r="A64" s="4" t="s">
        <v>144</v>
      </c>
      <c r="B64" s="1" t="s">
        <v>145</v>
      </c>
      <c r="E64" s="1" t="s">
        <v>7</v>
      </c>
      <c r="F64" s="17">
        <f t="shared" ref="F64:K64" si="5">SUM(F53:F62)</f>
        <v>5.4683721071606817</v>
      </c>
      <c r="G64" s="17">
        <f t="shared" si="5"/>
        <v>27.976582298241706</v>
      </c>
      <c r="H64" s="15">
        <f t="shared" si="5"/>
        <v>771032.96896527812</v>
      </c>
      <c r="I64" s="15">
        <f t="shared" si="5"/>
        <v>0</v>
      </c>
      <c r="J64" s="15">
        <f t="shared" si="5"/>
        <v>0</v>
      </c>
      <c r="K64" s="15">
        <f t="shared" si="5"/>
        <v>771032.96896527812</v>
      </c>
    </row>
    <row r="65" spans="1:11" ht="18" customHeight="1">
      <c r="F65" s="38"/>
      <c r="G65" s="38"/>
      <c r="H65" s="38"/>
      <c r="I65" s="38"/>
      <c r="J65" s="38"/>
      <c r="K65" s="38"/>
    </row>
    <row r="66" spans="1:11" ht="42.75" customHeight="1">
      <c r="F66" s="46" t="s">
        <v>9</v>
      </c>
      <c r="G66" s="46" t="s">
        <v>37</v>
      </c>
      <c r="H66" s="46" t="s">
        <v>29</v>
      </c>
      <c r="I66" s="46" t="s">
        <v>30</v>
      </c>
      <c r="J66" s="46" t="s">
        <v>33</v>
      </c>
      <c r="K66" s="46" t="s">
        <v>34</v>
      </c>
    </row>
    <row r="67" spans="1:11" ht="18" customHeight="1">
      <c r="A67" s="5" t="s">
        <v>102</v>
      </c>
      <c r="B67" s="1" t="s">
        <v>12</v>
      </c>
      <c r="F67" s="47"/>
      <c r="G67" s="47"/>
      <c r="H67" s="47"/>
      <c r="I67" s="48"/>
      <c r="J67" s="47"/>
      <c r="K67" s="49"/>
    </row>
    <row r="68" spans="1:11" ht="18" customHeight="1">
      <c r="A68" s="4" t="s">
        <v>103</v>
      </c>
      <c r="B68" t="s">
        <v>52</v>
      </c>
      <c r="F68" s="13">
        <f>'[13]CB Master List - FY15&amp;FY14'!$DH$177</f>
        <v>14.647425287037542</v>
      </c>
      <c r="G68" s="41"/>
      <c r="H68" s="41"/>
      <c r="I68" s="40">
        <v>0</v>
      </c>
      <c r="J68" s="41"/>
      <c r="K68" s="15">
        <f>(H68+I68)-J68</f>
        <v>0</v>
      </c>
    </row>
    <row r="69" spans="1:11" ht="18" customHeight="1">
      <c r="A69" s="4" t="s">
        <v>104</v>
      </c>
      <c r="B69" s="257" t="s">
        <v>53</v>
      </c>
      <c r="F69" s="41"/>
      <c r="G69" s="41"/>
      <c r="H69" s="41"/>
      <c r="I69" s="40">
        <v>0</v>
      </c>
      <c r="J69" s="41"/>
      <c r="K69" s="15">
        <f>(H69+I69)-J69</f>
        <v>0</v>
      </c>
    </row>
    <row r="70" spans="1:11" ht="18" customHeight="1">
      <c r="A70" s="4" t="s">
        <v>178</v>
      </c>
      <c r="B70" s="724"/>
      <c r="C70" s="725"/>
      <c r="D70" s="726"/>
      <c r="E70" s="1"/>
      <c r="F70" s="26"/>
      <c r="G70" s="26"/>
      <c r="H70" s="27"/>
      <c r="I70" s="40">
        <v>0</v>
      </c>
      <c r="J70" s="27"/>
      <c r="K70" s="15">
        <f>(H70+I70)-J70</f>
        <v>0</v>
      </c>
    </row>
    <row r="71" spans="1:11" ht="18" customHeight="1">
      <c r="A71" s="4" t="s">
        <v>179</v>
      </c>
      <c r="B71" s="724"/>
      <c r="C71" s="725"/>
      <c r="D71" s="726"/>
      <c r="E71" s="1"/>
      <c r="F71" s="26"/>
      <c r="G71" s="26"/>
      <c r="H71" s="27"/>
      <c r="I71" s="40">
        <v>0</v>
      </c>
      <c r="J71" s="27"/>
      <c r="K71" s="15">
        <f>(H71+I71)-J71</f>
        <v>0</v>
      </c>
    </row>
    <row r="72" spans="1:11" ht="18" customHeight="1">
      <c r="A72" s="4" t="s">
        <v>180</v>
      </c>
      <c r="B72" s="727"/>
      <c r="C72" s="728"/>
      <c r="D72" s="25"/>
      <c r="E72" s="1"/>
      <c r="F72" s="13"/>
      <c r="G72" s="13"/>
      <c r="H72" s="14"/>
      <c r="I72" s="40">
        <v>0</v>
      </c>
      <c r="J72" s="14"/>
      <c r="K72" s="15">
        <f>(H72+I72)-J72</f>
        <v>0</v>
      </c>
    </row>
    <row r="73" spans="1:11" ht="18" customHeight="1">
      <c r="A73" s="4"/>
      <c r="B73" s="257"/>
      <c r="E73" s="1"/>
      <c r="F73" s="50"/>
      <c r="G73" s="50"/>
      <c r="H73" s="51"/>
      <c r="I73" s="48"/>
      <c r="J73" s="51"/>
      <c r="K73" s="49"/>
    </row>
    <row r="74" spans="1:11" ht="18" customHeight="1">
      <c r="A74" s="5" t="s">
        <v>146</v>
      </c>
      <c r="B74" s="1" t="s">
        <v>147</v>
      </c>
      <c r="E74" s="1" t="s">
        <v>7</v>
      </c>
      <c r="F74" s="20">
        <f t="shared" ref="F74:K74" si="6">SUM(F68:F72)</f>
        <v>14.647425287037542</v>
      </c>
      <c r="G74" s="20">
        <f t="shared" si="6"/>
        <v>0</v>
      </c>
      <c r="H74" s="20">
        <f t="shared" si="6"/>
        <v>0</v>
      </c>
      <c r="I74" s="42">
        <f t="shared" si="6"/>
        <v>0</v>
      </c>
      <c r="J74" s="20">
        <f t="shared" si="6"/>
        <v>0</v>
      </c>
      <c r="K74" s="16">
        <f t="shared" si="6"/>
        <v>0</v>
      </c>
    </row>
    <row r="75" spans="1:11" ht="42.75" customHeight="1">
      <c r="F75" s="8" t="s">
        <v>9</v>
      </c>
      <c r="G75" s="8" t="s">
        <v>37</v>
      </c>
      <c r="H75" s="8" t="s">
        <v>29</v>
      </c>
      <c r="I75" s="8" t="s">
        <v>30</v>
      </c>
      <c r="J75" s="8" t="s">
        <v>33</v>
      </c>
      <c r="K75" s="8" t="s">
        <v>34</v>
      </c>
    </row>
    <row r="76" spans="1:11" ht="18" customHeight="1">
      <c r="A76" s="5" t="s">
        <v>105</v>
      </c>
      <c r="B76" s="1" t="s">
        <v>106</v>
      </c>
    </row>
    <row r="77" spans="1:11" ht="18" customHeight="1">
      <c r="A77" s="4" t="s">
        <v>107</v>
      </c>
      <c r="B77" s="257" t="s">
        <v>54</v>
      </c>
      <c r="F77" s="13">
        <f>'[13]CB Master List - FY15&amp;FY14'!$DH$201</f>
        <v>4.5895265899384299</v>
      </c>
      <c r="G77" s="13"/>
      <c r="H77" s="14">
        <f>'[13]CB Master List - FY15&amp;FY14'!$DJ$201</f>
        <v>71880.203999999998</v>
      </c>
      <c r="I77" s="40">
        <f>'[13]CB Master List - FY15&amp;FY14'!$DK$201</f>
        <v>0</v>
      </c>
      <c r="J77" s="14">
        <f>'[13]CB Master List - FY15&amp;FY14'!$DL$201</f>
        <v>0</v>
      </c>
      <c r="K77" s="15">
        <f>(H77+I77)-J77</f>
        <v>71880.203999999998</v>
      </c>
    </row>
    <row r="78" spans="1:11" ht="18" customHeight="1">
      <c r="A78" s="4" t="s">
        <v>108</v>
      </c>
      <c r="B78" s="257" t="s">
        <v>55</v>
      </c>
      <c r="F78" s="13">
        <f>'[13]CB Master List - FY15&amp;FY14'!$DH$204</f>
        <v>2.050639540185256</v>
      </c>
      <c r="G78" s="13"/>
      <c r="H78" s="14"/>
      <c r="I78" s="40">
        <v>0</v>
      </c>
      <c r="J78" s="14"/>
      <c r="K78" s="15">
        <f>(H78+I78)-J78</f>
        <v>0</v>
      </c>
    </row>
    <row r="79" spans="1:11" ht="18" customHeight="1">
      <c r="A79" s="4" t="s">
        <v>109</v>
      </c>
      <c r="B79" s="257" t="s">
        <v>13</v>
      </c>
      <c r="F79" s="13"/>
      <c r="G79" s="13"/>
      <c r="H79" s="14"/>
      <c r="I79" s="40">
        <v>0</v>
      </c>
      <c r="J79" s="14"/>
      <c r="K79" s="15">
        <f>(H79+I79)-J79</f>
        <v>0</v>
      </c>
    </row>
    <row r="80" spans="1:11" ht="18" customHeight="1">
      <c r="A80" s="4" t="s">
        <v>110</v>
      </c>
      <c r="B80" s="257" t="s">
        <v>56</v>
      </c>
      <c r="F80" s="13">
        <f>'[13]CB Master List - FY15&amp;FY14'!$DH$213</f>
        <v>18.406931110710509</v>
      </c>
      <c r="G80" s="13"/>
      <c r="H80" s="14"/>
      <c r="I80" s="40">
        <v>0</v>
      </c>
      <c r="J80" s="14"/>
      <c r="K80" s="15">
        <f>(H80+I80)-J80</f>
        <v>0</v>
      </c>
    </row>
    <row r="81" spans="1:11" ht="18" customHeight="1">
      <c r="A81" s="4"/>
      <c r="K81" s="31"/>
    </row>
    <row r="82" spans="1:11" ht="18" customHeight="1">
      <c r="A82" s="4" t="s">
        <v>148</v>
      </c>
      <c r="B82" s="1" t="s">
        <v>149</v>
      </c>
      <c r="E82" s="1" t="s">
        <v>7</v>
      </c>
      <c r="F82" s="20">
        <f t="shared" ref="F82:K82" si="7">SUM(F77:F80)</f>
        <v>25.047097240834194</v>
      </c>
      <c r="G82" s="20">
        <f t="shared" si="7"/>
        <v>0</v>
      </c>
      <c r="H82" s="16">
        <f t="shared" si="7"/>
        <v>71880.203999999998</v>
      </c>
      <c r="I82" s="16">
        <f t="shared" si="7"/>
        <v>0</v>
      </c>
      <c r="J82" s="16">
        <f t="shared" si="7"/>
        <v>0</v>
      </c>
      <c r="K82" s="16">
        <f t="shared" si="7"/>
        <v>71880.203999999998</v>
      </c>
    </row>
    <row r="83" spans="1:11" ht="18" customHeight="1" thickBot="1">
      <c r="A83" s="4"/>
      <c r="F83" s="23"/>
      <c r="G83" s="23"/>
      <c r="H83" s="23"/>
      <c r="I83" s="23"/>
      <c r="J83" s="23"/>
      <c r="K83" s="23"/>
    </row>
    <row r="84" spans="1:11" ht="42.75" customHeight="1">
      <c r="F84" s="8" t="s">
        <v>9</v>
      </c>
      <c r="G84" s="8" t="s">
        <v>37</v>
      </c>
      <c r="H84" s="8" t="s">
        <v>29</v>
      </c>
      <c r="I84" s="8" t="s">
        <v>30</v>
      </c>
      <c r="J84" s="8" t="s">
        <v>33</v>
      </c>
      <c r="K84" s="8" t="s">
        <v>34</v>
      </c>
    </row>
    <row r="85" spans="1:11" ht="18" customHeight="1">
      <c r="A85" s="5" t="s">
        <v>111</v>
      </c>
      <c r="B85" s="1" t="s">
        <v>57</v>
      </c>
    </row>
    <row r="86" spans="1:11" ht="18" customHeight="1">
      <c r="A86" s="4" t="s">
        <v>112</v>
      </c>
      <c r="B86" s="257" t="s">
        <v>113</v>
      </c>
      <c r="F86" s="13"/>
      <c r="G86" s="13"/>
      <c r="H86" s="14">
        <f>'[13]CB Master List - FY15&amp;FY14'!$DJ$225</f>
        <v>74.091086741638421</v>
      </c>
      <c r="I86" s="40">
        <f>'[13]CB Master List - FY15&amp;FY14'!$DK$225</f>
        <v>70.09487422912602</v>
      </c>
      <c r="J86" s="14">
        <f>'[13]CB Master List - FY15&amp;FY14'!$DL$225</f>
        <v>0</v>
      </c>
      <c r="K86" s="15">
        <f t="shared" ref="K86:K96" si="8">(H86+I86)-J86</f>
        <v>144.18596097076443</v>
      </c>
    </row>
    <row r="87" spans="1:11" ht="18" customHeight="1">
      <c r="A87" s="4" t="s">
        <v>114</v>
      </c>
      <c r="B87" s="257" t="s">
        <v>14</v>
      </c>
      <c r="F87" s="13">
        <f>'[13]CB Master List - FY15&amp;FY14'!$DH$228</f>
        <v>0.17088662834877133</v>
      </c>
      <c r="G87" s="13">
        <f>'[13]CB Master List - FY15&amp;FY14'!$DI$228</f>
        <v>9.8625996932719442</v>
      </c>
      <c r="H87" s="14"/>
      <c r="I87" s="40">
        <f>H87*F$114</f>
        <v>0</v>
      </c>
      <c r="J87" s="14"/>
      <c r="K87" s="15">
        <f t="shared" si="8"/>
        <v>0</v>
      </c>
    </row>
    <row r="88" spans="1:11" ht="18" customHeight="1">
      <c r="A88" s="4" t="s">
        <v>115</v>
      </c>
      <c r="B88" s="257" t="s">
        <v>116</v>
      </c>
      <c r="F88" s="13">
        <f>'[13]CB Master List - FY15&amp;FY14'!$DH$235</f>
        <v>95.745336626268724</v>
      </c>
      <c r="G88" s="13">
        <f>'[13]CB Master List - FY15&amp;FY14'!$DI$235</f>
        <v>36.667387968550649</v>
      </c>
      <c r="H88" s="14">
        <f>'[13]CB Master List - FY15&amp;FY14'!$DJ$235</f>
        <v>19224</v>
      </c>
      <c r="I88" s="40">
        <f>'[13]CB Master List - FY15&amp;FY14'!$DK$235</f>
        <v>18187.125084014126</v>
      </c>
      <c r="J88" s="14">
        <f>'[13]CB Master List - FY15&amp;FY14'!$DL$235</f>
        <v>0</v>
      </c>
      <c r="K88" s="15">
        <f t="shared" si="8"/>
        <v>37411.125084014129</v>
      </c>
    </row>
    <row r="89" spans="1:11" ht="18" customHeight="1">
      <c r="A89" s="4" t="s">
        <v>117</v>
      </c>
      <c r="B89" s="257" t="s">
        <v>58</v>
      </c>
      <c r="F89" s="13">
        <f>'[13]CB Master List - FY15&amp;FY14'!$DH$238</f>
        <v>7.3237126435187705E-2</v>
      </c>
      <c r="G89" s="13">
        <f>'[13]CB Master List - FY15&amp;FY14'!$DI$238</f>
        <v>0.24412375478395903</v>
      </c>
      <c r="H89" s="14"/>
      <c r="I89" s="40">
        <f>H89*F$114</f>
        <v>0</v>
      </c>
      <c r="J89" s="14"/>
      <c r="K89" s="15">
        <f t="shared" si="8"/>
        <v>0</v>
      </c>
    </row>
    <row r="90" spans="1:11" ht="18" customHeight="1">
      <c r="A90" s="4" t="s">
        <v>118</v>
      </c>
      <c r="B90" s="931" t="s">
        <v>59</v>
      </c>
      <c r="C90" s="939"/>
      <c r="F90" s="13">
        <f>'[13]CB Master List - FY15&amp;FY14'!$DH$241</f>
        <v>1.9285776627932762</v>
      </c>
      <c r="G90" s="13">
        <f>'[13]CB Master List - FY15&amp;FY14'!$DI$241</f>
        <v>6.9331146358644364</v>
      </c>
      <c r="H90" s="14"/>
      <c r="I90" s="40">
        <f>H90*F$114</f>
        <v>0</v>
      </c>
      <c r="J90" s="14"/>
      <c r="K90" s="15">
        <f t="shared" si="8"/>
        <v>0</v>
      </c>
    </row>
    <row r="91" spans="1:11" ht="18" customHeight="1">
      <c r="A91" s="4" t="s">
        <v>119</v>
      </c>
      <c r="B91" s="257" t="s">
        <v>60</v>
      </c>
      <c r="F91" s="13">
        <f>'[13]CB Master List - FY15&amp;FY14'!$DH$244</f>
        <v>33.859964788535116</v>
      </c>
      <c r="G91" s="13">
        <f>'[13]CB Master List - FY15&amp;FY14'!$DI$244</f>
        <v>241.97546574186018</v>
      </c>
      <c r="H91" s="14">
        <f>'[13]CB Master List - FY15&amp;FY14'!$DJ$244</f>
        <v>2148.2890420988397</v>
      </c>
      <c r="I91" s="40">
        <f>'[13]CB Master List - FY15&amp;FY14'!$DK$244</f>
        <v>2032.4178904113862</v>
      </c>
      <c r="J91" s="14">
        <f>'[13]CB Master List - FY15&amp;FY14'!$DL$244</f>
        <v>0</v>
      </c>
      <c r="K91" s="15">
        <f t="shared" si="8"/>
        <v>4180.7069325102257</v>
      </c>
    </row>
    <row r="92" spans="1:11" ht="18" customHeight="1">
      <c r="A92" s="4" t="s">
        <v>120</v>
      </c>
      <c r="B92" s="257" t="s">
        <v>121</v>
      </c>
      <c r="F92" s="29">
        <f>'[13]CB Master List - FY15&amp;FY14'!$DH$253</f>
        <v>917.35435641840877</v>
      </c>
      <c r="G92" s="29">
        <f>'[13]CB Master List - FY15&amp;FY14'!$DI$253</f>
        <v>58.540876397193372</v>
      </c>
      <c r="H92" s="30">
        <f>'[13]CB Master List - FY15&amp;FY14'!$DJ$253</f>
        <v>66408.670801624394</v>
      </c>
      <c r="I92" s="40">
        <f>'[13]CB Master List - FY15&amp;FY14'!$DK$253</f>
        <v>62826.820772589446</v>
      </c>
      <c r="J92" s="30">
        <f>'[13]CB Master List - FY15&amp;FY14'!$DL$253</f>
        <v>0</v>
      </c>
      <c r="K92" s="15">
        <f t="shared" si="8"/>
        <v>129235.49157421384</v>
      </c>
    </row>
    <row r="93" spans="1:11" ht="18" customHeight="1">
      <c r="A93" s="4" t="s">
        <v>122</v>
      </c>
      <c r="B93" s="257" t="s">
        <v>123</v>
      </c>
      <c r="F93" s="13">
        <f>'[13]CB Master List - FY15&amp;FY14'!$DH$256</f>
        <v>0.21971137930556311</v>
      </c>
      <c r="G93" s="13">
        <f>'[13]CB Master List - FY15&amp;FY14'!$DI$256</f>
        <v>0.19529900382716722</v>
      </c>
      <c r="H93" s="14"/>
      <c r="I93" s="40">
        <f>H93*F$114</f>
        <v>0</v>
      </c>
      <c r="J93" s="14"/>
      <c r="K93" s="15">
        <f t="shared" si="8"/>
        <v>0</v>
      </c>
    </row>
    <row r="94" spans="1:11" ht="18" customHeight="1">
      <c r="A94" s="4" t="s">
        <v>124</v>
      </c>
      <c r="B94" s="932"/>
      <c r="C94" s="933"/>
      <c r="D94" s="934"/>
      <c r="F94" s="13"/>
      <c r="G94" s="13"/>
      <c r="H94" s="14"/>
      <c r="I94" s="40">
        <f>H94*F$114</f>
        <v>0</v>
      </c>
      <c r="J94" s="14"/>
      <c r="K94" s="15">
        <f t="shared" si="8"/>
        <v>0</v>
      </c>
    </row>
    <row r="95" spans="1:11" ht="18" customHeight="1">
      <c r="A95" s="4" t="s">
        <v>125</v>
      </c>
      <c r="B95" s="932"/>
      <c r="C95" s="933"/>
      <c r="D95" s="934"/>
      <c r="F95" s="13"/>
      <c r="G95" s="13"/>
      <c r="H95" s="14"/>
      <c r="I95" s="40">
        <f>H95*F$114</f>
        <v>0</v>
      </c>
      <c r="J95" s="14"/>
      <c r="K95" s="15">
        <f t="shared" si="8"/>
        <v>0</v>
      </c>
    </row>
    <row r="96" spans="1:11" ht="18" customHeight="1">
      <c r="A96" s="4" t="s">
        <v>126</v>
      </c>
      <c r="B96" s="932"/>
      <c r="C96" s="933"/>
      <c r="D96" s="934"/>
      <c r="F96" s="13"/>
      <c r="G96" s="13"/>
      <c r="H96" s="14"/>
      <c r="I96" s="40">
        <f>H96*F$114</f>
        <v>0</v>
      </c>
      <c r="J96" s="14"/>
      <c r="K96" s="15">
        <f t="shared" si="8"/>
        <v>0</v>
      </c>
    </row>
    <row r="97" spans="1:11" ht="18" customHeight="1">
      <c r="A97" s="4"/>
      <c r="B97" s="257"/>
    </row>
    <row r="98" spans="1:11" ht="18" customHeight="1">
      <c r="A98" s="5" t="s">
        <v>150</v>
      </c>
      <c r="B98" s="1" t="s">
        <v>151</v>
      </c>
      <c r="E98" s="1" t="s">
        <v>7</v>
      </c>
      <c r="F98" s="17">
        <f t="shared" ref="F98:K98" si="9">SUM(F86:F96)</f>
        <v>1049.3520706300956</v>
      </c>
      <c r="G98" s="17">
        <f t="shared" si="9"/>
        <v>354.41886719535171</v>
      </c>
      <c r="H98" s="17">
        <f t="shared" si="9"/>
        <v>87855.050930464873</v>
      </c>
      <c r="I98" s="17">
        <f t="shared" si="9"/>
        <v>83116.458621244092</v>
      </c>
      <c r="J98" s="17">
        <f t="shared" si="9"/>
        <v>0</v>
      </c>
      <c r="K98" s="17">
        <f t="shared" si="9"/>
        <v>170971.50955170896</v>
      </c>
    </row>
    <row r="99" spans="1:11" ht="18" customHeight="1" thickBot="1">
      <c r="B99" s="1"/>
      <c r="F99" s="23"/>
      <c r="G99" s="23"/>
      <c r="H99" s="23"/>
      <c r="I99" s="23"/>
      <c r="J99" s="23"/>
      <c r="K99" s="23"/>
    </row>
    <row r="100" spans="1:11" ht="42.75" customHeight="1">
      <c r="F100" s="8" t="s">
        <v>9</v>
      </c>
      <c r="G100" s="8" t="s">
        <v>37</v>
      </c>
      <c r="H100" s="8" t="s">
        <v>29</v>
      </c>
      <c r="I100" s="8" t="s">
        <v>30</v>
      </c>
      <c r="J100" s="8" t="s">
        <v>33</v>
      </c>
      <c r="K100" s="8" t="s">
        <v>34</v>
      </c>
    </row>
    <row r="101" spans="1:11" ht="18" customHeight="1">
      <c r="A101" s="5" t="s">
        <v>130</v>
      </c>
      <c r="B101" s="1" t="s">
        <v>63</v>
      </c>
    </row>
    <row r="102" spans="1:11" ht="18" customHeight="1">
      <c r="A102" s="4" t="s">
        <v>131</v>
      </c>
      <c r="B102" s="257" t="s">
        <v>152</v>
      </c>
      <c r="F102" s="13">
        <f>'[13]CB Master List - FY15&amp;FY14'!$DH$273</f>
        <v>154.23686881191415</v>
      </c>
      <c r="G102" s="13">
        <f>'[13]CB Master List - FY15&amp;FY14'!$DI$273</f>
        <v>18.553405363580886</v>
      </c>
      <c r="H102" s="14">
        <f>'[13]CB Master List - FY15&amp;FY14'!$DJ$273</f>
        <v>6509.3</v>
      </c>
      <c r="I102" s="40">
        <f>'[13]CB Master List - FY15&amp;FY14'!$DK$273</f>
        <v>6158.2112624517877</v>
      </c>
      <c r="J102" s="14">
        <f>'[13]CB Master List - FY15&amp;FY14'!$DL$273</f>
        <v>0</v>
      </c>
      <c r="K102" s="15">
        <f>(H102+I102)-J102</f>
        <v>12667.511262451788</v>
      </c>
    </row>
    <row r="103" spans="1:11" ht="18" customHeight="1">
      <c r="A103" s="4" t="s">
        <v>132</v>
      </c>
      <c r="B103" s="931" t="s">
        <v>62</v>
      </c>
      <c r="C103" s="931"/>
      <c r="F103" s="13"/>
      <c r="G103" s="13"/>
      <c r="H103" s="14"/>
      <c r="I103" s="40">
        <f>H103*F$114</f>
        <v>0</v>
      </c>
      <c r="J103" s="14"/>
      <c r="K103" s="15">
        <f>(H103+I103)-J103</f>
        <v>0</v>
      </c>
    </row>
    <row r="104" spans="1:11" ht="18" customHeight="1">
      <c r="A104" s="4" t="s">
        <v>128</v>
      </c>
      <c r="B104" s="932" t="s">
        <v>196</v>
      </c>
      <c r="C104" s="933"/>
      <c r="D104" s="934"/>
      <c r="F104" s="13">
        <f>'[13]CB Master List - FY15&amp;FY14'!$DH$281</f>
        <v>177.84</v>
      </c>
      <c r="G104" s="13">
        <f>'[13]CB Master List - FY15&amp;FY14'!$DI$281</f>
        <v>0</v>
      </c>
      <c r="H104" s="14">
        <f>'[13]CB Master List - FY15&amp;FY14'!$DJ$281</f>
        <v>7174.3195350000005</v>
      </c>
      <c r="I104" s="40">
        <f>'[13]CB Master List - FY15&amp;FY14'!$DK$281</f>
        <v>6787.3619837562983</v>
      </c>
      <c r="J104" s="14">
        <f>'[13]CB Master List - FY15&amp;FY14'!$DL$281</f>
        <v>973.64450250000016</v>
      </c>
      <c r="K104" s="15">
        <f>(H104+I104)-J104</f>
        <v>12988.037016256299</v>
      </c>
    </row>
    <row r="105" spans="1:11" ht="18" customHeight="1">
      <c r="A105" s="4" t="s">
        <v>127</v>
      </c>
      <c r="B105" s="932"/>
      <c r="C105" s="933"/>
      <c r="D105" s="934"/>
      <c r="F105" s="13"/>
      <c r="G105" s="13"/>
      <c r="H105" s="14"/>
      <c r="I105" s="40">
        <f>H105*F$114</f>
        <v>0</v>
      </c>
      <c r="J105" s="14"/>
      <c r="K105" s="15">
        <f>(H105+I105)-J105</f>
        <v>0</v>
      </c>
    </row>
    <row r="106" spans="1:11" ht="18" customHeight="1">
      <c r="A106" s="4" t="s">
        <v>129</v>
      </c>
      <c r="B106" s="932"/>
      <c r="C106" s="933"/>
      <c r="D106" s="934"/>
      <c r="F106" s="13"/>
      <c r="G106" s="13"/>
      <c r="H106" s="14"/>
      <c r="I106" s="40">
        <f>H106*F$114</f>
        <v>0</v>
      </c>
      <c r="J106" s="14"/>
      <c r="K106" s="15">
        <f>(H106+I106)-J106</f>
        <v>0</v>
      </c>
    </row>
    <row r="107" spans="1:11" ht="18" customHeight="1">
      <c r="B107" s="1"/>
    </row>
    <row r="108" spans="1:11" s="9" customFormat="1" ht="18" customHeight="1">
      <c r="A108" s="5" t="s">
        <v>153</v>
      </c>
      <c r="B108" s="52" t="s">
        <v>154</v>
      </c>
      <c r="C108"/>
      <c r="D108"/>
      <c r="E108" s="1" t="s">
        <v>7</v>
      </c>
      <c r="F108" s="17">
        <f t="shared" ref="F108:K108" si="10">SUM(F102:F106)</f>
        <v>332.07686881191415</v>
      </c>
      <c r="G108" s="17">
        <f t="shared" si="10"/>
        <v>18.553405363580886</v>
      </c>
      <c r="H108" s="15">
        <f t="shared" si="10"/>
        <v>13683.619535000002</v>
      </c>
      <c r="I108" s="15">
        <f t="shared" si="10"/>
        <v>12945.573246208085</v>
      </c>
      <c r="J108" s="15">
        <f t="shared" si="10"/>
        <v>973.64450250000016</v>
      </c>
      <c r="K108" s="15">
        <f t="shared" si="10"/>
        <v>25655.548278708087</v>
      </c>
    </row>
    <row r="109" spans="1:11" s="9" customFormat="1" ht="18" customHeight="1" thickBot="1">
      <c r="A109" s="10"/>
      <c r="B109" s="11"/>
      <c r="C109" s="12"/>
      <c r="D109" s="12"/>
      <c r="E109" s="12"/>
      <c r="F109" s="23"/>
      <c r="G109" s="23"/>
      <c r="H109" s="23"/>
      <c r="I109" s="23"/>
      <c r="J109" s="23"/>
      <c r="K109" s="23"/>
    </row>
    <row r="110" spans="1:11" s="9" customFormat="1" ht="18" customHeight="1">
      <c r="A110" s="5" t="s">
        <v>156</v>
      </c>
      <c r="B110" s="1" t="s">
        <v>39</v>
      </c>
      <c r="C110"/>
      <c r="D110"/>
      <c r="E110"/>
      <c r="F110"/>
      <c r="G110"/>
      <c r="H110"/>
      <c r="I110"/>
      <c r="J110"/>
      <c r="K110"/>
    </row>
    <row r="111" spans="1:11" ht="18" customHeight="1">
      <c r="A111" s="5" t="s">
        <v>155</v>
      </c>
      <c r="B111" s="1" t="s">
        <v>164</v>
      </c>
      <c r="E111" s="1" t="s">
        <v>7</v>
      </c>
      <c r="F111" s="14">
        <f>'[13]CB Master List - FY15&amp;FY14'!$DM$293</f>
        <v>2086400.4000000001</v>
      </c>
    </row>
    <row r="112" spans="1:11" ht="18" customHeight="1">
      <c r="B112" s="1"/>
      <c r="E112" s="1"/>
      <c r="F112" s="21"/>
    </row>
    <row r="113" spans="1:6" ht="18" customHeight="1">
      <c r="A113" s="5"/>
      <c r="B113" s="1" t="s">
        <v>15</v>
      </c>
    </row>
    <row r="114" spans="1:6" ht="18" customHeight="1">
      <c r="A114" s="4" t="s">
        <v>171</v>
      </c>
      <c r="B114" s="257" t="s">
        <v>35</v>
      </c>
      <c r="F114" s="24">
        <f>'[13]CB Master List - FY15&amp;FY14'!$DM$302</f>
        <v>0.94606351872732664</v>
      </c>
    </row>
    <row r="115" spans="1:6" ht="18" customHeight="1">
      <c r="A115" s="4"/>
      <c r="B115" s="1"/>
    </row>
    <row r="116" spans="1:6" ht="18" customHeight="1">
      <c r="A116" s="4" t="s">
        <v>170</v>
      </c>
      <c r="B116" s="1" t="s">
        <v>16</v>
      </c>
    </row>
    <row r="117" spans="1:6" ht="18" customHeight="1">
      <c r="A117" s="4" t="s">
        <v>172</v>
      </c>
      <c r="B117" s="257" t="s">
        <v>17</v>
      </c>
      <c r="F117" s="14">
        <f>[14]CONS_PL!$AE$73</f>
        <v>31243964</v>
      </c>
    </row>
    <row r="118" spans="1:6" ht="18" customHeight="1">
      <c r="A118" s="4" t="s">
        <v>173</v>
      </c>
      <c r="B118" t="s">
        <v>18</v>
      </c>
      <c r="F118" s="14">
        <f>[14]CONS_PL!$AE$120</f>
        <v>393446</v>
      </c>
    </row>
    <row r="119" spans="1:6" ht="18" customHeight="1">
      <c r="A119" s="4" t="s">
        <v>174</v>
      </c>
      <c r="B119" s="1" t="s">
        <v>19</v>
      </c>
      <c r="F119" s="16">
        <f>SUM(F117:F118)</f>
        <v>31637410</v>
      </c>
    </row>
    <row r="120" spans="1:6" ht="18" customHeight="1">
      <c r="A120" s="4"/>
      <c r="B120" s="1"/>
    </row>
    <row r="121" spans="1:6" ht="18" customHeight="1">
      <c r="A121" s="4" t="s">
        <v>167</v>
      </c>
      <c r="B121" s="1" t="s">
        <v>36</v>
      </c>
      <c r="F121" s="14">
        <f>[14]CONS_PL!$AE$467</f>
        <v>35485321</v>
      </c>
    </row>
    <row r="122" spans="1:6" ht="18" customHeight="1">
      <c r="A122" s="4"/>
    </row>
    <row r="123" spans="1:6" ht="18" customHeight="1">
      <c r="A123" s="4" t="s">
        <v>175</v>
      </c>
      <c r="B123" s="1" t="s">
        <v>20</v>
      </c>
      <c r="F123" s="14">
        <f>[14]CONS_PL!$AE$469</f>
        <v>-3847911</v>
      </c>
    </row>
    <row r="124" spans="1:6" ht="18" customHeight="1">
      <c r="A124" s="4"/>
    </row>
    <row r="125" spans="1:6" ht="18" customHeight="1">
      <c r="A125" s="4" t="s">
        <v>176</v>
      </c>
      <c r="B125" s="1" t="s">
        <v>21</v>
      </c>
      <c r="F125" s="14">
        <f>[14]CONS_PL!$AE$484</f>
        <v>103662</v>
      </c>
    </row>
    <row r="126" spans="1:6" ht="18" customHeight="1">
      <c r="A126" s="4"/>
    </row>
    <row r="127" spans="1:6" ht="18" customHeight="1">
      <c r="A127" s="4" t="s">
        <v>177</v>
      </c>
      <c r="B127" s="1" t="s">
        <v>22</v>
      </c>
      <c r="F127" s="14">
        <f>[14]CONS_PL!$AE$491</f>
        <v>-3744249</v>
      </c>
    </row>
    <row r="128" spans="1:6" ht="18" customHeight="1">
      <c r="A128" s="4"/>
    </row>
    <row r="129" spans="1:11" ht="42.75" customHeight="1">
      <c r="F129" s="8" t="s">
        <v>9</v>
      </c>
      <c r="G129" s="8" t="s">
        <v>37</v>
      </c>
      <c r="H129" s="8" t="s">
        <v>29</v>
      </c>
      <c r="I129" s="8" t="s">
        <v>30</v>
      </c>
      <c r="J129" s="8" t="s">
        <v>33</v>
      </c>
      <c r="K129" s="8" t="s">
        <v>34</v>
      </c>
    </row>
    <row r="130" spans="1:11" ht="18" customHeight="1">
      <c r="A130" s="5" t="s">
        <v>157</v>
      </c>
      <c r="B130" s="1" t="s">
        <v>23</v>
      </c>
    </row>
    <row r="131" spans="1:11" ht="18" customHeight="1">
      <c r="A131" s="4" t="s">
        <v>158</v>
      </c>
      <c r="B131" t="s">
        <v>24</v>
      </c>
      <c r="F131" s="13"/>
      <c r="G131" s="13"/>
      <c r="H131" s="14"/>
      <c r="I131" s="40">
        <v>0</v>
      </c>
      <c r="J131" s="14"/>
      <c r="K131" s="15">
        <f>(H131+I131)-J131</f>
        <v>0</v>
      </c>
    </row>
    <row r="132" spans="1:11" ht="18" customHeight="1">
      <c r="A132" s="4" t="s">
        <v>159</v>
      </c>
      <c r="B132" t="s">
        <v>25</v>
      </c>
      <c r="F132" s="13"/>
      <c r="G132" s="13"/>
      <c r="H132" s="14"/>
      <c r="I132" s="40">
        <v>0</v>
      </c>
      <c r="J132" s="14"/>
      <c r="K132" s="15">
        <f>(H132+I132)-J132</f>
        <v>0</v>
      </c>
    </row>
    <row r="133" spans="1:11" ht="18" customHeight="1">
      <c r="A133" s="4" t="s">
        <v>160</v>
      </c>
      <c r="B133" s="893"/>
      <c r="C133" s="894"/>
      <c r="D133" s="895"/>
      <c r="F133" s="13"/>
      <c r="G133" s="13"/>
      <c r="H133" s="14"/>
      <c r="I133" s="40">
        <v>0</v>
      </c>
      <c r="J133" s="14"/>
      <c r="K133" s="15">
        <f>(H133+I133)-J133</f>
        <v>0</v>
      </c>
    </row>
    <row r="134" spans="1:11" ht="18" customHeight="1">
      <c r="A134" s="4" t="s">
        <v>161</v>
      </c>
      <c r="B134" s="893"/>
      <c r="C134" s="894"/>
      <c r="D134" s="895"/>
      <c r="F134" s="13"/>
      <c r="G134" s="13"/>
      <c r="H134" s="14"/>
      <c r="I134" s="40">
        <v>0</v>
      </c>
      <c r="J134" s="14"/>
      <c r="K134" s="15">
        <f>(H134+I134)-J134</f>
        <v>0</v>
      </c>
    </row>
    <row r="135" spans="1:11" ht="18" customHeight="1">
      <c r="A135" s="4" t="s">
        <v>162</v>
      </c>
      <c r="B135" s="893"/>
      <c r="C135" s="894"/>
      <c r="D135" s="895"/>
      <c r="F135" s="13"/>
      <c r="G135" s="13"/>
      <c r="H135" s="14"/>
      <c r="I135" s="40">
        <v>0</v>
      </c>
      <c r="J135" s="14"/>
      <c r="K135" s="15">
        <f>(H135+I135)-J135</f>
        <v>0</v>
      </c>
    </row>
    <row r="136" spans="1:11" ht="18" customHeight="1">
      <c r="A136" s="5"/>
    </row>
    <row r="137" spans="1:11" ht="18" customHeight="1">
      <c r="A137" s="5" t="s">
        <v>163</v>
      </c>
      <c r="B137" s="1" t="s">
        <v>27</v>
      </c>
      <c r="F137" s="17">
        <f t="shared" ref="F137:K137" si="11">SUM(F131:F135)</f>
        <v>0</v>
      </c>
      <c r="G137" s="17">
        <f t="shared" si="11"/>
        <v>0</v>
      </c>
      <c r="H137" s="15">
        <f t="shared" si="11"/>
        <v>0</v>
      </c>
      <c r="I137" s="15">
        <f t="shared" si="11"/>
        <v>0</v>
      </c>
      <c r="J137" s="15">
        <f t="shared" si="11"/>
        <v>0</v>
      </c>
      <c r="K137" s="15">
        <f t="shared" si="11"/>
        <v>0</v>
      </c>
    </row>
    <row r="138" spans="1:11" ht="18" customHeight="1">
      <c r="A138"/>
    </row>
    <row r="139" spans="1:11" ht="42.75" customHeight="1">
      <c r="F139" s="8" t="s">
        <v>9</v>
      </c>
      <c r="G139" s="8" t="s">
        <v>37</v>
      </c>
      <c r="H139" s="8" t="s">
        <v>29</v>
      </c>
      <c r="I139" s="8" t="s">
        <v>30</v>
      </c>
      <c r="J139" s="8" t="s">
        <v>33</v>
      </c>
      <c r="K139" s="8" t="s">
        <v>34</v>
      </c>
    </row>
    <row r="140" spans="1:11" ht="18" customHeight="1">
      <c r="A140" s="5" t="s">
        <v>166</v>
      </c>
      <c r="B140" s="1" t="s">
        <v>26</v>
      </c>
    </row>
    <row r="141" spans="1:11" ht="18" customHeight="1">
      <c r="A141" s="4" t="s">
        <v>137</v>
      </c>
      <c r="B141" s="1" t="s">
        <v>64</v>
      </c>
      <c r="F141" s="32">
        <f t="shared" ref="F141:K141" si="12">F36</f>
        <v>19646.673210012563</v>
      </c>
      <c r="G141" s="32">
        <f t="shared" si="12"/>
        <v>885.53422819402056</v>
      </c>
      <c r="H141" s="32">
        <f t="shared" si="12"/>
        <v>335424.48711501335</v>
      </c>
      <c r="I141" s="32">
        <f t="shared" si="12"/>
        <v>313855.31134393025</v>
      </c>
      <c r="J141" s="32">
        <f t="shared" si="12"/>
        <v>73855.89621875</v>
      </c>
      <c r="K141" s="32">
        <f t="shared" si="12"/>
        <v>575423.90224019357</v>
      </c>
    </row>
    <row r="142" spans="1:11" ht="18" customHeight="1">
      <c r="A142" s="4" t="s">
        <v>142</v>
      </c>
      <c r="B142" s="1" t="s">
        <v>65</v>
      </c>
      <c r="F142" s="32">
        <f t="shared" ref="F142:K142" si="13">F49</f>
        <v>6340.2543983523765</v>
      </c>
      <c r="G142" s="32">
        <f t="shared" si="13"/>
        <v>794.78460965500028</v>
      </c>
      <c r="H142" s="32">
        <f t="shared" si="13"/>
        <v>267563.26272249996</v>
      </c>
      <c r="I142" s="32">
        <f t="shared" si="13"/>
        <v>0</v>
      </c>
      <c r="J142" s="32">
        <f t="shared" si="13"/>
        <v>28.710852499999998</v>
      </c>
      <c r="K142" s="32">
        <f t="shared" si="13"/>
        <v>267534.55186999997</v>
      </c>
    </row>
    <row r="143" spans="1:11" ht="18" customHeight="1">
      <c r="A143" s="4" t="s">
        <v>144</v>
      </c>
      <c r="B143" s="1" t="s">
        <v>66</v>
      </c>
      <c r="F143" s="32">
        <f t="shared" ref="F143:K143" si="14">F64</f>
        <v>5.4683721071606817</v>
      </c>
      <c r="G143" s="32">
        <f t="shared" si="14"/>
        <v>27.976582298241706</v>
      </c>
      <c r="H143" s="32">
        <f t="shared" si="14"/>
        <v>771032.96896527812</v>
      </c>
      <c r="I143" s="32">
        <f t="shared" si="14"/>
        <v>0</v>
      </c>
      <c r="J143" s="32">
        <f t="shared" si="14"/>
        <v>0</v>
      </c>
      <c r="K143" s="32">
        <f t="shared" si="14"/>
        <v>771032.96896527812</v>
      </c>
    </row>
    <row r="144" spans="1:11" ht="18" customHeight="1">
      <c r="A144" s="4" t="s">
        <v>146</v>
      </c>
      <c r="B144" s="1" t="s">
        <v>67</v>
      </c>
      <c r="F144" s="32">
        <f t="shared" ref="F144:K144" si="15">F74</f>
        <v>14.647425287037542</v>
      </c>
      <c r="G144" s="32">
        <f t="shared" si="15"/>
        <v>0</v>
      </c>
      <c r="H144" s="32">
        <f t="shared" si="15"/>
        <v>0</v>
      </c>
      <c r="I144" s="32">
        <f t="shared" si="15"/>
        <v>0</v>
      </c>
      <c r="J144" s="32">
        <f t="shared" si="15"/>
        <v>0</v>
      </c>
      <c r="K144" s="32">
        <f t="shared" si="15"/>
        <v>0</v>
      </c>
    </row>
    <row r="145" spans="1:11" ht="18" customHeight="1">
      <c r="A145" s="4" t="s">
        <v>148</v>
      </c>
      <c r="B145" s="1" t="s">
        <v>68</v>
      </c>
      <c r="F145" s="32">
        <f t="shared" ref="F145:K145" si="16">F82</f>
        <v>25.047097240834194</v>
      </c>
      <c r="G145" s="32">
        <f t="shared" si="16"/>
        <v>0</v>
      </c>
      <c r="H145" s="32">
        <f t="shared" si="16"/>
        <v>71880.203999999998</v>
      </c>
      <c r="I145" s="32">
        <f t="shared" si="16"/>
        <v>0</v>
      </c>
      <c r="J145" s="32">
        <f t="shared" si="16"/>
        <v>0</v>
      </c>
      <c r="K145" s="32">
        <f t="shared" si="16"/>
        <v>71880.203999999998</v>
      </c>
    </row>
    <row r="146" spans="1:11" ht="18" customHeight="1">
      <c r="A146" s="4" t="s">
        <v>150</v>
      </c>
      <c r="B146" s="1" t="s">
        <v>69</v>
      </c>
      <c r="F146" s="32">
        <f t="shared" ref="F146:K146" si="17">F98</f>
        <v>1049.3520706300956</v>
      </c>
      <c r="G146" s="32">
        <f t="shared" si="17"/>
        <v>354.41886719535171</v>
      </c>
      <c r="H146" s="32">
        <f t="shared" si="17"/>
        <v>87855.050930464873</v>
      </c>
      <c r="I146" s="32">
        <f t="shared" si="17"/>
        <v>83116.458621244092</v>
      </c>
      <c r="J146" s="32">
        <f t="shared" si="17"/>
        <v>0</v>
      </c>
      <c r="K146" s="32">
        <f t="shared" si="17"/>
        <v>170971.50955170896</v>
      </c>
    </row>
    <row r="147" spans="1:11" ht="18" customHeight="1">
      <c r="A147" s="4" t="s">
        <v>153</v>
      </c>
      <c r="B147" s="1" t="s">
        <v>61</v>
      </c>
      <c r="F147" s="17">
        <f t="shared" ref="F147:K147" si="18">F108</f>
        <v>332.07686881191415</v>
      </c>
      <c r="G147" s="17">
        <f t="shared" si="18"/>
        <v>18.553405363580886</v>
      </c>
      <c r="H147" s="17">
        <f t="shared" si="18"/>
        <v>13683.619535000002</v>
      </c>
      <c r="I147" s="17">
        <f t="shared" si="18"/>
        <v>12945.573246208085</v>
      </c>
      <c r="J147" s="17">
        <f t="shared" si="18"/>
        <v>973.64450250000016</v>
      </c>
      <c r="K147" s="17">
        <f t="shared" si="18"/>
        <v>25655.548278708087</v>
      </c>
    </row>
    <row r="148" spans="1:11" ht="18" customHeight="1">
      <c r="A148" s="4" t="s">
        <v>155</v>
      </c>
      <c r="B148" s="1" t="s">
        <v>70</v>
      </c>
      <c r="F148" s="33" t="s">
        <v>73</v>
      </c>
      <c r="G148" s="33" t="s">
        <v>73</v>
      </c>
      <c r="H148" s="34" t="s">
        <v>73</v>
      </c>
      <c r="I148" s="34" t="s">
        <v>73</v>
      </c>
      <c r="J148" s="34" t="s">
        <v>73</v>
      </c>
      <c r="K148" s="28">
        <f>F111</f>
        <v>2086400.4000000001</v>
      </c>
    </row>
    <row r="149" spans="1:11" ht="18" customHeight="1">
      <c r="A149" s="4" t="s">
        <v>163</v>
      </c>
      <c r="B149" s="1" t="s">
        <v>71</v>
      </c>
      <c r="F149" s="17">
        <f t="shared" ref="F149:K149" si="19">F137</f>
        <v>0</v>
      </c>
      <c r="G149" s="17">
        <f t="shared" si="19"/>
        <v>0</v>
      </c>
      <c r="H149" s="17">
        <f t="shared" si="19"/>
        <v>0</v>
      </c>
      <c r="I149" s="17">
        <f t="shared" si="19"/>
        <v>0</v>
      </c>
      <c r="J149" s="17">
        <f t="shared" si="19"/>
        <v>0</v>
      </c>
      <c r="K149" s="17">
        <f t="shared" si="19"/>
        <v>0</v>
      </c>
    </row>
    <row r="150" spans="1:11" ht="18" customHeight="1">
      <c r="A150" s="4" t="s">
        <v>185</v>
      </c>
      <c r="B150" s="1" t="s">
        <v>186</v>
      </c>
      <c r="F150" s="33" t="s">
        <v>73</v>
      </c>
      <c r="G150" s="33" t="s">
        <v>73</v>
      </c>
      <c r="H150" s="17">
        <f>H18</f>
        <v>0</v>
      </c>
      <c r="I150" s="17">
        <f>I18</f>
        <v>0</v>
      </c>
      <c r="J150" s="17">
        <f>J18</f>
        <v>0</v>
      </c>
      <c r="K150" s="17">
        <f>K18</f>
        <v>0</v>
      </c>
    </row>
    <row r="151" spans="1:11" ht="18" customHeight="1">
      <c r="B151" s="1"/>
      <c r="F151" s="38"/>
      <c r="G151" s="38"/>
      <c r="H151" s="38"/>
      <c r="I151" s="38"/>
      <c r="J151" s="38"/>
      <c r="K151" s="38"/>
    </row>
    <row r="152" spans="1:11" ht="18" customHeight="1">
      <c r="A152" s="5" t="s">
        <v>165</v>
      </c>
      <c r="B152" s="1" t="s">
        <v>26</v>
      </c>
      <c r="F152" s="39">
        <f t="shared" ref="F152:K152" si="20">SUM(F141:F150)</f>
        <v>27413.519442441975</v>
      </c>
      <c r="G152" s="39">
        <f t="shared" si="20"/>
        <v>2081.2676927061952</v>
      </c>
      <c r="H152" s="39">
        <f t="shared" si="20"/>
        <v>1547439.5932682564</v>
      </c>
      <c r="I152" s="39">
        <f t="shared" si="20"/>
        <v>409917.34321138245</v>
      </c>
      <c r="J152" s="39">
        <f t="shared" si="20"/>
        <v>74858.251573749993</v>
      </c>
      <c r="K152" s="39">
        <f t="shared" si="20"/>
        <v>3968899.0849058889</v>
      </c>
    </row>
    <row r="154" spans="1:11" ht="18" customHeight="1">
      <c r="A154" s="5" t="s">
        <v>168</v>
      </c>
      <c r="B154" s="1" t="s">
        <v>28</v>
      </c>
      <c r="F154" s="53">
        <f>K152/F121</f>
        <v>0.1118462218477857</v>
      </c>
    </row>
    <row r="155" spans="1:11" ht="18" customHeight="1">
      <c r="A155" s="5" t="s">
        <v>169</v>
      </c>
      <c r="B155" s="1" t="s">
        <v>72</v>
      </c>
      <c r="F155" s="53">
        <f>K152/F127</f>
        <v>-1.0599987033196481</v>
      </c>
      <c r="G155" s="1"/>
    </row>
    <row r="156" spans="1:11" ht="18" customHeight="1">
      <c r="G156" s="1"/>
    </row>
  </sheetData>
  <sheetProtection algorithmName="SHA-512" hashValue="iVvdvBFvLJrCQayOzWBOnlmmkvSOlg0vsuWfxw4ykvUWsRMIU69Eos4F9LU4n3blGdfrud4L5z60Zw6vfmvLvQ==" saltValue="dNfDTr1s26G+Dg2uXX89nw==" spinCount="100000" sheet="1" objects="1" scenarios="1"/>
  <mergeCells count="34">
    <mergeCell ref="B134:D134"/>
    <mergeCell ref="B135:D135"/>
    <mergeCell ref="B133:D133"/>
    <mergeCell ref="B104:D104"/>
    <mergeCell ref="B105:D105"/>
    <mergeCell ref="B106:D106"/>
    <mergeCell ref="B62:D62"/>
    <mergeCell ref="B31:D31"/>
    <mergeCell ref="B103:C103"/>
    <mergeCell ref="B96:D96"/>
    <mergeCell ref="B95:D95"/>
    <mergeCell ref="B57:D57"/>
    <mergeCell ref="B94:D94"/>
    <mergeCell ref="B52:C52"/>
    <mergeCell ref="B90:C90"/>
    <mergeCell ref="B53:D53"/>
    <mergeCell ref="B55:D55"/>
    <mergeCell ref="B56:D56"/>
    <mergeCell ref="B59:D59"/>
    <mergeCell ref="D2:H2"/>
    <mergeCell ref="B45:D45"/>
    <mergeCell ref="B46:D46"/>
    <mergeCell ref="B47:D47"/>
    <mergeCell ref="B34:D34"/>
    <mergeCell ref="C11:G11"/>
    <mergeCell ref="B41:C41"/>
    <mergeCell ref="B44:D44"/>
    <mergeCell ref="B13:H13"/>
    <mergeCell ref="C5:G5"/>
    <mergeCell ref="C6:G6"/>
    <mergeCell ref="C7:G7"/>
    <mergeCell ref="C9:G9"/>
    <mergeCell ref="C10:G10"/>
    <mergeCell ref="B30:D30"/>
  </mergeCells>
  <hyperlinks>
    <hyperlink ref="C11" r:id="rId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dimension ref="A1:K156"/>
  <sheetViews>
    <sheetView showGridLines="0" zoomScale="80" zoomScaleNormal="80" zoomScaleSheetLayoutView="70" workbookViewId="0">
      <selection activeCell="K152" sqref="K152"/>
    </sheetView>
  </sheetViews>
  <sheetFormatPr defaultRowHeight="18" customHeight="1"/>
  <cols>
    <col min="1" max="1" width="8.28515625" style="7" customWidth="1"/>
    <col min="2" max="2" width="55.42578125" bestFit="1" customWidth="1"/>
    <col min="3" max="3" width="9.5703125" customWidth="1"/>
    <col min="5" max="5" width="12.42578125" customWidth="1"/>
    <col min="6" max="6" width="18.5703125" customWidth="1"/>
    <col min="7" max="7" width="23.5703125" customWidth="1"/>
    <col min="8" max="8" width="17.140625" customWidth="1"/>
    <col min="9" max="9" width="21.140625" customWidth="1"/>
    <col min="10" max="10" width="19.85546875" customWidth="1"/>
    <col min="11" max="11" width="17.5703125" customWidth="1"/>
  </cols>
  <sheetData>
    <row r="1" spans="1:11" ht="18" customHeight="1">
      <c r="C1" s="3"/>
      <c r="D1" s="2"/>
      <c r="E1" s="3"/>
      <c r="F1" s="3"/>
      <c r="G1" s="3"/>
      <c r="H1" s="3"/>
      <c r="I1" s="3"/>
      <c r="J1" s="3"/>
      <c r="K1" s="3"/>
    </row>
    <row r="2" spans="1:11" ht="18" customHeight="1">
      <c r="D2" s="940" t="s">
        <v>713</v>
      </c>
      <c r="E2" s="941"/>
      <c r="F2" s="941"/>
      <c r="G2" s="941"/>
      <c r="H2" s="941"/>
    </row>
    <row r="3" spans="1:11" ht="18" customHeight="1">
      <c r="B3" s="1" t="s">
        <v>0</v>
      </c>
    </row>
    <row r="5" spans="1:11" ht="18" customHeight="1">
      <c r="B5" s="4" t="s">
        <v>40</v>
      </c>
      <c r="C5" s="975" t="s">
        <v>899</v>
      </c>
      <c r="D5" s="954"/>
      <c r="E5" s="954"/>
      <c r="F5" s="954"/>
      <c r="G5" s="1129"/>
    </row>
    <row r="6" spans="1:11" ht="18" customHeight="1">
      <c r="B6" s="4" t="s">
        <v>3</v>
      </c>
      <c r="C6" s="976">
        <v>3478</v>
      </c>
      <c r="D6" s="946"/>
      <c r="E6" s="946"/>
      <c r="F6" s="946"/>
      <c r="G6" s="947"/>
    </row>
    <row r="7" spans="1:11" ht="18" customHeight="1">
      <c r="B7" s="4" t="s">
        <v>4</v>
      </c>
      <c r="C7" s="948">
        <v>120</v>
      </c>
      <c r="D7" s="949"/>
      <c r="E7" s="949"/>
      <c r="F7" s="949"/>
      <c r="G7" s="950"/>
    </row>
    <row r="9" spans="1:11" ht="18" customHeight="1">
      <c r="B9" s="4" t="s">
        <v>1</v>
      </c>
      <c r="C9" s="917" t="s">
        <v>188</v>
      </c>
      <c r="D9" s="918"/>
      <c r="E9" s="918"/>
      <c r="F9" s="918"/>
      <c r="G9" s="919"/>
    </row>
    <row r="10" spans="1:11" ht="18" customHeight="1">
      <c r="B10" s="4" t="s">
        <v>2</v>
      </c>
      <c r="C10" s="980" t="s">
        <v>189</v>
      </c>
      <c r="D10" s="927"/>
      <c r="E10" s="927"/>
      <c r="F10" s="927"/>
      <c r="G10" s="928"/>
    </row>
    <row r="11" spans="1:11" ht="18" customHeight="1">
      <c r="B11" s="4" t="s">
        <v>32</v>
      </c>
      <c r="C11" s="980" t="s">
        <v>190</v>
      </c>
      <c r="D11" s="927"/>
      <c r="E11" s="927"/>
      <c r="F11" s="927"/>
      <c r="G11" s="928"/>
    </row>
    <row r="12" spans="1:11" ht="18" customHeight="1">
      <c r="B12" s="4"/>
      <c r="C12" s="4"/>
      <c r="D12" s="4"/>
      <c r="E12" s="4"/>
      <c r="F12" s="4"/>
      <c r="G12" s="4"/>
    </row>
    <row r="13" spans="1:11" ht="24.6" customHeight="1">
      <c r="B13" s="955"/>
      <c r="C13" s="956"/>
      <c r="D13" s="956"/>
      <c r="E13" s="956"/>
      <c r="F13" s="956"/>
      <c r="G13" s="956"/>
      <c r="H13" s="957"/>
      <c r="I13" s="3"/>
    </row>
    <row r="14" spans="1:11" ht="18" customHeight="1">
      <c r="B14" s="6"/>
    </row>
    <row r="15" spans="1:11" ht="18" customHeight="1">
      <c r="B15" s="6"/>
    </row>
    <row r="16" spans="1:11" ht="45" customHeight="1">
      <c r="A16" s="2" t="s">
        <v>181</v>
      </c>
      <c r="B16" s="3"/>
      <c r="C16" s="3"/>
      <c r="D16" s="3"/>
      <c r="E16" s="3"/>
      <c r="F16" s="8" t="s">
        <v>9</v>
      </c>
      <c r="G16" s="8" t="s">
        <v>37</v>
      </c>
      <c r="H16" s="8" t="s">
        <v>29</v>
      </c>
      <c r="I16" s="8" t="s">
        <v>30</v>
      </c>
      <c r="J16" s="8" t="s">
        <v>33</v>
      </c>
      <c r="K16" s="8" t="s">
        <v>34</v>
      </c>
    </row>
    <row r="17" spans="1:11" ht="18" customHeight="1">
      <c r="A17" s="5" t="s">
        <v>184</v>
      </c>
      <c r="B17" s="1" t="s">
        <v>182</v>
      </c>
    </row>
    <row r="18" spans="1:11" ht="18" customHeight="1">
      <c r="A18" s="4" t="s">
        <v>185</v>
      </c>
      <c r="B18" s="257" t="s">
        <v>183</v>
      </c>
      <c r="F18" s="13" t="s">
        <v>73</v>
      </c>
      <c r="G18" s="13" t="s">
        <v>73</v>
      </c>
      <c r="H18" s="14"/>
      <c r="I18" s="40">
        <v>0</v>
      </c>
      <c r="J18" s="14"/>
      <c r="K18" s="15">
        <f>(H18+I18)-J18</f>
        <v>0</v>
      </c>
    </row>
    <row r="19" spans="1:11" ht="45" customHeight="1">
      <c r="A19" s="2" t="s">
        <v>8</v>
      </c>
      <c r="B19" s="3"/>
      <c r="C19" s="3"/>
      <c r="D19" s="3"/>
      <c r="E19" s="3"/>
      <c r="F19" s="8" t="s">
        <v>9</v>
      </c>
      <c r="G19" s="8" t="s">
        <v>37</v>
      </c>
      <c r="H19" s="8" t="s">
        <v>29</v>
      </c>
      <c r="I19" s="8" t="s">
        <v>30</v>
      </c>
      <c r="J19" s="8" t="s">
        <v>33</v>
      </c>
      <c r="K19" s="8" t="s">
        <v>34</v>
      </c>
    </row>
    <row r="20" spans="1:11" ht="18" customHeight="1">
      <c r="A20" s="5" t="s">
        <v>74</v>
      </c>
      <c r="B20" s="1" t="s">
        <v>41</v>
      </c>
    </row>
    <row r="21" spans="1:11" ht="18" customHeight="1">
      <c r="A21" s="4" t="s">
        <v>75</v>
      </c>
      <c r="B21" s="257" t="s">
        <v>42</v>
      </c>
      <c r="F21" s="13"/>
      <c r="G21" s="13"/>
      <c r="H21" s="14">
        <f>'[13]CB Master List - FY15&amp;FY14'!$BT$34</f>
        <v>13807.560433901761</v>
      </c>
      <c r="I21" s="40">
        <f>'[13]CB Master List - FY15&amp;FY14'!$BU$34</f>
        <v>15958.782299756198</v>
      </c>
      <c r="J21" s="14">
        <f>'[13]CB Master List - FY15&amp;FY14'!$BV$34</f>
        <v>1276.5683000000001</v>
      </c>
      <c r="K21" s="15">
        <f t="shared" ref="K21:K34" si="0">(H21+I21)-J21</f>
        <v>28489.77443365796</v>
      </c>
    </row>
    <row r="22" spans="1:11" ht="18" customHeight="1">
      <c r="A22" s="4" t="s">
        <v>76</v>
      </c>
      <c r="B22" t="s">
        <v>6</v>
      </c>
      <c r="F22" s="13"/>
      <c r="G22" s="13"/>
      <c r="H22" s="14">
        <f>'[13]CB Master List - FY15&amp;FY14'!$BT$47</f>
        <v>532.39821039999993</v>
      </c>
      <c r="I22" s="40">
        <f>'[13]CB Master List - FY15&amp;FY14'!$BU$47</f>
        <v>615.34600389595846</v>
      </c>
      <c r="J22" s="14">
        <f>'[13]CB Master List - FY15&amp;FY14'!$BV$47</f>
        <v>39.555319999999995</v>
      </c>
      <c r="K22" s="15">
        <f t="shared" si="0"/>
        <v>1108.1888942959586</v>
      </c>
    </row>
    <row r="23" spans="1:11" ht="18" customHeight="1">
      <c r="A23" s="4" t="s">
        <v>77</v>
      </c>
      <c r="B23" t="s">
        <v>43</v>
      </c>
      <c r="F23" s="13"/>
      <c r="G23" s="13"/>
      <c r="H23" s="14">
        <f>'[13]CB Master List - FY15&amp;FY14'!$BT$50</f>
        <v>398.41751375999996</v>
      </c>
      <c r="I23" s="40">
        <f>'[13]CB Master List - FY15&amp;FY14'!$BU$50</f>
        <v>460.49107638844731</v>
      </c>
      <c r="J23" s="14">
        <f>'[13]CB Master List - FY15&amp;FY14'!$BV$50</f>
        <v>0</v>
      </c>
      <c r="K23" s="15">
        <f t="shared" si="0"/>
        <v>858.90859014844727</v>
      </c>
    </row>
    <row r="24" spans="1:11" ht="18" customHeight="1">
      <c r="A24" s="4" t="s">
        <v>78</v>
      </c>
      <c r="B24" t="s">
        <v>44</v>
      </c>
      <c r="F24" s="13"/>
      <c r="G24" s="13"/>
      <c r="H24" s="14">
        <f>'[13]CB Master List - FY15&amp;FY14'!$BT$56</f>
        <v>482.9207406104905</v>
      </c>
      <c r="I24" s="40">
        <f>'[13]CB Master List - FY15&amp;FY14'!$BU$56</f>
        <v>558.15993015806362</v>
      </c>
      <c r="J24" s="14">
        <f>'[13]CB Master List - FY15&amp;FY14'!$BV$56</f>
        <v>0</v>
      </c>
      <c r="K24" s="15">
        <f t="shared" si="0"/>
        <v>1041.0806707685542</v>
      </c>
    </row>
    <row r="25" spans="1:11" ht="18" customHeight="1">
      <c r="A25" s="4" t="s">
        <v>79</v>
      </c>
      <c r="B25" t="s">
        <v>5</v>
      </c>
      <c r="F25" s="13"/>
      <c r="G25" s="13"/>
      <c r="H25" s="14">
        <f>'[13]CB Master List - FY15&amp;FY14'!$BT$67</f>
        <v>6073.1798948800006</v>
      </c>
      <c r="I25" s="40">
        <f>'[13]CB Master List - FY15&amp;FY14'!$BU$67</f>
        <v>7019.3830599992662</v>
      </c>
      <c r="J25" s="14">
        <f>'[13]CB Master List - FY15&amp;FY14'!$BV$67</f>
        <v>533.76663200000007</v>
      </c>
      <c r="K25" s="15">
        <f t="shared" si="0"/>
        <v>12558.796322879267</v>
      </c>
    </row>
    <row r="26" spans="1:11" ht="18" customHeight="1">
      <c r="A26" s="4" t="s">
        <v>80</v>
      </c>
      <c r="B26" t="s">
        <v>45</v>
      </c>
      <c r="F26" s="13"/>
      <c r="G26" s="13"/>
      <c r="H26" s="14"/>
      <c r="I26" s="40">
        <f t="shared" ref="I26:I34" si="1">H26*F$114</f>
        <v>0</v>
      </c>
      <c r="J26" s="14"/>
      <c r="K26" s="15">
        <f t="shared" si="0"/>
        <v>0</v>
      </c>
    </row>
    <row r="27" spans="1:11" ht="18" customHeight="1">
      <c r="A27" s="4" t="s">
        <v>81</v>
      </c>
      <c r="B27" t="s">
        <v>46</v>
      </c>
      <c r="F27" s="13"/>
      <c r="G27" s="13"/>
      <c r="H27" s="14"/>
      <c r="I27" s="40">
        <f>H27*F$114</f>
        <v>0</v>
      </c>
      <c r="J27" s="14"/>
      <c r="K27" s="15">
        <f t="shared" si="0"/>
        <v>0</v>
      </c>
    </row>
    <row r="28" spans="1:11" ht="18" customHeight="1">
      <c r="A28" s="4" t="s">
        <v>82</v>
      </c>
      <c r="B28" t="s">
        <v>47</v>
      </c>
      <c r="F28" s="13"/>
      <c r="G28" s="13"/>
      <c r="H28" s="14"/>
      <c r="I28" s="40">
        <f t="shared" si="1"/>
        <v>0</v>
      </c>
      <c r="J28" s="14"/>
      <c r="K28" s="15">
        <f t="shared" si="0"/>
        <v>0</v>
      </c>
    </row>
    <row r="29" spans="1:11" ht="18" customHeight="1">
      <c r="A29" s="4" t="s">
        <v>83</v>
      </c>
      <c r="B29" t="s">
        <v>48</v>
      </c>
      <c r="F29" s="13"/>
      <c r="G29" s="13"/>
      <c r="H29" s="14">
        <f>'[13]CB Master List - FY15&amp;FY14'!$BT$89</f>
        <v>92.348930239999987</v>
      </c>
      <c r="I29" s="40">
        <f>'[13]CB Master List - FY15&amp;FY14'!$BU$89</f>
        <v>106.73691999181565</v>
      </c>
      <c r="J29" s="14">
        <f>'[13]CB Master List - FY15&amp;FY14'!$BV$89</f>
        <v>16.390080000000001</v>
      </c>
      <c r="K29" s="15">
        <f t="shared" si="0"/>
        <v>182.69577023181563</v>
      </c>
    </row>
    <row r="30" spans="1:11" ht="18" customHeight="1">
      <c r="A30" s="4" t="s">
        <v>84</v>
      </c>
      <c r="B30" s="649" t="s">
        <v>197</v>
      </c>
      <c r="C30" s="650"/>
      <c r="D30" s="648"/>
      <c r="F30" s="13"/>
      <c r="G30" s="13"/>
      <c r="H30" s="14">
        <f>'[13]CB Master List - FY15&amp;FY14'!$BT$98</f>
        <v>667.80652802545887</v>
      </c>
      <c r="I30" s="40">
        <f>'[13]CB Master List - FY15&amp;FY14'!$BU$98</f>
        <v>771.85097614689607</v>
      </c>
      <c r="J30" s="14">
        <f>'[13]CB Master List - FY15&amp;FY14'!$BV$98</f>
        <v>50.899408000000008</v>
      </c>
      <c r="K30" s="15">
        <f t="shared" si="0"/>
        <v>1388.758096172355</v>
      </c>
    </row>
    <row r="31" spans="1:11" ht="18" customHeight="1">
      <c r="A31" s="4" t="s">
        <v>133</v>
      </c>
      <c r="B31" s="893"/>
      <c r="C31" s="894"/>
      <c r="D31" s="895"/>
      <c r="F31" s="13"/>
      <c r="G31" s="13"/>
      <c r="H31" s="14"/>
      <c r="I31" s="40">
        <f t="shared" si="1"/>
        <v>0</v>
      </c>
      <c r="J31" s="14"/>
      <c r="K31" s="15">
        <f t="shared" si="0"/>
        <v>0</v>
      </c>
    </row>
    <row r="32" spans="1:11" ht="18" customHeight="1">
      <c r="A32" s="4" t="s">
        <v>134</v>
      </c>
      <c r="B32" s="644"/>
      <c r="C32" s="645"/>
      <c r="D32" s="646"/>
      <c r="F32" s="13"/>
      <c r="G32" s="258"/>
      <c r="H32" s="14"/>
      <c r="I32" s="40">
        <f t="shared" si="1"/>
        <v>0</v>
      </c>
      <c r="J32" s="14"/>
      <c r="K32" s="15">
        <f t="shared" si="0"/>
        <v>0</v>
      </c>
    </row>
    <row r="33" spans="1:11" ht="18" customHeight="1">
      <c r="A33" s="4" t="s">
        <v>135</v>
      </c>
      <c r="B33" s="644"/>
      <c r="C33" s="645"/>
      <c r="D33" s="646"/>
      <c r="F33" s="13"/>
      <c r="G33" s="258" t="s">
        <v>85</v>
      </c>
      <c r="H33" s="14"/>
      <c r="I33" s="40">
        <f t="shared" si="1"/>
        <v>0</v>
      </c>
      <c r="J33" s="14"/>
      <c r="K33" s="15">
        <f t="shared" si="0"/>
        <v>0</v>
      </c>
    </row>
    <row r="34" spans="1:11" ht="18" customHeight="1">
      <c r="A34" s="4" t="s">
        <v>136</v>
      </c>
      <c r="B34" s="893"/>
      <c r="C34" s="894"/>
      <c r="D34" s="895"/>
      <c r="F34" s="13"/>
      <c r="G34" s="258" t="s">
        <v>85</v>
      </c>
      <c r="H34" s="14"/>
      <c r="I34" s="40">
        <f t="shared" si="1"/>
        <v>0</v>
      </c>
      <c r="J34" s="14"/>
      <c r="K34" s="15">
        <f t="shared" si="0"/>
        <v>0</v>
      </c>
    </row>
    <row r="35" spans="1:11" ht="18" customHeight="1">
      <c r="K35" s="35"/>
    </row>
    <row r="36" spans="1:11" ht="18" customHeight="1">
      <c r="A36" s="5" t="s">
        <v>137</v>
      </c>
      <c r="B36" s="1" t="s">
        <v>138</v>
      </c>
      <c r="E36" s="1" t="s">
        <v>7</v>
      </c>
      <c r="F36" s="17">
        <f t="shared" ref="F36:K36" si="2">SUM(F21:F34)</f>
        <v>0</v>
      </c>
      <c r="G36" s="17">
        <f t="shared" si="2"/>
        <v>0</v>
      </c>
      <c r="H36" s="17">
        <f t="shared" si="2"/>
        <v>22054.632251817715</v>
      </c>
      <c r="I36" s="15">
        <f t="shared" si="2"/>
        <v>25490.750266336643</v>
      </c>
      <c r="J36" s="15">
        <f t="shared" si="2"/>
        <v>1917.17974</v>
      </c>
      <c r="K36" s="15">
        <f t="shared" si="2"/>
        <v>45628.202778154366</v>
      </c>
    </row>
    <row r="37" spans="1:11" ht="18" customHeight="1" thickBot="1">
      <c r="B37" s="1"/>
      <c r="F37" s="18"/>
      <c r="G37" s="18"/>
      <c r="H37" s="19"/>
      <c r="I37" s="19"/>
      <c r="J37" s="19"/>
      <c r="K37" s="36"/>
    </row>
    <row r="38" spans="1:11" ht="42.75" customHeight="1">
      <c r="F38" s="8" t="s">
        <v>9</v>
      </c>
      <c r="G38" s="8" t="s">
        <v>37</v>
      </c>
      <c r="H38" s="8" t="s">
        <v>29</v>
      </c>
      <c r="I38" s="8" t="s">
        <v>30</v>
      </c>
      <c r="J38" s="8" t="s">
        <v>33</v>
      </c>
      <c r="K38" s="8" t="s">
        <v>34</v>
      </c>
    </row>
    <row r="39" spans="1:11" ht="18.75" customHeight="1">
      <c r="A39" s="5" t="s">
        <v>86</v>
      </c>
      <c r="B39" s="1" t="s">
        <v>49</v>
      </c>
    </row>
    <row r="40" spans="1:11" ht="18" customHeight="1">
      <c r="A40" s="4" t="s">
        <v>87</v>
      </c>
      <c r="B40" t="s">
        <v>31</v>
      </c>
      <c r="F40" s="13"/>
      <c r="G40" s="13"/>
      <c r="H40" s="14"/>
      <c r="I40" s="40">
        <v>0</v>
      </c>
      <c r="J40" s="14"/>
      <c r="K40" s="15">
        <f t="shared" ref="K40:K47" si="3">(H40+I40)-J40</f>
        <v>0</v>
      </c>
    </row>
    <row r="41" spans="1:11" ht="18" customHeight="1">
      <c r="A41" s="4" t="s">
        <v>88</v>
      </c>
      <c r="B41" s="931" t="s">
        <v>50</v>
      </c>
      <c r="C41" s="939"/>
      <c r="F41" s="13"/>
      <c r="G41" s="13"/>
      <c r="H41" s="14"/>
      <c r="I41" s="40">
        <v>0</v>
      </c>
      <c r="J41" s="14"/>
      <c r="K41" s="15">
        <f t="shared" si="3"/>
        <v>0</v>
      </c>
    </row>
    <row r="42" spans="1:11" ht="18" customHeight="1">
      <c r="A42" s="4" t="s">
        <v>89</v>
      </c>
      <c r="B42" s="257" t="s">
        <v>11</v>
      </c>
      <c r="F42" s="13"/>
      <c r="G42" s="13"/>
      <c r="H42" s="14">
        <f>'[13]CB Master List - FY15&amp;FY14'!$BT$130</f>
        <v>748.22194720000005</v>
      </c>
      <c r="I42" s="40">
        <f>'[13]CB Master List - FY15&amp;FY14'!$BU$130</f>
        <v>0</v>
      </c>
      <c r="J42" s="14">
        <f>'[13]CB Master List - FY15&amp;FY14'!$BV$130</f>
        <v>6.7697167999999994</v>
      </c>
      <c r="K42" s="15">
        <f t="shared" si="3"/>
        <v>741.45223040000008</v>
      </c>
    </row>
    <row r="43" spans="1:11" ht="18" customHeight="1">
      <c r="A43" s="4" t="s">
        <v>90</v>
      </c>
      <c r="B43" s="259" t="s">
        <v>10</v>
      </c>
      <c r="C43" s="9"/>
      <c r="D43" s="9"/>
      <c r="F43" s="13"/>
      <c r="G43" s="13"/>
      <c r="H43" s="14"/>
      <c r="I43" s="40">
        <v>0</v>
      </c>
      <c r="J43" s="14"/>
      <c r="K43" s="15">
        <f t="shared" si="3"/>
        <v>0</v>
      </c>
    </row>
    <row r="44" spans="1:11" ht="18" customHeight="1">
      <c r="A44" s="4" t="s">
        <v>91</v>
      </c>
      <c r="B44" s="893"/>
      <c r="C44" s="894"/>
      <c r="D44" s="895"/>
      <c r="F44" s="43"/>
      <c r="G44" s="43"/>
      <c r="H44" s="43"/>
      <c r="I44" s="44">
        <v>0</v>
      </c>
      <c r="J44" s="43"/>
      <c r="K44" s="45">
        <f t="shared" si="3"/>
        <v>0</v>
      </c>
    </row>
    <row r="45" spans="1:11" ht="18" customHeight="1">
      <c r="A45" s="4" t="s">
        <v>139</v>
      </c>
      <c r="B45" s="893"/>
      <c r="C45" s="894"/>
      <c r="D45" s="895"/>
      <c r="F45" s="13"/>
      <c r="G45" s="13"/>
      <c r="H45" s="14"/>
      <c r="I45" s="40">
        <v>0</v>
      </c>
      <c r="J45" s="14"/>
      <c r="K45" s="15">
        <f t="shared" si="3"/>
        <v>0</v>
      </c>
    </row>
    <row r="46" spans="1:11" ht="18" customHeight="1">
      <c r="A46" s="4" t="s">
        <v>140</v>
      </c>
      <c r="B46" s="893"/>
      <c r="C46" s="894"/>
      <c r="D46" s="895"/>
      <c r="F46" s="13"/>
      <c r="G46" s="13"/>
      <c r="H46" s="14"/>
      <c r="I46" s="40">
        <v>0</v>
      </c>
      <c r="J46" s="14"/>
      <c r="K46" s="15">
        <f t="shared" si="3"/>
        <v>0</v>
      </c>
    </row>
    <row r="47" spans="1:11" ht="18" customHeight="1">
      <c r="A47" s="4" t="s">
        <v>141</v>
      </c>
      <c r="B47" s="893"/>
      <c r="C47" s="894"/>
      <c r="D47" s="895"/>
      <c r="F47" s="13"/>
      <c r="G47" s="13"/>
      <c r="H47" s="14"/>
      <c r="I47" s="40">
        <v>0</v>
      </c>
      <c r="J47" s="14"/>
      <c r="K47" s="15">
        <f t="shared" si="3"/>
        <v>0</v>
      </c>
    </row>
    <row r="49" spans="1:11" ht="18" customHeight="1">
      <c r="A49" s="5" t="s">
        <v>142</v>
      </c>
      <c r="B49" s="1" t="s">
        <v>143</v>
      </c>
      <c r="E49" s="1" t="s">
        <v>7</v>
      </c>
      <c r="F49" s="22">
        <f t="shared" ref="F49:K49" si="4">SUM(F40:F47)</f>
        <v>0</v>
      </c>
      <c r="G49" s="22">
        <f t="shared" si="4"/>
        <v>0</v>
      </c>
      <c r="H49" s="15">
        <f t="shared" si="4"/>
        <v>748.22194720000005</v>
      </c>
      <c r="I49" s="15">
        <f t="shared" si="4"/>
        <v>0</v>
      </c>
      <c r="J49" s="15">
        <f t="shared" si="4"/>
        <v>6.7697167999999994</v>
      </c>
      <c r="K49" s="15">
        <f t="shared" si="4"/>
        <v>741.45223040000008</v>
      </c>
    </row>
    <row r="50" spans="1:11" ht="18" customHeight="1" thickBot="1">
      <c r="G50" s="23"/>
      <c r="H50" s="23"/>
      <c r="I50" s="23"/>
      <c r="J50" s="23"/>
      <c r="K50" s="23"/>
    </row>
    <row r="51" spans="1:11" ht="42.75" customHeight="1">
      <c r="F51" s="8" t="s">
        <v>9</v>
      </c>
      <c r="G51" s="8" t="s">
        <v>37</v>
      </c>
      <c r="H51" s="8" t="s">
        <v>29</v>
      </c>
      <c r="I51" s="8" t="s">
        <v>30</v>
      </c>
      <c r="J51" s="8" t="s">
        <v>33</v>
      </c>
      <c r="K51" s="8" t="s">
        <v>34</v>
      </c>
    </row>
    <row r="52" spans="1:11" ht="18" customHeight="1">
      <c r="A52" s="5" t="s">
        <v>92</v>
      </c>
      <c r="B52" s="935" t="s">
        <v>38</v>
      </c>
      <c r="C52" s="936"/>
    </row>
    <row r="53" spans="1:11" ht="18" customHeight="1">
      <c r="A53" s="4" t="s">
        <v>51</v>
      </c>
      <c r="B53" s="937"/>
      <c r="C53" s="938"/>
      <c r="D53" s="934"/>
      <c r="F53" s="13"/>
      <c r="G53" s="13"/>
      <c r="H53" s="14"/>
      <c r="I53" s="40">
        <v>0</v>
      </c>
      <c r="J53" s="14"/>
      <c r="K53" s="15">
        <f t="shared" ref="K53:K62" si="5">(H53+I53)-J53</f>
        <v>0</v>
      </c>
    </row>
    <row r="54" spans="1:11" ht="18" customHeight="1">
      <c r="A54" s="4" t="s">
        <v>93</v>
      </c>
      <c r="B54" s="649" t="s">
        <v>192</v>
      </c>
      <c r="C54" s="650"/>
      <c r="D54" s="648"/>
      <c r="F54" s="13"/>
      <c r="G54" s="13"/>
      <c r="H54" s="14">
        <f>'[13]CB Master List - FY15&amp;FY14'!$BT$155</f>
        <v>486698.96219067962</v>
      </c>
      <c r="I54" s="40">
        <f>'[13]CB Master List - FY15&amp;FY14'!$BU$155</f>
        <v>0</v>
      </c>
      <c r="J54" s="14">
        <f>'[13]CB Master List - FY15&amp;FY14'!$BV$155</f>
        <v>0</v>
      </c>
      <c r="K54" s="15">
        <f t="shared" si="5"/>
        <v>486698.96219067962</v>
      </c>
    </row>
    <row r="55" spans="1:11" ht="18" customHeight="1">
      <c r="A55" s="4" t="s">
        <v>94</v>
      </c>
      <c r="B55" s="932"/>
      <c r="C55" s="933"/>
      <c r="D55" s="934"/>
      <c r="F55" s="13"/>
      <c r="G55" s="13"/>
      <c r="H55" s="14"/>
      <c r="I55" s="40">
        <v>0</v>
      </c>
      <c r="J55" s="14"/>
      <c r="K55" s="15">
        <f t="shared" si="5"/>
        <v>0</v>
      </c>
    </row>
    <row r="56" spans="1:11" ht="18" customHeight="1">
      <c r="A56" s="4" t="s">
        <v>95</v>
      </c>
      <c r="B56" s="932"/>
      <c r="C56" s="933"/>
      <c r="D56" s="934"/>
      <c r="F56" s="13"/>
      <c r="G56" s="13"/>
      <c r="H56" s="14"/>
      <c r="I56" s="40">
        <v>0</v>
      </c>
      <c r="J56" s="14"/>
      <c r="K56" s="15">
        <f t="shared" si="5"/>
        <v>0</v>
      </c>
    </row>
    <row r="57" spans="1:11" ht="18" customHeight="1">
      <c r="A57" s="4" t="s">
        <v>96</v>
      </c>
      <c r="B57" s="932" t="s">
        <v>195</v>
      </c>
      <c r="C57" s="933"/>
      <c r="D57" s="934"/>
      <c r="F57" s="13"/>
      <c r="G57" s="13"/>
      <c r="H57" s="14">
        <f>'[13]CB Master List - FY15&amp;FY14'!$BT$166</f>
        <v>239333.64</v>
      </c>
      <c r="I57" s="40">
        <f>'[13]CB Master List - FY15&amp;FY14'!$BU$166</f>
        <v>0</v>
      </c>
      <c r="J57" s="14">
        <f>'[13]CB Master List - FY15&amp;FY14'!$BV$166</f>
        <v>0</v>
      </c>
      <c r="K57" s="15">
        <f t="shared" si="5"/>
        <v>239333.64</v>
      </c>
    </row>
    <row r="58" spans="1:11" ht="18" customHeight="1">
      <c r="A58" s="4" t="s">
        <v>97</v>
      </c>
      <c r="B58" s="649"/>
      <c r="C58" s="650"/>
      <c r="D58" s="648"/>
      <c r="F58" s="13"/>
      <c r="G58" s="13"/>
      <c r="H58" s="14"/>
      <c r="I58" s="40">
        <v>0</v>
      </c>
      <c r="J58" s="14"/>
      <c r="K58" s="15">
        <f t="shared" si="5"/>
        <v>0</v>
      </c>
    </row>
    <row r="59" spans="1:11" ht="18" customHeight="1">
      <c r="A59" s="4" t="s">
        <v>98</v>
      </c>
      <c r="B59" s="932"/>
      <c r="C59" s="933"/>
      <c r="D59" s="934"/>
      <c r="F59" s="13"/>
      <c r="G59" s="13"/>
      <c r="H59" s="14"/>
      <c r="I59" s="40">
        <v>0</v>
      </c>
      <c r="J59" s="14"/>
      <c r="K59" s="15">
        <f t="shared" si="5"/>
        <v>0</v>
      </c>
    </row>
    <row r="60" spans="1:11" ht="18" customHeight="1">
      <c r="A60" s="4" t="s">
        <v>99</v>
      </c>
      <c r="B60" s="649"/>
      <c r="C60" s="650"/>
      <c r="D60" s="648"/>
      <c r="F60" s="13"/>
      <c r="G60" s="13"/>
      <c r="H60" s="14"/>
      <c r="I60" s="40">
        <v>0</v>
      </c>
      <c r="J60" s="14"/>
      <c r="K60" s="15">
        <f t="shared" si="5"/>
        <v>0</v>
      </c>
    </row>
    <row r="61" spans="1:11" ht="18" customHeight="1">
      <c r="A61" s="4" t="s">
        <v>100</v>
      </c>
      <c r="B61" s="649"/>
      <c r="C61" s="650"/>
      <c r="D61" s="648"/>
      <c r="F61" s="13"/>
      <c r="G61" s="13"/>
      <c r="H61" s="14"/>
      <c r="I61" s="40">
        <v>0</v>
      </c>
      <c r="J61" s="14"/>
      <c r="K61" s="15">
        <f t="shared" si="5"/>
        <v>0</v>
      </c>
    </row>
    <row r="62" spans="1:11" ht="18" customHeight="1">
      <c r="A62" s="4" t="s">
        <v>101</v>
      </c>
      <c r="B62" s="932"/>
      <c r="C62" s="933"/>
      <c r="D62" s="934"/>
      <c r="F62" s="13"/>
      <c r="G62" s="13"/>
      <c r="H62" s="14"/>
      <c r="I62" s="40">
        <v>0</v>
      </c>
      <c r="J62" s="14"/>
      <c r="K62" s="15">
        <f t="shared" si="5"/>
        <v>0</v>
      </c>
    </row>
    <row r="63" spans="1:11" ht="18" customHeight="1">
      <c r="A63" s="4"/>
      <c r="I63" s="37"/>
    </row>
    <row r="64" spans="1:11" ht="18" customHeight="1">
      <c r="A64" s="4" t="s">
        <v>144</v>
      </c>
      <c r="B64" s="1" t="s">
        <v>145</v>
      </c>
      <c r="E64" s="1" t="s">
        <v>7</v>
      </c>
      <c r="F64" s="17">
        <f t="shared" ref="F64:K64" si="6">SUM(F53:F62)</f>
        <v>0</v>
      </c>
      <c r="G64" s="17">
        <f t="shared" si="6"/>
        <v>0</v>
      </c>
      <c r="H64" s="15">
        <f t="shared" si="6"/>
        <v>726032.60219067964</v>
      </c>
      <c r="I64" s="15">
        <f t="shared" si="6"/>
        <v>0</v>
      </c>
      <c r="J64" s="15">
        <f t="shared" si="6"/>
        <v>0</v>
      </c>
      <c r="K64" s="15">
        <f t="shared" si="6"/>
        <v>726032.60219067964</v>
      </c>
    </row>
    <row r="65" spans="1:11" ht="18" customHeight="1">
      <c r="F65" s="38"/>
      <c r="G65" s="38"/>
      <c r="H65" s="38"/>
      <c r="I65" s="38"/>
      <c r="J65" s="38"/>
      <c r="K65" s="38"/>
    </row>
    <row r="66" spans="1:11" ht="42.75" customHeight="1">
      <c r="F66" s="46" t="s">
        <v>9</v>
      </c>
      <c r="G66" s="46" t="s">
        <v>37</v>
      </c>
      <c r="H66" s="46" t="s">
        <v>29</v>
      </c>
      <c r="I66" s="46" t="s">
        <v>30</v>
      </c>
      <c r="J66" s="46" t="s">
        <v>33</v>
      </c>
      <c r="K66" s="46" t="s">
        <v>34</v>
      </c>
    </row>
    <row r="67" spans="1:11" ht="18" customHeight="1">
      <c r="A67" s="5" t="s">
        <v>102</v>
      </c>
      <c r="B67" s="1" t="s">
        <v>12</v>
      </c>
      <c r="F67" s="47"/>
      <c r="G67" s="47"/>
      <c r="H67" s="47"/>
      <c r="I67" s="48"/>
      <c r="J67" s="47"/>
      <c r="K67" s="49"/>
    </row>
    <row r="68" spans="1:11" ht="18" customHeight="1">
      <c r="A68" s="4" t="s">
        <v>103</v>
      </c>
      <c r="B68" t="s">
        <v>52</v>
      </c>
      <c r="F68" s="13"/>
      <c r="G68" s="41"/>
      <c r="H68" s="41"/>
      <c r="I68" s="40">
        <v>0</v>
      </c>
      <c r="J68" s="41"/>
      <c r="K68" s="15">
        <f>(H68+I68)-J68</f>
        <v>0</v>
      </c>
    </row>
    <row r="69" spans="1:11" ht="18" customHeight="1">
      <c r="A69" s="4" t="s">
        <v>104</v>
      </c>
      <c r="B69" s="257" t="s">
        <v>53</v>
      </c>
      <c r="F69" s="41"/>
      <c r="G69" s="41"/>
      <c r="H69" s="41"/>
      <c r="I69" s="40">
        <v>0</v>
      </c>
      <c r="J69" s="41"/>
      <c r="K69" s="15">
        <f>(H69+I69)-J69</f>
        <v>0</v>
      </c>
    </row>
    <row r="70" spans="1:11" ht="18" customHeight="1">
      <c r="A70" s="4" t="s">
        <v>178</v>
      </c>
      <c r="B70" s="649"/>
      <c r="C70" s="650"/>
      <c r="D70" s="648"/>
      <c r="E70" s="1"/>
      <c r="F70" s="26"/>
      <c r="G70" s="26"/>
      <c r="H70" s="27"/>
      <c r="I70" s="40">
        <v>0</v>
      </c>
      <c r="J70" s="27"/>
      <c r="K70" s="15">
        <f>(H70+I70)-J70</f>
        <v>0</v>
      </c>
    </row>
    <row r="71" spans="1:11" ht="18" customHeight="1">
      <c r="A71" s="4" t="s">
        <v>179</v>
      </c>
      <c r="B71" s="649"/>
      <c r="C71" s="650"/>
      <c r="D71" s="648"/>
      <c r="E71" s="1"/>
      <c r="F71" s="26"/>
      <c r="G71" s="26"/>
      <c r="H71" s="27"/>
      <c r="I71" s="40">
        <v>0</v>
      </c>
      <c r="J71" s="27"/>
      <c r="K71" s="15">
        <f>(H71+I71)-J71</f>
        <v>0</v>
      </c>
    </row>
    <row r="72" spans="1:11" ht="18" customHeight="1">
      <c r="A72" s="4" t="s">
        <v>180</v>
      </c>
      <c r="B72" s="652"/>
      <c r="C72" s="647"/>
      <c r="D72" s="25"/>
      <c r="E72" s="1"/>
      <c r="F72" s="13"/>
      <c r="G72" s="13"/>
      <c r="H72" s="14"/>
      <c r="I72" s="40">
        <v>0</v>
      </c>
      <c r="J72" s="14"/>
      <c r="K72" s="15">
        <f>(H72+I72)-J72</f>
        <v>0</v>
      </c>
    </row>
    <row r="73" spans="1:11" ht="18" customHeight="1">
      <c r="A73" s="4"/>
      <c r="B73" s="257"/>
      <c r="E73" s="1"/>
      <c r="F73" s="50"/>
      <c r="G73" s="50"/>
      <c r="H73" s="51"/>
      <c r="I73" s="48"/>
      <c r="J73" s="51"/>
      <c r="K73" s="49"/>
    </row>
    <row r="74" spans="1:11" ht="18" customHeight="1">
      <c r="A74" s="5" t="s">
        <v>146</v>
      </c>
      <c r="B74" s="1" t="s">
        <v>147</v>
      </c>
      <c r="E74" s="1" t="s">
        <v>7</v>
      </c>
      <c r="F74" s="20">
        <f t="shared" ref="F74:K74" si="7">SUM(F68:F72)</f>
        <v>0</v>
      </c>
      <c r="G74" s="20">
        <f t="shared" si="7"/>
        <v>0</v>
      </c>
      <c r="H74" s="20">
        <f t="shared" si="7"/>
        <v>0</v>
      </c>
      <c r="I74" s="42">
        <f t="shared" si="7"/>
        <v>0</v>
      </c>
      <c r="J74" s="20">
        <f t="shared" si="7"/>
        <v>0</v>
      </c>
      <c r="K74" s="16">
        <f t="shared" si="7"/>
        <v>0</v>
      </c>
    </row>
    <row r="75" spans="1:11" ht="42.75" customHeight="1">
      <c r="F75" s="8" t="s">
        <v>9</v>
      </c>
      <c r="G75" s="8" t="s">
        <v>37</v>
      </c>
      <c r="H75" s="8" t="s">
        <v>29</v>
      </c>
      <c r="I75" s="8" t="s">
        <v>30</v>
      </c>
      <c r="J75" s="8" t="s">
        <v>33</v>
      </c>
      <c r="K75" s="8" t="s">
        <v>34</v>
      </c>
    </row>
    <row r="76" spans="1:11" ht="18" customHeight="1">
      <c r="A76" s="5" t="s">
        <v>105</v>
      </c>
      <c r="B76" s="1" t="s">
        <v>106</v>
      </c>
    </row>
    <row r="77" spans="1:11" ht="18" customHeight="1">
      <c r="A77" s="4" t="s">
        <v>107</v>
      </c>
      <c r="B77" s="257" t="s">
        <v>54</v>
      </c>
      <c r="F77" s="13"/>
      <c r="G77" s="13"/>
      <c r="H77" s="14">
        <f>'[13]CB Master List - FY15&amp;FY14'!$BT$201</f>
        <v>16497.096000000001</v>
      </c>
      <c r="I77" s="40">
        <f>'[13]CB Master List - FY15&amp;FY14'!$BU$201</f>
        <v>0</v>
      </c>
      <c r="J77" s="14">
        <f>'[13]CB Master List - FY15&amp;FY14'!$BV$201</f>
        <v>0</v>
      </c>
      <c r="K77" s="15">
        <f>(H77+I77)-J77</f>
        <v>16497.096000000001</v>
      </c>
    </row>
    <row r="78" spans="1:11" ht="18" customHeight="1">
      <c r="A78" s="4" t="s">
        <v>108</v>
      </c>
      <c r="B78" s="257" t="s">
        <v>55</v>
      </c>
      <c r="F78" s="13"/>
      <c r="G78" s="13"/>
      <c r="H78" s="14"/>
      <c r="I78" s="40">
        <v>0</v>
      </c>
      <c r="J78" s="14"/>
      <c r="K78" s="15">
        <f>(H78+I78)-J78</f>
        <v>0</v>
      </c>
    </row>
    <row r="79" spans="1:11" ht="18" customHeight="1">
      <c r="A79" s="4" t="s">
        <v>109</v>
      </c>
      <c r="B79" s="257" t="s">
        <v>13</v>
      </c>
      <c r="F79" s="13"/>
      <c r="G79" s="13"/>
      <c r="H79" s="14"/>
      <c r="I79" s="40">
        <v>0</v>
      </c>
      <c r="J79" s="14"/>
      <c r="K79" s="15">
        <f>(H79+I79)-J79</f>
        <v>0</v>
      </c>
    </row>
    <row r="80" spans="1:11" ht="18" customHeight="1">
      <c r="A80" s="4" t="s">
        <v>110</v>
      </c>
      <c r="B80" s="257" t="s">
        <v>56</v>
      </c>
      <c r="F80" s="13"/>
      <c r="G80" s="13"/>
      <c r="H80" s="14">
        <f>'[13]CB Master List - FY15&amp;FY14'!$BT$213</f>
        <v>0</v>
      </c>
      <c r="I80" s="40">
        <f>'[13]CB Master List - FY15&amp;FY14'!$BU$213</f>
        <v>0</v>
      </c>
      <c r="J80" s="14">
        <f>'[13]CB Master List - FY15&amp;FY14'!$BV$213</f>
        <v>0</v>
      </c>
      <c r="K80" s="15">
        <f>(H80+I80)-J80</f>
        <v>0</v>
      </c>
    </row>
    <row r="81" spans="1:11" ht="18" customHeight="1">
      <c r="A81" s="4"/>
      <c r="K81" s="31"/>
    </row>
    <row r="82" spans="1:11" ht="18" customHeight="1">
      <c r="A82" s="4" t="s">
        <v>148</v>
      </c>
      <c r="B82" s="1" t="s">
        <v>149</v>
      </c>
      <c r="E82" s="1" t="s">
        <v>7</v>
      </c>
      <c r="F82" s="20">
        <f t="shared" ref="F82:K82" si="8">SUM(F77:F80)</f>
        <v>0</v>
      </c>
      <c r="G82" s="20">
        <f t="shared" si="8"/>
        <v>0</v>
      </c>
      <c r="H82" s="16">
        <f t="shared" si="8"/>
        <v>16497.096000000001</v>
      </c>
      <c r="I82" s="16">
        <f t="shared" si="8"/>
        <v>0</v>
      </c>
      <c r="J82" s="16">
        <f t="shared" si="8"/>
        <v>0</v>
      </c>
      <c r="K82" s="16">
        <f t="shared" si="8"/>
        <v>16497.096000000001</v>
      </c>
    </row>
    <row r="83" spans="1:11" ht="18" customHeight="1" thickBot="1">
      <c r="A83" s="4"/>
      <c r="F83" s="23"/>
      <c r="G83" s="23"/>
      <c r="H83" s="23"/>
      <c r="I83" s="23"/>
      <c r="J83" s="23"/>
      <c r="K83" s="23"/>
    </row>
    <row r="84" spans="1:11" ht="42.75" customHeight="1">
      <c r="F84" s="8" t="s">
        <v>9</v>
      </c>
      <c r="G84" s="8" t="s">
        <v>37</v>
      </c>
      <c r="H84" s="8" t="s">
        <v>29</v>
      </c>
      <c r="I84" s="8" t="s">
        <v>30</v>
      </c>
      <c r="J84" s="8" t="s">
        <v>33</v>
      </c>
      <c r="K84" s="8" t="s">
        <v>34</v>
      </c>
    </row>
    <row r="85" spans="1:11" ht="18" customHeight="1">
      <c r="A85" s="5" t="s">
        <v>111</v>
      </c>
      <c r="B85" s="1" t="s">
        <v>57</v>
      </c>
    </row>
    <row r="86" spans="1:11" ht="18" customHeight="1">
      <c r="A86" s="4" t="s">
        <v>112</v>
      </c>
      <c r="B86" s="257" t="s">
        <v>113</v>
      </c>
      <c r="F86" s="13"/>
      <c r="G86" s="13"/>
      <c r="H86" s="14">
        <f>'[13]CB Master List - FY15&amp;FY14'!$BT$225</f>
        <v>17.427625801198026</v>
      </c>
      <c r="I86" s="40">
        <f>'[13]CB Master List - FY15&amp;FY14'!$BU$225</f>
        <v>20.142854886954197</v>
      </c>
      <c r="J86" s="14">
        <f>'[13]CB Master List - FY15&amp;FY14'!$BV$225</f>
        <v>0</v>
      </c>
      <c r="K86" s="15">
        <f t="shared" ref="K86:K96" si="9">(H86+I86)-J86</f>
        <v>37.570480688152223</v>
      </c>
    </row>
    <row r="87" spans="1:11" ht="18" customHeight="1">
      <c r="A87" s="4" t="s">
        <v>114</v>
      </c>
      <c r="B87" s="257" t="s">
        <v>14</v>
      </c>
      <c r="F87" s="13"/>
      <c r="G87" s="13"/>
      <c r="H87" s="14">
        <f>'[13]CB Master List - FY15&amp;FY14'!$BT$228</f>
        <v>0</v>
      </c>
      <c r="I87" s="40">
        <f>'[13]CB Master List - FY15&amp;FY14'!$BU$228</f>
        <v>0</v>
      </c>
      <c r="J87" s="14">
        <f>'[13]CB Master List - FY15&amp;FY14'!$BV$228</f>
        <v>0</v>
      </c>
      <c r="K87" s="15">
        <f t="shared" si="9"/>
        <v>0</v>
      </c>
    </row>
    <row r="88" spans="1:11" ht="18" customHeight="1">
      <c r="A88" s="4" t="s">
        <v>115</v>
      </c>
      <c r="B88" s="257" t="s">
        <v>116</v>
      </c>
      <c r="F88" s="13"/>
      <c r="G88" s="13"/>
      <c r="H88" s="14">
        <f>'[13]CB Master List - FY15&amp;FY14'!$BT$235</f>
        <v>8424</v>
      </c>
      <c r="I88" s="40">
        <f>'[13]CB Master List - FY15&amp;FY14'!$BU$235</f>
        <v>9736.4616100511867</v>
      </c>
      <c r="J88" s="14">
        <f>'[13]CB Master List - FY15&amp;FY14'!$BV$235</f>
        <v>0</v>
      </c>
      <c r="K88" s="15">
        <f t="shared" si="9"/>
        <v>18160.461610051185</v>
      </c>
    </row>
    <row r="89" spans="1:11" ht="18" customHeight="1">
      <c r="A89" s="4" t="s">
        <v>117</v>
      </c>
      <c r="B89" s="257" t="s">
        <v>58</v>
      </c>
      <c r="F89" s="13"/>
      <c r="G89" s="13"/>
      <c r="H89" s="14"/>
      <c r="I89" s="40">
        <f t="shared" ref="I89:I96" si="10">H89*F$114</f>
        <v>0</v>
      </c>
      <c r="J89" s="14"/>
      <c r="K89" s="15">
        <f t="shared" si="9"/>
        <v>0</v>
      </c>
    </row>
    <row r="90" spans="1:11" ht="18" customHeight="1">
      <c r="A90" s="4" t="s">
        <v>118</v>
      </c>
      <c r="B90" s="931" t="s">
        <v>59</v>
      </c>
      <c r="C90" s="939"/>
      <c r="F90" s="13"/>
      <c r="G90" s="13"/>
      <c r="H90" s="14">
        <f>'[13]CB Master List - FY15&amp;FY14'!$BT$241</f>
        <v>0</v>
      </c>
      <c r="I90" s="40">
        <f>'[13]CB Master List - FY15&amp;FY14'!$BU$241</f>
        <v>0</v>
      </c>
      <c r="J90" s="14">
        <f>'[13]CB Master List - FY15&amp;FY14'!$BV$241</f>
        <v>0</v>
      </c>
      <c r="K90" s="15">
        <f t="shared" si="9"/>
        <v>0</v>
      </c>
    </row>
    <row r="91" spans="1:11" ht="18" customHeight="1">
      <c r="A91" s="4" t="s">
        <v>119</v>
      </c>
      <c r="B91" s="257" t="s">
        <v>60</v>
      </c>
      <c r="F91" s="13"/>
      <c r="G91" s="13"/>
      <c r="H91" s="14">
        <f>'[13]CB Master List - FY15&amp;FY14'!$BT$244</f>
        <v>491.86371728846257</v>
      </c>
      <c r="I91" s="40">
        <f>'[13]CB Master List - FY15&amp;FY14'!$BU$244</f>
        <v>568.49622516099078</v>
      </c>
      <c r="J91" s="14">
        <f>'[13]CB Master List - FY15&amp;FY14'!$BV$244</f>
        <v>0</v>
      </c>
      <c r="K91" s="15">
        <f t="shared" si="9"/>
        <v>1060.3599424494532</v>
      </c>
    </row>
    <row r="92" spans="1:11" ht="18" customHeight="1">
      <c r="A92" s="4" t="s">
        <v>120</v>
      </c>
      <c r="B92" s="257" t="s">
        <v>121</v>
      </c>
      <c r="F92" s="29"/>
      <c r="G92" s="29"/>
      <c r="H92" s="30">
        <f>'[13]CB Master List - FY15&amp;FY14'!$BT$253</f>
        <v>15303.5923751217</v>
      </c>
      <c r="I92" s="40">
        <f>'[13]CB Master List - FY15&amp;FY14'!$BU$253</f>
        <v>17687.896445423135</v>
      </c>
      <c r="J92" s="30">
        <f>'[13]CB Master List - FY15&amp;FY14'!$BV$253</f>
        <v>0</v>
      </c>
      <c r="K92" s="15">
        <f t="shared" si="9"/>
        <v>32991.488820544837</v>
      </c>
    </row>
    <row r="93" spans="1:11" ht="18" customHeight="1">
      <c r="A93" s="4" t="s">
        <v>122</v>
      </c>
      <c r="B93" s="257" t="s">
        <v>123</v>
      </c>
      <c r="F93" s="13"/>
      <c r="G93" s="13"/>
      <c r="H93" s="14"/>
      <c r="I93" s="40">
        <f t="shared" si="10"/>
        <v>0</v>
      </c>
      <c r="J93" s="14"/>
      <c r="K93" s="15">
        <f t="shared" si="9"/>
        <v>0</v>
      </c>
    </row>
    <row r="94" spans="1:11" ht="18" customHeight="1">
      <c r="A94" s="4" t="s">
        <v>124</v>
      </c>
      <c r="B94" s="932"/>
      <c r="C94" s="933"/>
      <c r="D94" s="934"/>
      <c r="F94" s="13"/>
      <c r="G94" s="13"/>
      <c r="H94" s="14"/>
      <c r="I94" s="40">
        <f t="shared" si="10"/>
        <v>0</v>
      </c>
      <c r="J94" s="14"/>
      <c r="K94" s="15">
        <f t="shared" si="9"/>
        <v>0</v>
      </c>
    </row>
    <row r="95" spans="1:11" ht="18" customHeight="1">
      <c r="A95" s="4" t="s">
        <v>125</v>
      </c>
      <c r="B95" s="932"/>
      <c r="C95" s="933"/>
      <c r="D95" s="934"/>
      <c r="F95" s="13"/>
      <c r="G95" s="13"/>
      <c r="H95" s="14"/>
      <c r="I95" s="40">
        <f t="shared" si="10"/>
        <v>0</v>
      </c>
      <c r="J95" s="14"/>
      <c r="K95" s="15">
        <f t="shared" si="9"/>
        <v>0</v>
      </c>
    </row>
    <row r="96" spans="1:11" ht="18" customHeight="1">
      <c r="A96" s="4" t="s">
        <v>126</v>
      </c>
      <c r="B96" s="932"/>
      <c r="C96" s="933"/>
      <c r="D96" s="934"/>
      <c r="F96" s="13"/>
      <c r="G96" s="13"/>
      <c r="H96" s="14"/>
      <c r="I96" s="40">
        <f t="shared" si="10"/>
        <v>0</v>
      </c>
      <c r="J96" s="14"/>
      <c r="K96" s="15">
        <f t="shared" si="9"/>
        <v>0</v>
      </c>
    </row>
    <row r="97" spans="1:11" ht="18" customHeight="1">
      <c r="A97" s="4"/>
      <c r="B97" s="257"/>
    </row>
    <row r="98" spans="1:11" ht="18" customHeight="1">
      <c r="A98" s="5" t="s">
        <v>150</v>
      </c>
      <c r="B98" s="1" t="s">
        <v>151</v>
      </c>
      <c r="E98" s="1" t="s">
        <v>7</v>
      </c>
      <c r="F98" s="17">
        <f t="shared" ref="F98:K98" si="11">SUM(F86:F96)</f>
        <v>0</v>
      </c>
      <c r="G98" s="17">
        <f t="shared" si="11"/>
        <v>0</v>
      </c>
      <c r="H98" s="17">
        <f t="shared" si="11"/>
        <v>24236.88371821136</v>
      </c>
      <c r="I98" s="17">
        <f t="shared" si="11"/>
        <v>28012.997135522266</v>
      </c>
      <c r="J98" s="17">
        <f t="shared" si="11"/>
        <v>0</v>
      </c>
      <c r="K98" s="17">
        <f t="shared" si="11"/>
        <v>52249.88085373363</v>
      </c>
    </row>
    <row r="99" spans="1:11" ht="18" customHeight="1" thickBot="1">
      <c r="B99" s="1"/>
      <c r="F99" s="23"/>
      <c r="G99" s="23"/>
      <c r="H99" s="23"/>
      <c r="I99" s="23"/>
      <c r="J99" s="23"/>
      <c r="K99" s="23"/>
    </row>
    <row r="100" spans="1:11" ht="42.75" customHeight="1">
      <c r="F100" s="8" t="s">
        <v>9</v>
      </c>
      <c r="G100" s="8" t="s">
        <v>37</v>
      </c>
      <c r="H100" s="8" t="s">
        <v>29</v>
      </c>
      <c r="I100" s="8" t="s">
        <v>30</v>
      </c>
      <c r="J100" s="8" t="s">
        <v>33</v>
      </c>
      <c r="K100" s="8" t="s">
        <v>34</v>
      </c>
    </row>
    <row r="101" spans="1:11" ht="18" customHeight="1">
      <c r="A101" s="5" t="s">
        <v>130</v>
      </c>
      <c r="B101" s="1" t="s">
        <v>63</v>
      </c>
    </row>
    <row r="102" spans="1:11" ht="18" customHeight="1">
      <c r="A102" s="4" t="s">
        <v>131</v>
      </c>
      <c r="B102" s="257" t="s">
        <v>152</v>
      </c>
      <c r="F102" s="13"/>
      <c r="G102" s="13"/>
      <c r="H102" s="14">
        <f>'[13]CB Master List - FY15&amp;FY14'!$BT$273</f>
        <v>4448.1362184</v>
      </c>
      <c r="I102" s="40">
        <f>'[13]CB Master List - FY15&amp;FY14'!$BU$273</f>
        <v>5141.1571138093377</v>
      </c>
      <c r="J102" s="14">
        <f>'[13]CB Master List - FY15&amp;FY14'!$BV$273</f>
        <v>99.267151200000001</v>
      </c>
      <c r="K102" s="15">
        <f>(H102+I102)-J102</f>
        <v>9490.026181009338</v>
      </c>
    </row>
    <row r="103" spans="1:11" ht="18" customHeight="1">
      <c r="A103" s="4" t="s">
        <v>132</v>
      </c>
      <c r="B103" s="931" t="s">
        <v>62</v>
      </c>
      <c r="C103" s="931"/>
      <c r="F103" s="13"/>
      <c r="G103" s="13"/>
      <c r="H103" s="14">
        <f>'[13]CB Master List - FY15&amp;FY14'!$BT$276</f>
        <v>0</v>
      </c>
      <c r="I103" s="40">
        <f>'[13]CB Master List - FY15&amp;FY14'!$BU$276</f>
        <v>0</v>
      </c>
      <c r="J103" s="14">
        <f>'[13]CB Master List - FY15&amp;FY14'!$BV$276</f>
        <v>0</v>
      </c>
      <c r="K103" s="15">
        <f>(H103+I103)-J103</f>
        <v>0</v>
      </c>
    </row>
    <row r="104" spans="1:11" ht="18" customHeight="1">
      <c r="A104" s="4" t="s">
        <v>128</v>
      </c>
      <c r="B104" s="932" t="s">
        <v>196</v>
      </c>
      <c r="C104" s="933"/>
      <c r="D104" s="934"/>
      <c r="F104" s="13"/>
      <c r="G104" s="13"/>
      <c r="H104" s="14">
        <f>'[13]CB Master List - FY15&amp;FY14'!$BT$281</f>
        <v>1691.6290272000001</v>
      </c>
      <c r="I104" s="40">
        <f>'[13]CB Master List - FY15&amp;FY14'!$BU$281</f>
        <v>1955.1853136017376</v>
      </c>
      <c r="J104" s="14">
        <f>'[13]CB Master List - FY15&amp;FY14'!$BV$281</f>
        <v>229.57512480000003</v>
      </c>
      <c r="K104" s="15">
        <f>(H104+I104)-J104</f>
        <v>3417.2392160017375</v>
      </c>
    </row>
    <row r="105" spans="1:11" ht="18" customHeight="1">
      <c r="A105" s="4" t="s">
        <v>127</v>
      </c>
      <c r="B105" s="932"/>
      <c r="C105" s="933"/>
      <c r="D105" s="934"/>
      <c r="F105" s="13"/>
      <c r="G105" s="13"/>
      <c r="H105" s="14"/>
      <c r="I105" s="40">
        <f>H105*F$114</f>
        <v>0</v>
      </c>
      <c r="J105" s="14"/>
      <c r="K105" s="15">
        <f>(H105+I105)-J105</f>
        <v>0</v>
      </c>
    </row>
    <row r="106" spans="1:11" ht="18" customHeight="1">
      <c r="A106" s="4" t="s">
        <v>129</v>
      </c>
      <c r="B106" s="932"/>
      <c r="C106" s="933"/>
      <c r="D106" s="934"/>
      <c r="F106" s="13"/>
      <c r="G106" s="13"/>
      <c r="H106" s="14"/>
      <c r="I106" s="40">
        <f>H106*F$114</f>
        <v>0</v>
      </c>
      <c r="J106" s="14"/>
      <c r="K106" s="15">
        <f>(H106+I106)-J106</f>
        <v>0</v>
      </c>
    </row>
    <row r="107" spans="1:11" ht="18" customHeight="1">
      <c r="B107" s="1"/>
    </row>
    <row r="108" spans="1:11" s="9" customFormat="1" ht="18" customHeight="1">
      <c r="A108" s="5" t="s">
        <v>153</v>
      </c>
      <c r="B108" s="52" t="s">
        <v>154</v>
      </c>
      <c r="C108"/>
      <c r="D108"/>
      <c r="E108" s="1" t="s">
        <v>7</v>
      </c>
      <c r="F108" s="17">
        <f t="shared" ref="F108:K108" si="12">SUM(F102:F106)</f>
        <v>0</v>
      </c>
      <c r="G108" s="17">
        <f t="shared" si="12"/>
        <v>0</v>
      </c>
      <c r="H108" s="15">
        <f t="shared" si="12"/>
        <v>6139.7652455999996</v>
      </c>
      <c r="I108" s="15">
        <f t="shared" si="12"/>
        <v>7096.3424274110748</v>
      </c>
      <c r="J108" s="15">
        <f t="shared" si="12"/>
        <v>328.84227600000003</v>
      </c>
      <c r="K108" s="15">
        <f t="shared" si="12"/>
        <v>12907.265397011075</v>
      </c>
    </row>
    <row r="109" spans="1:11" s="9" customFormat="1" ht="18" customHeight="1" thickBot="1">
      <c r="A109" s="10"/>
      <c r="B109" s="11"/>
      <c r="C109" s="12"/>
      <c r="D109" s="12"/>
      <c r="E109" s="12"/>
      <c r="F109" s="23"/>
      <c r="G109" s="23"/>
      <c r="H109" s="23"/>
      <c r="I109" s="23"/>
      <c r="J109" s="23"/>
      <c r="K109" s="23"/>
    </row>
    <row r="110" spans="1:11" s="9" customFormat="1" ht="18" customHeight="1">
      <c r="A110" s="5" t="s">
        <v>156</v>
      </c>
      <c r="B110" s="1" t="s">
        <v>39</v>
      </c>
      <c r="C110"/>
      <c r="D110"/>
      <c r="E110"/>
      <c r="F110"/>
      <c r="G110"/>
      <c r="H110"/>
      <c r="I110"/>
      <c r="J110"/>
      <c r="K110"/>
    </row>
    <row r="111" spans="1:11" ht="18" customHeight="1">
      <c r="A111" s="5" t="s">
        <v>155</v>
      </c>
      <c r="B111" s="1" t="s">
        <v>164</v>
      </c>
      <c r="E111" s="1" t="s">
        <v>7</v>
      </c>
      <c r="F111" s="14">
        <f>'[13]CB Master List - FY15&amp;FY14'!$BW$293</f>
        <v>32068.649999999994</v>
      </c>
    </row>
    <row r="112" spans="1:11" ht="18" customHeight="1">
      <c r="B112" s="1"/>
      <c r="E112" s="1"/>
      <c r="F112" s="21"/>
    </row>
    <row r="113" spans="1:6" ht="18" customHeight="1">
      <c r="A113" s="5"/>
      <c r="B113" s="1" t="s">
        <v>15</v>
      </c>
    </row>
    <row r="114" spans="1:6" ht="18" customHeight="1">
      <c r="A114" s="4" t="s">
        <v>171</v>
      </c>
      <c r="B114" s="257" t="s">
        <v>35</v>
      </c>
      <c r="F114" s="24">
        <f>'[13]CB Master List - FY15&amp;FY14'!$BW$302</f>
        <v>1.1558002860934458</v>
      </c>
    </row>
    <row r="115" spans="1:6" ht="18" customHeight="1">
      <c r="A115" s="4"/>
      <c r="B115" s="1"/>
    </row>
    <row r="116" spans="1:6" ht="18" customHeight="1">
      <c r="A116" s="4" t="s">
        <v>170</v>
      </c>
      <c r="B116" s="1" t="s">
        <v>16</v>
      </c>
    </row>
    <row r="117" spans="1:6" ht="18" customHeight="1">
      <c r="A117" s="4" t="s">
        <v>172</v>
      </c>
      <c r="B117" s="257" t="s">
        <v>17</v>
      </c>
      <c r="F117" s="14">
        <f>[14]CONS_PL!$Z$73</f>
        <v>7094195</v>
      </c>
    </row>
    <row r="118" spans="1:6" ht="18" customHeight="1">
      <c r="A118" s="4" t="s">
        <v>173</v>
      </c>
      <c r="B118" t="s">
        <v>18</v>
      </c>
      <c r="F118" s="14">
        <f>[14]CONS_PL!$Z$119</f>
        <v>1827748</v>
      </c>
    </row>
    <row r="119" spans="1:6" ht="18" customHeight="1">
      <c r="A119" s="4" t="s">
        <v>174</v>
      </c>
      <c r="B119" s="1" t="s">
        <v>19</v>
      </c>
      <c r="F119" s="16">
        <f>SUM(F117:F118)</f>
        <v>8921943</v>
      </c>
    </row>
    <row r="120" spans="1:6" ht="18" customHeight="1">
      <c r="A120" s="4"/>
      <c r="B120" s="1"/>
    </row>
    <row r="121" spans="1:6" ht="18" customHeight="1">
      <c r="A121" s="4" t="s">
        <v>167</v>
      </c>
      <c r="B121" s="1" t="s">
        <v>36</v>
      </c>
      <c r="F121" s="14">
        <f>[14]CONS_PL!$Z$467</f>
        <v>9590451</v>
      </c>
    </row>
    <row r="122" spans="1:6" ht="18" customHeight="1">
      <c r="A122" s="4"/>
    </row>
    <row r="123" spans="1:6" ht="18" customHeight="1">
      <c r="A123" s="4" t="s">
        <v>175</v>
      </c>
      <c r="B123" s="1" t="s">
        <v>20</v>
      </c>
      <c r="F123" s="14">
        <f>[14]CONS_PL!$Z$469</f>
        <v>-668508</v>
      </c>
    </row>
    <row r="124" spans="1:6" ht="18" customHeight="1">
      <c r="A124" s="4"/>
    </row>
    <row r="125" spans="1:6" ht="18" customHeight="1">
      <c r="A125" s="4" t="s">
        <v>176</v>
      </c>
      <c r="B125" s="1" t="s">
        <v>21</v>
      </c>
      <c r="F125" s="14">
        <f>[14]CONS_PL!$Z$484</f>
        <v>0</v>
      </c>
    </row>
    <row r="126" spans="1:6" ht="18" customHeight="1">
      <c r="A126" s="4"/>
    </row>
    <row r="127" spans="1:6" ht="18" customHeight="1">
      <c r="A127" s="4" t="s">
        <v>177</v>
      </c>
      <c r="B127" s="1" t="s">
        <v>22</v>
      </c>
      <c r="F127" s="14">
        <f>[14]CONS_PL!$Z$491</f>
        <v>-668508</v>
      </c>
    </row>
    <row r="128" spans="1:6" ht="18" customHeight="1">
      <c r="A128" s="4"/>
    </row>
    <row r="129" spans="1:11" ht="42.75" customHeight="1">
      <c r="F129" s="8" t="s">
        <v>9</v>
      </c>
      <c r="G129" s="8" t="s">
        <v>37</v>
      </c>
      <c r="H129" s="8" t="s">
        <v>29</v>
      </c>
      <c r="I129" s="8" t="s">
        <v>30</v>
      </c>
      <c r="J129" s="8" t="s">
        <v>33</v>
      </c>
      <c r="K129" s="8" t="s">
        <v>34</v>
      </c>
    </row>
    <row r="130" spans="1:11" ht="18" customHeight="1">
      <c r="A130" s="5" t="s">
        <v>157</v>
      </c>
      <c r="B130" s="1" t="s">
        <v>23</v>
      </c>
    </row>
    <row r="131" spans="1:11" ht="18" customHeight="1">
      <c r="A131" s="4" t="s">
        <v>158</v>
      </c>
      <c r="B131" t="s">
        <v>24</v>
      </c>
      <c r="F131" s="13"/>
      <c r="G131" s="13"/>
      <c r="H131" s="14"/>
      <c r="I131" s="40">
        <v>0</v>
      </c>
      <c r="J131" s="14"/>
      <c r="K131" s="15">
        <f>(H131+I131)-J131</f>
        <v>0</v>
      </c>
    </row>
    <row r="132" spans="1:11" ht="18" customHeight="1">
      <c r="A132" s="4" t="s">
        <v>159</v>
      </c>
      <c r="B132" t="s">
        <v>25</v>
      </c>
      <c r="F132" s="13"/>
      <c r="G132" s="13"/>
      <c r="H132" s="14"/>
      <c r="I132" s="40">
        <v>0</v>
      </c>
      <c r="J132" s="14"/>
      <c r="K132" s="15">
        <f>(H132+I132)-J132</f>
        <v>0</v>
      </c>
    </row>
    <row r="133" spans="1:11" ht="18" customHeight="1">
      <c r="A133" s="4" t="s">
        <v>160</v>
      </c>
      <c r="B133" s="893"/>
      <c r="C133" s="894"/>
      <c r="D133" s="895"/>
      <c r="F133" s="13"/>
      <c r="G133" s="13"/>
      <c r="H133" s="14"/>
      <c r="I133" s="40">
        <v>0</v>
      </c>
      <c r="J133" s="14"/>
      <c r="K133" s="15">
        <f>(H133+I133)-J133</f>
        <v>0</v>
      </c>
    </row>
    <row r="134" spans="1:11" ht="18" customHeight="1">
      <c r="A134" s="4" t="s">
        <v>161</v>
      </c>
      <c r="B134" s="893"/>
      <c r="C134" s="894"/>
      <c r="D134" s="895"/>
      <c r="F134" s="13"/>
      <c r="G134" s="13"/>
      <c r="H134" s="14"/>
      <c r="I134" s="40">
        <v>0</v>
      </c>
      <c r="J134" s="14"/>
      <c r="K134" s="15">
        <f>(H134+I134)-J134</f>
        <v>0</v>
      </c>
    </row>
    <row r="135" spans="1:11" ht="18" customHeight="1">
      <c r="A135" s="4" t="s">
        <v>162</v>
      </c>
      <c r="B135" s="893"/>
      <c r="C135" s="894"/>
      <c r="D135" s="895"/>
      <c r="F135" s="13"/>
      <c r="G135" s="13"/>
      <c r="H135" s="14"/>
      <c r="I135" s="40">
        <v>0</v>
      </c>
      <c r="J135" s="14"/>
      <c r="K135" s="15">
        <f>(H135+I135)-J135</f>
        <v>0</v>
      </c>
    </row>
    <row r="136" spans="1:11" ht="18" customHeight="1">
      <c r="A136" s="5"/>
    </row>
    <row r="137" spans="1:11" ht="18" customHeight="1">
      <c r="A137" s="5" t="s">
        <v>163</v>
      </c>
      <c r="B137" s="1" t="s">
        <v>27</v>
      </c>
      <c r="F137" s="17">
        <f t="shared" ref="F137:K137" si="13">SUM(F131:F135)</f>
        <v>0</v>
      </c>
      <c r="G137" s="17">
        <f t="shared" si="13"/>
        <v>0</v>
      </c>
      <c r="H137" s="15">
        <f t="shared" si="13"/>
        <v>0</v>
      </c>
      <c r="I137" s="15">
        <f t="shared" si="13"/>
        <v>0</v>
      </c>
      <c r="J137" s="15">
        <f t="shared" si="13"/>
        <v>0</v>
      </c>
      <c r="K137" s="15">
        <f t="shared" si="13"/>
        <v>0</v>
      </c>
    </row>
    <row r="138" spans="1:11" ht="18" customHeight="1">
      <c r="A138"/>
    </row>
    <row r="139" spans="1:11" ht="42.75" customHeight="1">
      <c r="F139" s="8" t="s">
        <v>9</v>
      </c>
      <c r="G139" s="8" t="s">
        <v>37</v>
      </c>
      <c r="H139" s="8" t="s">
        <v>29</v>
      </c>
      <c r="I139" s="8" t="s">
        <v>30</v>
      </c>
      <c r="J139" s="8" t="s">
        <v>33</v>
      </c>
      <c r="K139" s="8" t="s">
        <v>34</v>
      </c>
    </row>
    <row r="140" spans="1:11" ht="18" customHeight="1">
      <c r="A140" s="5" t="s">
        <v>166</v>
      </c>
      <c r="B140" s="1" t="s">
        <v>26</v>
      </c>
    </row>
    <row r="141" spans="1:11" ht="18" customHeight="1">
      <c r="A141" s="4" t="s">
        <v>137</v>
      </c>
      <c r="B141" s="1" t="s">
        <v>64</v>
      </c>
      <c r="F141" s="32">
        <f t="shared" ref="F141:K141" si="14">F36</f>
        <v>0</v>
      </c>
      <c r="G141" s="32">
        <f t="shared" si="14"/>
        <v>0</v>
      </c>
      <c r="H141" s="32">
        <f t="shared" si="14"/>
        <v>22054.632251817715</v>
      </c>
      <c r="I141" s="32">
        <f t="shared" si="14"/>
        <v>25490.750266336643</v>
      </c>
      <c r="J141" s="32">
        <f t="shared" si="14"/>
        <v>1917.17974</v>
      </c>
      <c r="K141" s="32">
        <f t="shared" si="14"/>
        <v>45628.202778154366</v>
      </c>
    </row>
    <row r="142" spans="1:11" ht="18" customHeight="1">
      <c r="A142" s="4" t="s">
        <v>142</v>
      </c>
      <c r="B142" s="1" t="s">
        <v>65</v>
      </c>
      <c r="F142" s="32">
        <f t="shared" ref="F142:K142" si="15">F49</f>
        <v>0</v>
      </c>
      <c r="G142" s="32">
        <f t="shared" si="15"/>
        <v>0</v>
      </c>
      <c r="H142" s="32">
        <f t="shared" si="15"/>
        <v>748.22194720000005</v>
      </c>
      <c r="I142" s="32">
        <f t="shared" si="15"/>
        <v>0</v>
      </c>
      <c r="J142" s="32">
        <f t="shared" si="15"/>
        <v>6.7697167999999994</v>
      </c>
      <c r="K142" s="32">
        <f t="shared" si="15"/>
        <v>741.45223040000008</v>
      </c>
    </row>
    <row r="143" spans="1:11" ht="18" customHeight="1">
      <c r="A143" s="4" t="s">
        <v>144</v>
      </c>
      <c r="B143" s="1" t="s">
        <v>66</v>
      </c>
      <c r="F143" s="32">
        <f t="shared" ref="F143:K143" si="16">F64</f>
        <v>0</v>
      </c>
      <c r="G143" s="32">
        <f t="shared" si="16"/>
        <v>0</v>
      </c>
      <c r="H143" s="32">
        <f t="shared" si="16"/>
        <v>726032.60219067964</v>
      </c>
      <c r="I143" s="32">
        <f t="shared" si="16"/>
        <v>0</v>
      </c>
      <c r="J143" s="32">
        <f t="shared" si="16"/>
        <v>0</v>
      </c>
      <c r="K143" s="32">
        <f t="shared" si="16"/>
        <v>726032.60219067964</v>
      </c>
    </row>
    <row r="144" spans="1:11" ht="18" customHeight="1">
      <c r="A144" s="4" t="s">
        <v>146</v>
      </c>
      <c r="B144" s="1" t="s">
        <v>67</v>
      </c>
      <c r="F144" s="32">
        <f t="shared" ref="F144:K144" si="17">F74</f>
        <v>0</v>
      </c>
      <c r="G144" s="32">
        <f t="shared" si="17"/>
        <v>0</v>
      </c>
      <c r="H144" s="32">
        <f t="shared" si="17"/>
        <v>0</v>
      </c>
      <c r="I144" s="32">
        <f t="shared" si="17"/>
        <v>0</v>
      </c>
      <c r="J144" s="32">
        <f t="shared" si="17"/>
        <v>0</v>
      </c>
      <c r="K144" s="32">
        <f t="shared" si="17"/>
        <v>0</v>
      </c>
    </row>
    <row r="145" spans="1:11" ht="18" customHeight="1">
      <c r="A145" s="4" t="s">
        <v>148</v>
      </c>
      <c r="B145" s="1" t="s">
        <v>68</v>
      </c>
      <c r="F145" s="32">
        <f t="shared" ref="F145:K145" si="18">F82</f>
        <v>0</v>
      </c>
      <c r="G145" s="32">
        <f t="shared" si="18"/>
        <v>0</v>
      </c>
      <c r="H145" s="32">
        <f t="shared" si="18"/>
        <v>16497.096000000001</v>
      </c>
      <c r="I145" s="32">
        <f t="shared" si="18"/>
        <v>0</v>
      </c>
      <c r="J145" s="32">
        <f t="shared" si="18"/>
        <v>0</v>
      </c>
      <c r="K145" s="32">
        <f t="shared" si="18"/>
        <v>16497.096000000001</v>
      </c>
    </row>
    <row r="146" spans="1:11" ht="18" customHeight="1">
      <c r="A146" s="4" t="s">
        <v>150</v>
      </c>
      <c r="B146" s="1" t="s">
        <v>69</v>
      </c>
      <c r="F146" s="32">
        <f t="shared" ref="F146:K146" si="19">F98</f>
        <v>0</v>
      </c>
      <c r="G146" s="32">
        <f t="shared" si="19"/>
        <v>0</v>
      </c>
      <c r="H146" s="32">
        <f t="shared" si="19"/>
        <v>24236.88371821136</v>
      </c>
      <c r="I146" s="32">
        <f t="shared" si="19"/>
        <v>28012.997135522266</v>
      </c>
      <c r="J146" s="32">
        <f t="shared" si="19"/>
        <v>0</v>
      </c>
      <c r="K146" s="32">
        <f t="shared" si="19"/>
        <v>52249.88085373363</v>
      </c>
    </row>
    <row r="147" spans="1:11" ht="18" customHeight="1">
      <c r="A147" s="4" t="s">
        <v>153</v>
      </c>
      <c r="B147" s="1" t="s">
        <v>61</v>
      </c>
      <c r="F147" s="17">
        <f t="shared" ref="F147:K147" si="20">F108</f>
        <v>0</v>
      </c>
      <c r="G147" s="17">
        <f t="shared" si="20"/>
        <v>0</v>
      </c>
      <c r="H147" s="17">
        <f t="shared" si="20"/>
        <v>6139.7652455999996</v>
      </c>
      <c r="I147" s="17">
        <f t="shared" si="20"/>
        <v>7096.3424274110748</v>
      </c>
      <c r="J147" s="17">
        <f t="shared" si="20"/>
        <v>328.84227600000003</v>
      </c>
      <c r="K147" s="17">
        <f t="shared" si="20"/>
        <v>12907.265397011075</v>
      </c>
    </row>
    <row r="148" spans="1:11" ht="18" customHeight="1">
      <c r="A148" s="4" t="s">
        <v>155</v>
      </c>
      <c r="B148" s="1" t="s">
        <v>70</v>
      </c>
      <c r="F148" s="33" t="s">
        <v>73</v>
      </c>
      <c r="G148" s="33" t="s">
        <v>73</v>
      </c>
      <c r="H148" s="34" t="s">
        <v>73</v>
      </c>
      <c r="I148" s="34" t="s">
        <v>73</v>
      </c>
      <c r="J148" s="34" t="s">
        <v>73</v>
      </c>
      <c r="K148" s="28">
        <f>F111</f>
        <v>32068.649999999994</v>
      </c>
    </row>
    <row r="149" spans="1:11" ht="18" customHeight="1">
      <c r="A149" s="4" t="s">
        <v>163</v>
      </c>
      <c r="B149" s="1" t="s">
        <v>71</v>
      </c>
      <c r="F149" s="17">
        <f t="shared" ref="F149:K149" si="21">F137</f>
        <v>0</v>
      </c>
      <c r="G149" s="17">
        <f t="shared" si="21"/>
        <v>0</v>
      </c>
      <c r="H149" s="17">
        <f t="shared" si="21"/>
        <v>0</v>
      </c>
      <c r="I149" s="17">
        <f t="shared" si="21"/>
        <v>0</v>
      </c>
      <c r="J149" s="17">
        <f t="shared" si="21"/>
        <v>0</v>
      </c>
      <c r="K149" s="17">
        <f t="shared" si="21"/>
        <v>0</v>
      </c>
    </row>
    <row r="150" spans="1:11" ht="18" customHeight="1">
      <c r="A150" s="4" t="s">
        <v>185</v>
      </c>
      <c r="B150" s="1" t="s">
        <v>186</v>
      </c>
      <c r="F150" s="33" t="s">
        <v>73</v>
      </c>
      <c r="G150" s="33" t="s">
        <v>73</v>
      </c>
      <c r="H150" s="17">
        <f>H18</f>
        <v>0</v>
      </c>
      <c r="I150" s="17">
        <f>I18</f>
        <v>0</v>
      </c>
      <c r="J150" s="17">
        <f>J18</f>
        <v>0</v>
      </c>
      <c r="K150" s="17">
        <f>K18</f>
        <v>0</v>
      </c>
    </row>
    <row r="151" spans="1:11" ht="18" customHeight="1">
      <c r="B151" s="1"/>
      <c r="F151" s="38"/>
      <c r="G151" s="38"/>
      <c r="H151" s="38"/>
      <c r="I151" s="38"/>
      <c r="J151" s="38"/>
      <c r="K151" s="38"/>
    </row>
    <row r="152" spans="1:11" ht="18" customHeight="1">
      <c r="A152" s="5" t="s">
        <v>165</v>
      </c>
      <c r="B152" s="1" t="s">
        <v>26</v>
      </c>
      <c r="F152" s="39">
        <f t="shared" ref="F152:K152" si="22">SUM(F141:F150)</f>
        <v>0</v>
      </c>
      <c r="G152" s="39">
        <f t="shared" si="22"/>
        <v>0</v>
      </c>
      <c r="H152" s="39">
        <f t="shared" si="22"/>
        <v>795709.20135350875</v>
      </c>
      <c r="I152" s="39">
        <f t="shared" si="22"/>
        <v>60600.089829269986</v>
      </c>
      <c r="J152" s="39">
        <f t="shared" si="22"/>
        <v>2252.7917327999999</v>
      </c>
      <c r="K152" s="39">
        <f t="shared" si="22"/>
        <v>886125.14944997872</v>
      </c>
    </row>
    <row r="154" spans="1:11" ht="18" customHeight="1">
      <c r="A154" s="5" t="s">
        <v>168</v>
      </c>
      <c r="B154" s="1" t="s">
        <v>28</v>
      </c>
      <c r="F154" s="53">
        <f>K152/F121</f>
        <v>9.2396608819541301E-2</v>
      </c>
    </row>
    <row r="155" spans="1:11" ht="18" customHeight="1">
      <c r="A155" s="5" t="s">
        <v>169</v>
      </c>
      <c r="B155" s="1" t="s">
        <v>72</v>
      </c>
      <c r="F155" s="53">
        <f>K152/F127</f>
        <v>-1.3255266196514908</v>
      </c>
      <c r="G155" s="1"/>
    </row>
    <row r="156" spans="1:11" ht="18" customHeight="1">
      <c r="G156" s="1"/>
    </row>
  </sheetData>
  <sheetProtection algorithmName="SHA-512" hashValue="iVvdvBFvLJrCQayOzWBOnlmmkvSOlg0vsuWfxw4ykvUWsRMIU69Eos4F9LU4n3blGdfrud4L5z60Zw6vfmvLvQ==" saltValue="dNfDTr1s26G+Dg2uXX89nw==" spinCount="100000" sheet="1" objects="1" scenarios="1"/>
  <mergeCells count="33">
    <mergeCell ref="B133:D133"/>
    <mergeCell ref="B134:D134"/>
    <mergeCell ref="B135:D135"/>
    <mergeCell ref="B95:D95"/>
    <mergeCell ref="B96:D96"/>
    <mergeCell ref="B103:C103"/>
    <mergeCell ref="B104:D104"/>
    <mergeCell ref="B105:D105"/>
    <mergeCell ref="B106:D106"/>
    <mergeCell ref="B94:D94"/>
    <mergeCell ref="B45:D45"/>
    <mergeCell ref="B46:D46"/>
    <mergeCell ref="B47:D47"/>
    <mergeCell ref="B52:C52"/>
    <mergeCell ref="B53:D53"/>
    <mergeCell ref="B55:D55"/>
    <mergeCell ref="B56:D56"/>
    <mergeCell ref="B57:D57"/>
    <mergeCell ref="B59:D59"/>
    <mergeCell ref="B62:D62"/>
    <mergeCell ref="B90:C90"/>
    <mergeCell ref="B44:D44"/>
    <mergeCell ref="D2:H2"/>
    <mergeCell ref="C5:G5"/>
    <mergeCell ref="C6:G6"/>
    <mergeCell ref="C7:G7"/>
    <mergeCell ref="C9:G9"/>
    <mergeCell ref="C10:G10"/>
    <mergeCell ref="C11:G11"/>
    <mergeCell ref="B13:H13"/>
    <mergeCell ref="B31:D31"/>
    <mergeCell ref="B34:D34"/>
    <mergeCell ref="B41:C41"/>
  </mergeCells>
  <hyperlinks>
    <hyperlink ref="C11" r:id="rId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zoomScale="120" zoomScaleNormal="120" workbookViewId="0">
      <pane xSplit="2" ySplit="3" topLeftCell="C4" activePane="bottomRight" state="frozen"/>
      <selection pane="topRight" activeCell="C1" sqref="C1"/>
      <selection pane="bottomLeft" activeCell="A4" sqref="A4"/>
      <selection pane="bottomRight" activeCell="J53" sqref="J53"/>
    </sheetView>
  </sheetViews>
  <sheetFormatPr defaultRowHeight="15"/>
  <cols>
    <col min="1" max="1" width="9.140625" style="848"/>
    <col min="2" max="2" width="26.85546875" style="848" bestFit="1" customWidth="1"/>
    <col min="3" max="5" width="11.7109375" style="848" bestFit="1" customWidth="1"/>
    <col min="6" max="7" width="9.140625" style="848"/>
    <col min="8" max="8" width="16.85546875" style="848" bestFit="1" customWidth="1"/>
    <col min="9" max="16384" width="9.140625" style="848"/>
  </cols>
  <sheetData>
    <row r="1" spans="1:8">
      <c r="B1" s="848" t="s">
        <v>1017</v>
      </c>
    </row>
    <row r="2" spans="1:8">
      <c r="B2" s="848" t="s">
        <v>1016</v>
      </c>
    </row>
    <row r="3" spans="1:8" ht="30">
      <c r="C3" s="848">
        <v>2013</v>
      </c>
      <c r="D3" s="848">
        <v>2014</v>
      </c>
      <c r="E3" s="848" t="s">
        <v>1015</v>
      </c>
      <c r="F3" s="848" t="s">
        <v>1014</v>
      </c>
      <c r="H3" s="852" t="s">
        <v>1013</v>
      </c>
    </row>
    <row r="4" spans="1:8">
      <c r="A4" s="848">
        <v>1</v>
      </c>
      <c r="B4" s="848" t="s">
        <v>199</v>
      </c>
      <c r="C4" s="851">
        <v>11251028</v>
      </c>
      <c r="D4" s="851">
        <v>13005321</v>
      </c>
      <c r="E4" s="851">
        <f t="shared" ref="E4:E35" si="0">D4-C4</f>
        <v>1754293</v>
      </c>
      <c r="F4" s="850">
        <f t="shared" ref="F4:F35" si="1">D4/C4-1</f>
        <v>0.15592290766674832</v>
      </c>
      <c r="H4" s="849">
        <f t="shared" ref="H4:H35" si="2">E4/2</f>
        <v>877146.5</v>
      </c>
    </row>
    <row r="5" spans="1:8">
      <c r="A5" s="848">
        <v>2</v>
      </c>
      <c r="B5" s="848" t="s">
        <v>1012</v>
      </c>
      <c r="C5" s="851">
        <v>76082680</v>
      </c>
      <c r="D5" s="851">
        <v>108390813</v>
      </c>
      <c r="E5" s="851">
        <f t="shared" si="0"/>
        <v>32308133</v>
      </c>
      <c r="F5" s="850">
        <f t="shared" si="1"/>
        <v>0.42464504404944736</v>
      </c>
      <c r="H5" s="849">
        <f t="shared" si="2"/>
        <v>16154066.5</v>
      </c>
    </row>
    <row r="6" spans="1:8">
      <c r="A6" s="848">
        <v>3</v>
      </c>
      <c r="B6" s="848" t="s">
        <v>1011</v>
      </c>
      <c r="C6" s="851">
        <v>11496709</v>
      </c>
      <c r="D6" s="851">
        <v>15089576</v>
      </c>
      <c r="E6" s="851">
        <f t="shared" si="0"/>
        <v>3592867</v>
      </c>
      <c r="F6" s="850">
        <f t="shared" si="1"/>
        <v>0.31251265035933318</v>
      </c>
      <c r="H6" s="849">
        <f t="shared" si="2"/>
        <v>1796433.5</v>
      </c>
    </row>
    <row r="7" spans="1:8">
      <c r="A7" s="848">
        <v>4</v>
      </c>
      <c r="B7" s="848" t="s">
        <v>927</v>
      </c>
      <c r="C7" s="851">
        <v>9223701</v>
      </c>
      <c r="D7" s="851">
        <v>10508102</v>
      </c>
      <c r="E7" s="851">
        <f t="shared" si="0"/>
        <v>1284401</v>
      </c>
      <c r="F7" s="850">
        <f t="shared" si="1"/>
        <v>0.1392500689256948</v>
      </c>
      <c r="H7" s="849">
        <f t="shared" si="2"/>
        <v>642200.5</v>
      </c>
    </row>
    <row r="8" spans="1:8">
      <c r="A8" s="848">
        <v>5</v>
      </c>
      <c r="B8" s="848" t="s">
        <v>928</v>
      </c>
      <c r="C8" s="851">
        <v>9705004</v>
      </c>
      <c r="D8" s="851">
        <v>14346701</v>
      </c>
      <c r="E8" s="851">
        <f t="shared" si="0"/>
        <v>4641697</v>
      </c>
      <c r="F8" s="850">
        <f t="shared" si="1"/>
        <v>0.4782787312606982</v>
      </c>
      <c r="H8" s="849">
        <f t="shared" si="2"/>
        <v>2320848.5</v>
      </c>
    </row>
    <row r="9" spans="1:8">
      <c r="A9" s="848">
        <v>6</v>
      </c>
      <c r="B9" s="848" t="s">
        <v>1010</v>
      </c>
      <c r="C9" s="851">
        <v>5950816</v>
      </c>
      <c r="D9" s="851">
        <v>7108187</v>
      </c>
      <c r="E9" s="851">
        <f t="shared" si="0"/>
        <v>1157371</v>
      </c>
      <c r="F9" s="850">
        <f t="shared" si="1"/>
        <v>0.19448946161333169</v>
      </c>
      <c r="H9" s="849">
        <f t="shared" si="2"/>
        <v>578685.5</v>
      </c>
    </row>
    <row r="10" spans="1:8">
      <c r="A10" s="848">
        <v>8</v>
      </c>
      <c r="B10" s="848" t="s">
        <v>1009</v>
      </c>
      <c r="C10" s="851">
        <v>17776487</v>
      </c>
      <c r="D10" s="851">
        <v>24054080</v>
      </c>
      <c r="E10" s="851">
        <f t="shared" si="0"/>
        <v>6277593</v>
      </c>
      <c r="F10" s="850">
        <f t="shared" si="1"/>
        <v>0.35314024643901809</v>
      </c>
      <c r="H10" s="849">
        <f t="shared" si="2"/>
        <v>3138796.5</v>
      </c>
    </row>
    <row r="11" spans="1:8">
      <c r="A11" s="848">
        <v>9</v>
      </c>
      <c r="B11" s="848" t="s">
        <v>931</v>
      </c>
      <c r="C11" s="851">
        <v>54987445</v>
      </c>
      <c r="D11" s="851">
        <v>77074324</v>
      </c>
      <c r="E11" s="851">
        <f t="shared" si="0"/>
        <v>22086879</v>
      </c>
      <c r="F11" s="850">
        <f t="shared" si="1"/>
        <v>0.40167130878694213</v>
      </c>
      <c r="H11" s="849">
        <f t="shared" si="2"/>
        <v>11043439.5</v>
      </c>
    </row>
    <row r="12" spans="1:8">
      <c r="A12" s="848">
        <v>10</v>
      </c>
      <c r="B12" s="848" t="s">
        <v>1008</v>
      </c>
      <c r="C12" s="851">
        <v>3618301</v>
      </c>
      <c r="D12" s="851">
        <v>5605277</v>
      </c>
      <c r="E12" s="851">
        <f t="shared" si="0"/>
        <v>1986976</v>
      </c>
      <c r="F12" s="850">
        <f t="shared" si="1"/>
        <v>0.54914613239749821</v>
      </c>
      <c r="H12" s="849">
        <f t="shared" si="2"/>
        <v>993488</v>
      </c>
    </row>
    <row r="13" spans="1:8">
      <c r="A13" s="848">
        <v>11</v>
      </c>
      <c r="B13" s="848" t="s">
        <v>934</v>
      </c>
      <c r="C13" s="851">
        <v>23507285</v>
      </c>
      <c r="D13" s="851">
        <v>41451270</v>
      </c>
      <c r="E13" s="851">
        <f t="shared" si="0"/>
        <v>17943985</v>
      </c>
      <c r="F13" s="850">
        <f t="shared" si="1"/>
        <v>0.76333719525670451</v>
      </c>
      <c r="H13" s="849">
        <f t="shared" si="2"/>
        <v>8971992.5</v>
      </c>
    </row>
    <row r="14" spans="1:8">
      <c r="A14" s="848">
        <v>12</v>
      </c>
      <c r="B14" s="848" t="s">
        <v>202</v>
      </c>
      <c r="C14" s="851">
        <v>15954475</v>
      </c>
      <c r="D14" s="851">
        <v>20723745</v>
      </c>
      <c r="E14" s="851">
        <f t="shared" si="0"/>
        <v>4769270</v>
      </c>
      <c r="F14" s="850">
        <f t="shared" si="1"/>
        <v>0.29892992404952223</v>
      </c>
      <c r="H14" s="849">
        <f t="shared" si="2"/>
        <v>2384635</v>
      </c>
    </row>
    <row r="15" spans="1:8">
      <c r="A15" s="848">
        <v>13</v>
      </c>
      <c r="B15" s="848" t="s">
        <v>203</v>
      </c>
      <c r="C15" s="851">
        <v>17057315</v>
      </c>
      <c r="D15" s="851">
        <v>15408512</v>
      </c>
      <c r="E15" s="851">
        <f t="shared" si="0"/>
        <v>-1648803</v>
      </c>
      <c r="F15" s="850">
        <f t="shared" si="1"/>
        <v>-9.6662516931885212E-2</v>
      </c>
      <c r="H15" s="849">
        <f t="shared" si="2"/>
        <v>-824401.5</v>
      </c>
    </row>
    <row r="16" spans="1:8">
      <c r="A16" s="848">
        <v>15</v>
      </c>
      <c r="B16" s="848" t="s">
        <v>1007</v>
      </c>
      <c r="C16" s="851">
        <v>18606673</v>
      </c>
      <c r="D16" s="851">
        <v>29025479</v>
      </c>
      <c r="E16" s="851">
        <f t="shared" si="0"/>
        <v>10418806</v>
      </c>
      <c r="F16" s="850">
        <f t="shared" si="1"/>
        <v>0.55994997063687846</v>
      </c>
      <c r="H16" s="849">
        <f t="shared" si="2"/>
        <v>5209403</v>
      </c>
    </row>
    <row r="17" spans="1:8">
      <c r="A17" s="848">
        <v>16</v>
      </c>
      <c r="B17" s="848" t="s">
        <v>936</v>
      </c>
      <c r="C17" s="851">
        <v>7701237</v>
      </c>
      <c r="D17" s="851">
        <v>13851047</v>
      </c>
      <c r="E17" s="851">
        <f t="shared" si="0"/>
        <v>6149810</v>
      </c>
      <c r="F17" s="850">
        <f t="shared" si="1"/>
        <v>0.79854833710480544</v>
      </c>
      <c r="H17" s="849">
        <f t="shared" si="2"/>
        <v>3074905</v>
      </c>
    </row>
    <row r="18" spans="1:8">
      <c r="A18" s="848">
        <v>17</v>
      </c>
      <c r="B18" s="848" t="s">
        <v>937</v>
      </c>
      <c r="C18" s="851">
        <v>1295193</v>
      </c>
      <c r="D18" s="851">
        <v>1671169</v>
      </c>
      <c r="E18" s="851">
        <f t="shared" si="0"/>
        <v>375976</v>
      </c>
      <c r="F18" s="850">
        <f t="shared" si="1"/>
        <v>0.29028569487327371</v>
      </c>
      <c r="H18" s="849">
        <f t="shared" si="2"/>
        <v>187988</v>
      </c>
    </row>
    <row r="19" spans="1:8">
      <c r="A19" s="848">
        <v>18</v>
      </c>
      <c r="B19" s="848" t="s">
        <v>1006</v>
      </c>
      <c r="C19" s="851">
        <v>4363513</v>
      </c>
      <c r="D19" s="851">
        <v>6504709</v>
      </c>
      <c r="E19" s="851">
        <f t="shared" si="0"/>
        <v>2141196</v>
      </c>
      <c r="F19" s="850">
        <f t="shared" si="1"/>
        <v>0.49070462262860226</v>
      </c>
      <c r="H19" s="849">
        <f t="shared" si="2"/>
        <v>1070598</v>
      </c>
    </row>
    <row r="20" spans="1:8">
      <c r="A20" s="848">
        <v>19</v>
      </c>
      <c r="B20" s="848" t="s">
        <v>1005</v>
      </c>
      <c r="C20" s="851">
        <v>14569984</v>
      </c>
      <c r="D20" s="851">
        <v>20282520</v>
      </c>
      <c r="E20" s="851">
        <f t="shared" si="0"/>
        <v>5712536</v>
      </c>
      <c r="F20" s="850">
        <f t="shared" si="1"/>
        <v>0.392075653617739</v>
      </c>
      <c r="H20" s="849">
        <f t="shared" si="2"/>
        <v>2856268</v>
      </c>
    </row>
    <row r="21" spans="1:8">
      <c r="A21" s="848">
        <v>22</v>
      </c>
      <c r="B21" s="848" t="s">
        <v>940</v>
      </c>
      <c r="C21" s="851">
        <v>4224423</v>
      </c>
      <c r="D21" s="851">
        <v>6911817</v>
      </c>
      <c r="E21" s="851">
        <f t="shared" si="0"/>
        <v>2687394</v>
      </c>
      <c r="F21" s="850">
        <f t="shared" si="1"/>
        <v>0.63615646444496687</v>
      </c>
      <c r="H21" s="849">
        <f t="shared" si="2"/>
        <v>1343697</v>
      </c>
    </row>
    <row r="22" spans="1:8">
      <c r="A22" s="848">
        <v>23</v>
      </c>
      <c r="B22" s="848" t="s">
        <v>1004</v>
      </c>
      <c r="C22" s="851">
        <v>10284104</v>
      </c>
      <c r="D22" s="851">
        <v>14396144</v>
      </c>
      <c r="E22" s="851">
        <f t="shared" si="0"/>
        <v>4112040</v>
      </c>
      <c r="F22" s="850">
        <f t="shared" si="1"/>
        <v>0.39984426450763233</v>
      </c>
      <c r="H22" s="849">
        <f t="shared" si="2"/>
        <v>2056020</v>
      </c>
    </row>
    <row r="23" spans="1:8">
      <c r="A23" s="848">
        <v>24</v>
      </c>
      <c r="B23" s="848" t="s">
        <v>942</v>
      </c>
      <c r="C23" s="851">
        <v>16705134</v>
      </c>
      <c r="D23" s="851">
        <v>24456967</v>
      </c>
      <c r="E23" s="851">
        <f t="shared" si="0"/>
        <v>7751833</v>
      </c>
      <c r="F23" s="850">
        <f t="shared" si="1"/>
        <v>0.46403895951986973</v>
      </c>
      <c r="H23" s="849">
        <f t="shared" si="2"/>
        <v>3875916.5</v>
      </c>
    </row>
    <row r="24" spans="1:8">
      <c r="A24" s="848">
        <v>27</v>
      </c>
      <c r="B24" s="848" t="s">
        <v>1003</v>
      </c>
      <c r="C24" s="851">
        <v>8199096</v>
      </c>
      <c r="D24" s="851">
        <v>11077460</v>
      </c>
      <c r="E24" s="851">
        <f t="shared" si="0"/>
        <v>2878364</v>
      </c>
      <c r="F24" s="850">
        <f t="shared" si="1"/>
        <v>0.35105870208130252</v>
      </c>
      <c r="H24" s="849">
        <f t="shared" si="2"/>
        <v>1439182</v>
      </c>
    </row>
    <row r="25" spans="1:8">
      <c r="A25" s="848">
        <v>28</v>
      </c>
      <c r="B25" s="848" t="s">
        <v>1002</v>
      </c>
      <c r="C25" s="851">
        <v>5812615</v>
      </c>
      <c r="D25" s="851">
        <v>7956154</v>
      </c>
      <c r="E25" s="851">
        <f t="shared" si="0"/>
        <v>2143539</v>
      </c>
      <c r="F25" s="850">
        <f t="shared" si="1"/>
        <v>0.36877360705981732</v>
      </c>
      <c r="H25" s="849">
        <f t="shared" si="2"/>
        <v>1071769.5</v>
      </c>
    </row>
    <row r="26" spans="1:8">
      <c r="A26" s="848">
        <v>29</v>
      </c>
      <c r="B26" s="848" t="s">
        <v>1001</v>
      </c>
      <c r="C26" s="851">
        <v>29203441</v>
      </c>
      <c r="D26" s="851">
        <v>35597972</v>
      </c>
      <c r="E26" s="851">
        <f t="shared" si="0"/>
        <v>6394531</v>
      </c>
      <c r="F26" s="850">
        <f t="shared" si="1"/>
        <v>0.21896498429756961</v>
      </c>
      <c r="H26" s="849">
        <f t="shared" si="2"/>
        <v>3197265.5</v>
      </c>
    </row>
    <row r="27" spans="1:8">
      <c r="A27" s="848">
        <v>30</v>
      </c>
      <c r="B27" s="848" t="s">
        <v>1000</v>
      </c>
      <c r="C27" s="851">
        <v>2628533</v>
      </c>
      <c r="D27" s="851">
        <v>3971162</v>
      </c>
      <c r="E27" s="851">
        <f t="shared" si="0"/>
        <v>1342629</v>
      </c>
      <c r="F27" s="850">
        <f t="shared" si="1"/>
        <v>0.51079023927034584</v>
      </c>
      <c r="H27" s="849">
        <f t="shared" si="2"/>
        <v>671314.5</v>
      </c>
    </row>
    <row r="28" spans="1:8">
      <c r="A28" s="848">
        <v>32</v>
      </c>
      <c r="B28" s="848" t="s">
        <v>999</v>
      </c>
      <c r="C28" s="851">
        <v>8598256</v>
      </c>
      <c r="D28" s="851">
        <v>12384586</v>
      </c>
      <c r="E28" s="851">
        <f t="shared" si="0"/>
        <v>3786330</v>
      </c>
      <c r="F28" s="850">
        <f t="shared" si="1"/>
        <v>0.44036023119106948</v>
      </c>
      <c r="H28" s="849">
        <f t="shared" si="2"/>
        <v>1893165</v>
      </c>
    </row>
    <row r="29" spans="1:8">
      <c r="A29" s="848">
        <v>33</v>
      </c>
      <c r="B29" s="848" t="s">
        <v>998</v>
      </c>
      <c r="C29" s="851">
        <v>7288631</v>
      </c>
      <c r="D29" s="851">
        <v>11213737</v>
      </c>
      <c r="E29" s="851">
        <f t="shared" si="0"/>
        <v>3925106</v>
      </c>
      <c r="F29" s="850">
        <f t="shared" si="1"/>
        <v>0.53852444992756521</v>
      </c>
      <c r="H29" s="849">
        <f t="shared" si="2"/>
        <v>1962553</v>
      </c>
    </row>
    <row r="30" spans="1:8">
      <c r="A30" s="848">
        <v>34</v>
      </c>
      <c r="B30" s="848" t="s">
        <v>997</v>
      </c>
      <c r="C30" s="851">
        <v>10225037</v>
      </c>
      <c r="D30" s="851">
        <v>14343315</v>
      </c>
      <c r="E30" s="851">
        <f t="shared" si="0"/>
        <v>4118278</v>
      </c>
      <c r="F30" s="850">
        <f t="shared" si="1"/>
        <v>0.40276411713718008</v>
      </c>
      <c r="H30" s="849">
        <f t="shared" si="2"/>
        <v>2059139</v>
      </c>
    </row>
    <row r="31" spans="1:8">
      <c r="A31" s="848">
        <v>35</v>
      </c>
      <c r="B31" s="848" t="s">
        <v>996</v>
      </c>
      <c r="C31" s="851">
        <v>6024743</v>
      </c>
      <c r="D31" s="851">
        <v>7461897</v>
      </c>
      <c r="E31" s="851">
        <f t="shared" si="0"/>
        <v>1437154</v>
      </c>
      <c r="F31" s="850">
        <f t="shared" si="1"/>
        <v>0.23854195938316369</v>
      </c>
      <c r="H31" s="849">
        <f t="shared" si="2"/>
        <v>718577</v>
      </c>
    </row>
    <row r="32" spans="1:8">
      <c r="A32" s="848">
        <v>37</v>
      </c>
      <c r="B32" s="848" t="s">
        <v>995</v>
      </c>
      <c r="C32" s="851">
        <v>5546661</v>
      </c>
      <c r="D32" s="851">
        <v>9250469</v>
      </c>
      <c r="E32" s="851">
        <f t="shared" si="0"/>
        <v>3703808</v>
      </c>
      <c r="F32" s="850">
        <f t="shared" si="1"/>
        <v>0.66775452835498683</v>
      </c>
      <c r="H32" s="849">
        <f t="shared" si="2"/>
        <v>1851904</v>
      </c>
    </row>
    <row r="33" spans="1:8">
      <c r="A33" s="848">
        <v>38</v>
      </c>
      <c r="B33" s="848" t="s">
        <v>994</v>
      </c>
      <c r="C33" s="851">
        <v>16496810</v>
      </c>
      <c r="D33" s="851">
        <v>25477161</v>
      </c>
      <c r="E33" s="851">
        <f t="shared" si="0"/>
        <v>8980351</v>
      </c>
      <c r="F33" s="850">
        <f t="shared" si="1"/>
        <v>0.54436894163174587</v>
      </c>
      <c r="H33" s="849">
        <f t="shared" si="2"/>
        <v>4490175.5</v>
      </c>
    </row>
    <row r="34" spans="1:8">
      <c r="A34" s="848">
        <v>39</v>
      </c>
      <c r="B34" s="848" t="s">
        <v>952</v>
      </c>
      <c r="C34" s="851">
        <v>5692155</v>
      </c>
      <c r="D34" s="851">
        <v>7553489</v>
      </c>
      <c r="E34" s="851">
        <f t="shared" si="0"/>
        <v>1861334</v>
      </c>
      <c r="F34" s="850">
        <f t="shared" si="1"/>
        <v>0.32699987965893418</v>
      </c>
      <c r="H34" s="849">
        <f t="shared" si="2"/>
        <v>930667</v>
      </c>
    </row>
    <row r="35" spans="1:8">
      <c r="A35" s="848">
        <v>40</v>
      </c>
      <c r="B35" s="848" t="s">
        <v>993</v>
      </c>
      <c r="C35" s="851">
        <v>8809263</v>
      </c>
      <c r="D35" s="851">
        <v>11833832</v>
      </c>
      <c r="E35" s="851">
        <f t="shared" si="0"/>
        <v>3024569</v>
      </c>
      <c r="F35" s="850">
        <f t="shared" si="1"/>
        <v>0.34333961876265917</v>
      </c>
      <c r="H35" s="849">
        <f t="shared" si="2"/>
        <v>1512284.5</v>
      </c>
    </row>
    <row r="36" spans="1:8">
      <c r="A36" s="848">
        <v>43</v>
      </c>
      <c r="B36" s="848" t="s">
        <v>992</v>
      </c>
      <c r="C36" s="851">
        <v>15271621</v>
      </c>
      <c r="D36" s="851">
        <v>22470402</v>
      </c>
      <c r="E36" s="851">
        <f t="shared" ref="E36:E52" si="3">D36-C36</f>
        <v>7198781</v>
      </c>
      <c r="F36" s="850">
        <f t="shared" ref="F36:F53" si="4">D36/C36-1</f>
        <v>0.47138290034829966</v>
      </c>
      <c r="H36" s="849">
        <f t="shared" ref="H36:H52" si="5">E36/2</f>
        <v>3599390.5</v>
      </c>
    </row>
    <row r="37" spans="1:8">
      <c r="A37" s="848">
        <v>44</v>
      </c>
      <c r="B37" s="848" t="s">
        <v>207</v>
      </c>
      <c r="C37" s="851">
        <v>7715503</v>
      </c>
      <c r="D37" s="851">
        <v>9756827</v>
      </c>
      <c r="E37" s="851">
        <f t="shared" si="3"/>
        <v>2041324</v>
      </c>
      <c r="F37" s="850">
        <f t="shared" si="4"/>
        <v>0.26457432522545843</v>
      </c>
      <c r="H37" s="849">
        <f t="shared" si="5"/>
        <v>1020662</v>
      </c>
    </row>
    <row r="38" spans="1:8">
      <c r="A38" s="848">
        <v>45</v>
      </c>
      <c r="B38" s="848" t="s">
        <v>208</v>
      </c>
      <c r="C38" s="851">
        <v>1106900</v>
      </c>
      <c r="D38" s="851">
        <v>1400491</v>
      </c>
      <c r="E38" s="851">
        <f t="shared" si="3"/>
        <v>293591</v>
      </c>
      <c r="F38" s="850">
        <f t="shared" si="4"/>
        <v>0.2652371487939289</v>
      </c>
      <c r="H38" s="849">
        <f t="shared" si="5"/>
        <v>146795.5</v>
      </c>
    </row>
    <row r="39" spans="1:8">
      <c r="A39" s="848">
        <v>48</v>
      </c>
      <c r="B39" s="848" t="s">
        <v>991</v>
      </c>
      <c r="C39" s="851">
        <v>7113591</v>
      </c>
      <c r="D39" s="851">
        <v>8778671</v>
      </c>
      <c r="E39" s="851">
        <f t="shared" si="3"/>
        <v>1665080</v>
      </c>
      <c r="F39" s="850">
        <f t="shared" si="4"/>
        <v>0.23407024665882536</v>
      </c>
      <c r="H39" s="849">
        <f t="shared" si="5"/>
        <v>832540</v>
      </c>
    </row>
    <row r="40" spans="1:8">
      <c r="A40" s="848">
        <v>49</v>
      </c>
      <c r="B40" s="848" t="s">
        <v>990</v>
      </c>
      <c r="C40" s="851">
        <v>7337826</v>
      </c>
      <c r="D40" s="851">
        <v>9177861</v>
      </c>
      <c r="E40" s="851">
        <f t="shared" si="3"/>
        <v>1840035</v>
      </c>
      <c r="F40" s="850">
        <f t="shared" si="4"/>
        <v>0.25076023879552345</v>
      </c>
      <c r="H40" s="849">
        <f t="shared" si="5"/>
        <v>920017.5</v>
      </c>
    </row>
    <row r="41" spans="1:8">
      <c r="A41" s="848">
        <v>51</v>
      </c>
      <c r="B41" s="848" t="s">
        <v>989</v>
      </c>
      <c r="C41" s="851">
        <v>6938973</v>
      </c>
      <c r="D41" s="851">
        <v>11622013</v>
      </c>
      <c r="E41" s="851">
        <f t="shared" si="3"/>
        <v>4683040</v>
      </c>
      <c r="F41" s="850">
        <f t="shared" si="4"/>
        <v>0.67488949733627734</v>
      </c>
      <c r="H41" s="849">
        <f t="shared" si="5"/>
        <v>2341520</v>
      </c>
    </row>
    <row r="42" spans="1:8">
      <c r="A42" s="848">
        <v>55</v>
      </c>
      <c r="B42" s="848" t="s">
        <v>988</v>
      </c>
      <c r="C42" s="851">
        <v>5103596</v>
      </c>
      <c r="D42" s="851">
        <v>6337222</v>
      </c>
      <c r="E42" s="851">
        <f t="shared" si="3"/>
        <v>1233626</v>
      </c>
      <c r="F42" s="850">
        <f t="shared" si="4"/>
        <v>0.24171701678581137</v>
      </c>
      <c r="H42" s="849">
        <f t="shared" si="5"/>
        <v>616813</v>
      </c>
    </row>
    <row r="43" spans="1:8">
      <c r="A43" s="848">
        <v>60</v>
      </c>
      <c r="B43" s="848" t="s">
        <v>987</v>
      </c>
      <c r="C43" s="851">
        <v>1742094</v>
      </c>
      <c r="D43" s="851">
        <v>2046065</v>
      </c>
      <c r="E43" s="851">
        <f t="shared" si="3"/>
        <v>303971</v>
      </c>
      <c r="F43" s="850">
        <f t="shared" si="4"/>
        <v>0.1744859921450852</v>
      </c>
      <c r="H43" s="849">
        <f t="shared" si="5"/>
        <v>151985.5</v>
      </c>
    </row>
    <row r="44" spans="1:8">
      <c r="A44" s="848">
        <v>61</v>
      </c>
      <c r="B44" s="848" t="s">
        <v>986</v>
      </c>
      <c r="C44" s="851">
        <v>3367342</v>
      </c>
      <c r="D44" s="851">
        <v>5009993</v>
      </c>
      <c r="E44" s="851">
        <f t="shared" si="3"/>
        <v>1642651</v>
      </c>
      <c r="F44" s="850">
        <f t="shared" si="4"/>
        <v>0.487818285163788</v>
      </c>
      <c r="H44" s="849">
        <f t="shared" si="5"/>
        <v>821325.5</v>
      </c>
    </row>
    <row r="45" spans="1:8">
      <c r="A45" s="848">
        <v>62</v>
      </c>
      <c r="B45" s="848" t="s">
        <v>959</v>
      </c>
      <c r="C45" s="851">
        <v>7578906</v>
      </c>
      <c r="D45" s="851">
        <v>13827876</v>
      </c>
      <c r="E45" s="851">
        <f t="shared" si="3"/>
        <v>6248970</v>
      </c>
      <c r="F45" s="850">
        <f t="shared" si="4"/>
        <v>0.82452137551250804</v>
      </c>
      <c r="H45" s="849">
        <f t="shared" si="5"/>
        <v>3124485</v>
      </c>
    </row>
    <row r="46" spans="1:8">
      <c r="A46" s="848">
        <v>63</v>
      </c>
      <c r="B46" s="848" t="s">
        <v>985</v>
      </c>
      <c r="C46" s="851">
        <v>6805865</v>
      </c>
      <c r="D46" s="851">
        <v>6874192</v>
      </c>
      <c r="E46" s="851">
        <f t="shared" si="3"/>
        <v>68327</v>
      </c>
      <c r="F46" s="850">
        <f t="shared" si="4"/>
        <v>1.0039429227585384E-2</v>
      </c>
      <c r="H46" s="849">
        <f t="shared" si="5"/>
        <v>34163.5</v>
      </c>
    </row>
    <row r="47" spans="1:8">
      <c r="A47" s="848">
        <v>64</v>
      </c>
      <c r="B47" s="848" t="s">
        <v>248</v>
      </c>
      <c r="C47" s="851">
        <v>0</v>
      </c>
      <c r="D47" s="851">
        <v>0</v>
      </c>
      <c r="E47" s="851">
        <f t="shared" si="3"/>
        <v>0</v>
      </c>
      <c r="F47" s="850" t="e">
        <f t="shared" si="4"/>
        <v>#DIV/0!</v>
      </c>
      <c r="H47" s="849">
        <f t="shared" si="5"/>
        <v>0</v>
      </c>
    </row>
    <row r="48" spans="1:8">
      <c r="A48" s="855">
        <v>65</v>
      </c>
      <c r="B48" s="855" t="s">
        <v>908</v>
      </c>
      <c r="C48" s="855"/>
      <c r="D48" s="856">
        <v>381928</v>
      </c>
      <c r="E48" s="856">
        <f t="shared" si="3"/>
        <v>381928</v>
      </c>
      <c r="F48" s="857" t="e">
        <f t="shared" si="4"/>
        <v>#DIV/0!</v>
      </c>
      <c r="G48" s="855"/>
      <c r="H48" s="858">
        <f t="shared" si="5"/>
        <v>190964</v>
      </c>
    </row>
    <row r="49" spans="1:8">
      <c r="A49" s="848">
        <v>2001</v>
      </c>
      <c r="B49" s="848" t="s">
        <v>981</v>
      </c>
      <c r="C49" s="851">
        <v>3308918</v>
      </c>
      <c r="D49" s="851">
        <v>6396453</v>
      </c>
      <c r="E49" s="851">
        <f t="shared" si="3"/>
        <v>3087535</v>
      </c>
      <c r="F49" s="850">
        <f t="shared" si="4"/>
        <v>0.93309504798849652</v>
      </c>
      <c r="H49" s="849">
        <f t="shared" si="5"/>
        <v>1543767.5</v>
      </c>
    </row>
    <row r="50" spans="1:8">
      <c r="A50" s="848">
        <v>2004</v>
      </c>
      <c r="B50" s="848" t="s">
        <v>980</v>
      </c>
      <c r="C50" s="851">
        <v>8895764</v>
      </c>
      <c r="D50" s="851">
        <v>13419091</v>
      </c>
      <c r="E50" s="851">
        <f t="shared" si="3"/>
        <v>4523327</v>
      </c>
      <c r="F50" s="850">
        <f t="shared" si="4"/>
        <v>0.50848100286833153</v>
      </c>
      <c r="H50" s="849">
        <f t="shared" si="5"/>
        <v>2261663.5</v>
      </c>
    </row>
    <row r="51" spans="1:8">
      <c r="A51" s="848">
        <v>5050</v>
      </c>
      <c r="B51" s="848" t="s">
        <v>979</v>
      </c>
      <c r="C51" s="851">
        <v>8411001</v>
      </c>
      <c r="D51" s="851">
        <v>11409177</v>
      </c>
      <c r="E51" s="851">
        <f t="shared" si="3"/>
        <v>2998176</v>
      </c>
      <c r="F51" s="850">
        <f t="shared" si="4"/>
        <v>0.35645888045905605</v>
      </c>
      <c r="H51" s="849">
        <f t="shared" si="5"/>
        <v>1499088</v>
      </c>
    </row>
    <row r="52" spans="1:8">
      <c r="A52" s="848">
        <v>8992</v>
      </c>
      <c r="B52" s="848" t="s">
        <v>978</v>
      </c>
      <c r="C52" s="851">
        <v>1253826</v>
      </c>
      <c r="D52" s="851">
        <v>2217487</v>
      </c>
      <c r="E52" s="851">
        <f t="shared" si="3"/>
        <v>963661</v>
      </c>
      <c r="F52" s="850">
        <f t="shared" si="4"/>
        <v>0.76857634153383314</v>
      </c>
      <c r="H52" s="849">
        <f t="shared" si="5"/>
        <v>481830.5</v>
      </c>
    </row>
    <row r="53" spans="1:8">
      <c r="C53" s="872">
        <f>SUM(C4:C52)</f>
        <v>540838474</v>
      </c>
      <c r="D53" s="872">
        <f>SUM(D4:D52)</f>
        <v>759112743</v>
      </c>
      <c r="E53" s="872">
        <f>SUM(E4:E52)</f>
        <v>218274269</v>
      </c>
      <c r="F53" s="873">
        <f t="shared" si="4"/>
        <v>0.40358495094784996</v>
      </c>
      <c r="G53" s="874"/>
      <c r="H53" s="875">
        <f>SUM(H4:H52)</f>
        <v>109137134.5</v>
      </c>
    </row>
    <row r="54" spans="1:8">
      <c r="C54" s="851"/>
      <c r="D54" s="851"/>
      <c r="E54" s="851"/>
      <c r="F54" s="850"/>
      <c r="H54" s="849"/>
    </row>
    <row r="55" spans="1:8">
      <c r="A55" s="866" t="s">
        <v>1018</v>
      </c>
      <c r="B55" s="866" t="s">
        <v>984</v>
      </c>
      <c r="C55" s="867">
        <v>644556</v>
      </c>
      <c r="D55" s="867">
        <v>814352</v>
      </c>
      <c r="E55" s="867">
        <f>D55-C55</f>
        <v>169796</v>
      </c>
      <c r="F55" s="868">
        <f>D55/C55-1</f>
        <v>0.26343095091815139</v>
      </c>
      <c r="G55" s="866"/>
      <c r="H55" s="869">
        <f>E55/2</f>
        <v>84898</v>
      </c>
    </row>
    <row r="56" spans="1:8">
      <c r="A56" s="866" t="s">
        <v>1019</v>
      </c>
      <c r="B56" s="866" t="s">
        <v>983</v>
      </c>
      <c r="C56" s="867">
        <v>284920</v>
      </c>
      <c r="D56" s="867">
        <v>285721</v>
      </c>
      <c r="E56" s="867">
        <f>D56-C56</f>
        <v>801</v>
      </c>
      <c r="F56" s="868">
        <f>D56/C56-1</f>
        <v>2.8113154569704424E-3</v>
      </c>
      <c r="G56" s="866"/>
      <c r="H56" s="869">
        <f>E56/2</f>
        <v>400.5</v>
      </c>
    </row>
    <row r="57" spans="1:8">
      <c r="A57" s="866" t="s">
        <v>1020</v>
      </c>
      <c r="B57" s="866" t="s">
        <v>982</v>
      </c>
      <c r="C57" s="867">
        <v>521282</v>
      </c>
      <c r="D57" s="867">
        <v>731096</v>
      </c>
      <c r="E57" s="867">
        <f>D57-C57</f>
        <v>209814</v>
      </c>
      <c r="F57" s="868">
        <f>D57/C57-1</f>
        <v>0.40249615371334513</v>
      </c>
      <c r="G57" s="866"/>
      <c r="H57" s="869">
        <f>E57/2</f>
        <v>104907</v>
      </c>
    </row>
    <row r="58" spans="1:8">
      <c r="A58" s="848" t="s">
        <v>1021</v>
      </c>
    </row>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dimension ref="A1:K156"/>
  <sheetViews>
    <sheetView showGridLines="0" view="pageBreakPreview" zoomScale="80" zoomScaleNormal="50" zoomScaleSheetLayoutView="80" workbookViewId="0">
      <selection activeCell="K152" sqref="K152"/>
    </sheetView>
  </sheetViews>
  <sheetFormatPr defaultRowHeight="18" customHeight="1"/>
  <cols>
    <col min="1" max="1" width="8.28515625" style="146" customWidth="1"/>
    <col min="2" max="2" width="55.42578125" style="147" bestFit="1" customWidth="1"/>
    <col min="3" max="3" width="9.5703125" style="147" customWidth="1"/>
    <col min="4" max="4" width="9.140625" style="147"/>
    <col min="5" max="5" width="12.42578125" style="147" customWidth="1"/>
    <col min="6" max="6" width="18.5703125" style="147" customWidth="1"/>
    <col min="7" max="7" width="23.5703125" style="147" customWidth="1"/>
    <col min="8" max="8" width="17.140625" style="147" customWidth="1"/>
    <col min="9" max="9" width="21.140625" style="147" customWidth="1"/>
    <col min="10" max="10" width="19.85546875" style="147" customWidth="1"/>
    <col min="11" max="11" width="17.5703125" style="147" customWidth="1"/>
    <col min="12" max="16384" width="9.140625" style="147"/>
  </cols>
  <sheetData>
    <row r="1" spans="1:11" ht="18" customHeight="1">
      <c r="C1" s="148"/>
      <c r="D1" s="149"/>
      <c r="E1" s="148"/>
      <c r="F1" s="148"/>
      <c r="G1" s="148"/>
      <c r="H1" s="148"/>
      <c r="I1" s="148"/>
      <c r="J1" s="148"/>
      <c r="K1" s="148"/>
    </row>
    <row r="2" spans="1:11" ht="18" customHeight="1">
      <c r="D2" s="910" t="s">
        <v>713</v>
      </c>
      <c r="E2" s="911"/>
      <c r="F2" s="911"/>
      <c r="G2" s="911"/>
      <c r="H2" s="911"/>
    </row>
    <row r="3" spans="1:11" ht="18" customHeight="1">
      <c r="B3" s="150" t="s">
        <v>0</v>
      </c>
    </row>
    <row r="5" spans="1:11" ht="18" customHeight="1">
      <c r="B5" s="151" t="s">
        <v>40</v>
      </c>
      <c r="C5" s="912" t="s">
        <v>553</v>
      </c>
      <c r="D5" s="918"/>
      <c r="E5" s="918"/>
      <c r="F5" s="918"/>
      <c r="G5" s="919"/>
    </row>
    <row r="6" spans="1:11" ht="18" customHeight="1">
      <c r="B6" s="151" t="s">
        <v>3</v>
      </c>
      <c r="C6" s="929">
        <v>4000</v>
      </c>
      <c r="D6" s="921"/>
      <c r="E6" s="921"/>
      <c r="F6" s="921"/>
      <c r="G6" s="922"/>
    </row>
    <row r="7" spans="1:11" ht="18" customHeight="1">
      <c r="B7" s="151" t="s">
        <v>4</v>
      </c>
      <c r="C7" s="930">
        <v>2586</v>
      </c>
      <c r="D7" s="924"/>
      <c r="E7" s="924"/>
      <c r="F7" s="924"/>
      <c r="G7" s="925"/>
    </row>
    <row r="9" spans="1:11" ht="18" customHeight="1">
      <c r="B9" s="151" t="s">
        <v>1</v>
      </c>
      <c r="C9" s="912" t="s">
        <v>554</v>
      </c>
      <c r="D9" s="918"/>
      <c r="E9" s="918"/>
      <c r="F9" s="918"/>
      <c r="G9" s="919"/>
    </row>
    <row r="10" spans="1:11" ht="18" customHeight="1">
      <c r="B10" s="151" t="s">
        <v>2</v>
      </c>
      <c r="C10" s="926" t="s">
        <v>555</v>
      </c>
      <c r="D10" s="927"/>
      <c r="E10" s="927"/>
      <c r="F10" s="927"/>
      <c r="G10" s="928"/>
    </row>
    <row r="11" spans="1:11" ht="18" customHeight="1">
      <c r="B11" s="151" t="s">
        <v>32</v>
      </c>
      <c r="C11" s="912" t="s">
        <v>859</v>
      </c>
      <c r="D11" s="913"/>
      <c r="E11" s="913"/>
      <c r="F11" s="913"/>
      <c r="G11" s="913"/>
    </row>
    <row r="12" spans="1:11" ht="18" customHeight="1">
      <c r="B12" s="151"/>
      <c r="C12" s="151"/>
      <c r="D12" s="151"/>
      <c r="E12" s="151"/>
      <c r="F12" s="151"/>
      <c r="G12" s="151"/>
    </row>
    <row r="13" spans="1:11" ht="24.6" customHeight="1">
      <c r="B13" s="914"/>
      <c r="C13" s="915"/>
      <c r="D13" s="915"/>
      <c r="E13" s="915"/>
      <c r="F13" s="915"/>
      <c r="G13" s="915"/>
      <c r="H13" s="916"/>
      <c r="I13" s="148"/>
    </row>
    <row r="14" spans="1:11" ht="18" customHeight="1">
      <c r="B14" s="152"/>
    </row>
    <row r="15" spans="1:11" ht="18" customHeight="1">
      <c r="B15" s="152"/>
    </row>
    <row r="16" spans="1:11" ht="45" customHeight="1">
      <c r="A16" s="149" t="s">
        <v>181</v>
      </c>
      <c r="B16" s="148"/>
      <c r="C16" s="148"/>
      <c r="D16" s="148"/>
      <c r="E16" s="148"/>
      <c r="F16" s="153" t="s">
        <v>9</v>
      </c>
      <c r="G16" s="153" t="s">
        <v>37</v>
      </c>
      <c r="H16" s="153" t="s">
        <v>29</v>
      </c>
      <c r="I16" s="153" t="s">
        <v>30</v>
      </c>
      <c r="J16" s="153" t="s">
        <v>33</v>
      </c>
      <c r="K16" s="153" t="s">
        <v>34</v>
      </c>
    </row>
    <row r="17" spans="1:11" ht="18" customHeight="1">
      <c r="A17" s="154" t="s">
        <v>184</v>
      </c>
      <c r="B17" s="150" t="s">
        <v>182</v>
      </c>
    </row>
    <row r="18" spans="1:11" ht="18" customHeight="1">
      <c r="A18" s="151" t="s">
        <v>185</v>
      </c>
      <c r="B18" s="155" t="s">
        <v>183</v>
      </c>
      <c r="F18" s="156" t="s">
        <v>73</v>
      </c>
      <c r="G18" s="156" t="s">
        <v>73</v>
      </c>
      <c r="H18" s="157"/>
      <c r="I18" s="158">
        <v>0</v>
      </c>
      <c r="J18" s="157"/>
      <c r="K18" s="159">
        <f>(H18+I18)-J18</f>
        <v>0</v>
      </c>
    </row>
    <row r="19" spans="1:11" ht="45" customHeight="1">
      <c r="A19" s="149" t="s">
        <v>8</v>
      </c>
      <c r="B19" s="148"/>
      <c r="C19" s="148"/>
      <c r="D19" s="148"/>
      <c r="E19" s="148"/>
      <c r="F19" s="153" t="s">
        <v>9</v>
      </c>
      <c r="G19" s="153" t="s">
        <v>37</v>
      </c>
      <c r="H19" s="153" t="s">
        <v>29</v>
      </c>
      <c r="I19" s="153" t="s">
        <v>30</v>
      </c>
      <c r="J19" s="153" t="s">
        <v>33</v>
      </c>
      <c r="K19" s="153" t="s">
        <v>34</v>
      </c>
    </row>
    <row r="20" spans="1:11" ht="18" customHeight="1">
      <c r="A20" s="154" t="s">
        <v>74</v>
      </c>
      <c r="B20" s="150" t="s">
        <v>41</v>
      </c>
    </row>
    <row r="21" spans="1:11" ht="18" customHeight="1">
      <c r="A21" s="151" t="s">
        <v>75</v>
      </c>
      <c r="B21" s="155" t="s">
        <v>42</v>
      </c>
      <c r="F21" s="156">
        <v>369</v>
      </c>
      <c r="G21" s="156">
        <v>124587</v>
      </c>
      <c r="H21" s="157">
        <v>216773.24</v>
      </c>
      <c r="I21" s="158">
        <f t="shared" ref="I21:I34" si="0">H21*F$114</f>
        <v>166395.13902399997</v>
      </c>
      <c r="J21" s="157"/>
      <c r="K21" s="159">
        <f t="shared" ref="K21:K34" si="1">(H21+I21)-J21</f>
        <v>383168.37902399997</v>
      </c>
    </row>
    <row r="22" spans="1:11" ht="18" customHeight="1">
      <c r="A22" s="151" t="s">
        <v>76</v>
      </c>
      <c r="B22" s="147" t="s">
        <v>6</v>
      </c>
      <c r="F22" s="156"/>
      <c r="G22" s="156"/>
      <c r="H22" s="157"/>
      <c r="I22" s="158">
        <f t="shared" si="0"/>
        <v>0</v>
      </c>
      <c r="J22" s="157"/>
      <c r="K22" s="159">
        <f t="shared" si="1"/>
        <v>0</v>
      </c>
    </row>
    <row r="23" spans="1:11" ht="18" customHeight="1">
      <c r="A23" s="151" t="s">
        <v>77</v>
      </c>
      <c r="B23" s="147" t="s">
        <v>43</v>
      </c>
      <c r="F23" s="156"/>
      <c r="G23" s="156"/>
      <c r="H23" s="157"/>
      <c r="I23" s="158">
        <f t="shared" si="0"/>
        <v>0</v>
      </c>
      <c r="J23" s="157"/>
      <c r="K23" s="159">
        <f t="shared" si="1"/>
        <v>0</v>
      </c>
    </row>
    <row r="24" spans="1:11" ht="18" customHeight="1">
      <c r="A24" s="151" t="s">
        <v>78</v>
      </c>
      <c r="B24" s="147" t="s">
        <v>44</v>
      </c>
      <c r="F24" s="156"/>
      <c r="G24" s="156"/>
      <c r="H24" s="157"/>
      <c r="I24" s="158">
        <f t="shared" si="0"/>
        <v>0</v>
      </c>
      <c r="J24" s="157"/>
      <c r="K24" s="159">
        <f t="shared" si="1"/>
        <v>0</v>
      </c>
    </row>
    <row r="25" spans="1:11" ht="18" customHeight="1">
      <c r="A25" s="151" t="s">
        <v>79</v>
      </c>
      <c r="B25" s="147" t="s">
        <v>5</v>
      </c>
      <c r="F25" s="156"/>
      <c r="G25" s="156"/>
      <c r="H25" s="157"/>
      <c r="I25" s="158">
        <f t="shared" si="0"/>
        <v>0</v>
      </c>
      <c r="J25" s="157"/>
      <c r="K25" s="159">
        <f t="shared" si="1"/>
        <v>0</v>
      </c>
    </row>
    <row r="26" spans="1:11" ht="18" customHeight="1">
      <c r="A26" s="151" t="s">
        <v>80</v>
      </c>
      <c r="B26" s="147" t="s">
        <v>45</v>
      </c>
      <c r="F26" s="156"/>
      <c r="G26" s="156"/>
      <c r="H26" s="157"/>
      <c r="I26" s="158">
        <f t="shared" si="0"/>
        <v>0</v>
      </c>
      <c r="J26" s="157"/>
      <c r="K26" s="159">
        <f t="shared" si="1"/>
        <v>0</v>
      </c>
    </row>
    <row r="27" spans="1:11" ht="18" customHeight="1">
      <c r="A27" s="151" t="s">
        <v>81</v>
      </c>
      <c r="B27" s="147" t="s">
        <v>46</v>
      </c>
      <c r="F27" s="156">
        <v>2091</v>
      </c>
      <c r="G27" s="156">
        <v>3988</v>
      </c>
      <c r="H27" s="157">
        <v>50795.21</v>
      </c>
      <c r="I27" s="158">
        <f t="shared" si="0"/>
        <v>38990.403195999999</v>
      </c>
      <c r="J27" s="157">
        <v>20446</v>
      </c>
      <c r="K27" s="159">
        <f t="shared" si="1"/>
        <v>69339.613195999991</v>
      </c>
    </row>
    <row r="28" spans="1:11" ht="18" customHeight="1">
      <c r="A28" s="151" t="s">
        <v>82</v>
      </c>
      <c r="B28" s="147" t="s">
        <v>47</v>
      </c>
      <c r="F28" s="156"/>
      <c r="G28" s="156"/>
      <c r="H28" s="157"/>
      <c r="I28" s="158">
        <f t="shared" si="0"/>
        <v>0</v>
      </c>
      <c r="J28" s="157"/>
      <c r="K28" s="159">
        <f t="shared" si="1"/>
        <v>0</v>
      </c>
    </row>
    <row r="29" spans="1:11" ht="18" customHeight="1">
      <c r="A29" s="151" t="s">
        <v>83</v>
      </c>
      <c r="B29" s="147" t="s">
        <v>48</v>
      </c>
      <c r="F29" s="156"/>
      <c r="G29" s="156"/>
      <c r="H29" s="157"/>
      <c r="I29" s="158">
        <f t="shared" si="0"/>
        <v>0</v>
      </c>
      <c r="J29" s="157"/>
      <c r="K29" s="159">
        <f t="shared" si="1"/>
        <v>0</v>
      </c>
    </row>
    <row r="30" spans="1:11" ht="18" customHeight="1">
      <c r="A30" s="151" t="s">
        <v>84</v>
      </c>
      <c r="B30" s="898" t="s">
        <v>860</v>
      </c>
      <c r="C30" s="899"/>
      <c r="D30" s="900"/>
      <c r="F30" s="156">
        <v>1776</v>
      </c>
      <c r="G30" s="156">
        <v>419</v>
      </c>
      <c r="H30" s="157">
        <v>49994.78</v>
      </c>
      <c r="I30" s="158">
        <f t="shared" si="0"/>
        <v>38375.993127999995</v>
      </c>
      <c r="J30" s="157"/>
      <c r="K30" s="159">
        <f t="shared" si="1"/>
        <v>88370.773128000001</v>
      </c>
    </row>
    <row r="31" spans="1:11" ht="18" customHeight="1">
      <c r="A31" s="151" t="s">
        <v>133</v>
      </c>
      <c r="B31" s="898" t="s">
        <v>861</v>
      </c>
      <c r="C31" s="899"/>
      <c r="D31" s="900"/>
      <c r="F31" s="156">
        <v>4503</v>
      </c>
      <c r="G31" s="156">
        <v>2476</v>
      </c>
      <c r="H31" s="157">
        <v>307345.02</v>
      </c>
      <c r="I31" s="158">
        <f t="shared" si="0"/>
        <v>235918.03735199998</v>
      </c>
      <c r="J31" s="157"/>
      <c r="K31" s="159">
        <f t="shared" si="1"/>
        <v>543263.05735200003</v>
      </c>
    </row>
    <row r="32" spans="1:11" ht="18" customHeight="1">
      <c r="A32" s="151" t="s">
        <v>134</v>
      </c>
      <c r="B32" s="408" t="s">
        <v>862</v>
      </c>
      <c r="C32" s="409"/>
      <c r="D32" s="410"/>
      <c r="F32" s="156">
        <v>522</v>
      </c>
      <c r="G32" s="160">
        <v>5217</v>
      </c>
      <c r="H32" s="157">
        <v>95020.24</v>
      </c>
      <c r="I32" s="158">
        <v>72937.53</v>
      </c>
      <c r="J32" s="157"/>
      <c r="K32" s="159">
        <f t="shared" si="1"/>
        <v>167957.77000000002</v>
      </c>
    </row>
    <row r="33" spans="1:11" ht="18" customHeight="1">
      <c r="A33" s="151" t="s">
        <v>135</v>
      </c>
      <c r="B33" s="408"/>
      <c r="C33" s="409"/>
      <c r="D33" s="410"/>
      <c r="F33" s="156"/>
      <c r="G33" s="160" t="s">
        <v>85</v>
      </c>
      <c r="H33" s="157"/>
      <c r="I33" s="158">
        <f t="shared" si="0"/>
        <v>0</v>
      </c>
      <c r="J33" s="157"/>
      <c r="K33" s="159">
        <f t="shared" si="1"/>
        <v>0</v>
      </c>
    </row>
    <row r="34" spans="1:11" ht="18" customHeight="1">
      <c r="A34" s="151" t="s">
        <v>136</v>
      </c>
      <c r="B34" s="898"/>
      <c r="C34" s="899"/>
      <c r="D34" s="900"/>
      <c r="F34" s="156"/>
      <c r="G34" s="160" t="s">
        <v>85</v>
      </c>
      <c r="H34" s="157"/>
      <c r="I34" s="158">
        <f t="shared" si="0"/>
        <v>0</v>
      </c>
      <c r="J34" s="157"/>
      <c r="K34" s="159">
        <f t="shared" si="1"/>
        <v>0</v>
      </c>
    </row>
    <row r="35" spans="1:11" ht="18" customHeight="1">
      <c r="K35" s="161"/>
    </row>
    <row r="36" spans="1:11" ht="18" customHeight="1">
      <c r="A36" s="154" t="s">
        <v>137</v>
      </c>
      <c r="B36" s="150" t="s">
        <v>138</v>
      </c>
      <c r="E36" s="150" t="s">
        <v>7</v>
      </c>
      <c r="F36" s="162">
        <f t="shared" ref="F36:K36" si="2">SUM(F21:F34)</f>
        <v>9261</v>
      </c>
      <c r="G36" s="162">
        <f t="shared" si="2"/>
        <v>136687</v>
      </c>
      <c r="H36" s="162">
        <f t="shared" si="2"/>
        <v>719928.49</v>
      </c>
      <c r="I36" s="159">
        <f t="shared" si="2"/>
        <v>552617.10269999993</v>
      </c>
      <c r="J36" s="159">
        <f t="shared" si="2"/>
        <v>20446</v>
      </c>
      <c r="K36" s="159">
        <f t="shared" si="2"/>
        <v>1252099.5926999999</v>
      </c>
    </row>
    <row r="37" spans="1:11" ht="18" customHeight="1" thickBot="1">
      <c r="B37" s="150"/>
      <c r="F37" s="163"/>
      <c r="G37" s="163"/>
      <c r="H37" s="164"/>
      <c r="I37" s="164"/>
      <c r="J37" s="164"/>
      <c r="K37" s="165"/>
    </row>
    <row r="38" spans="1:11" ht="42.75" customHeight="1">
      <c r="F38" s="153" t="s">
        <v>9</v>
      </c>
      <c r="G38" s="153" t="s">
        <v>37</v>
      </c>
      <c r="H38" s="153" t="s">
        <v>29</v>
      </c>
      <c r="I38" s="153" t="s">
        <v>30</v>
      </c>
      <c r="J38" s="153" t="s">
        <v>33</v>
      </c>
      <c r="K38" s="153" t="s">
        <v>34</v>
      </c>
    </row>
    <row r="39" spans="1:11" ht="18.75" customHeight="1">
      <c r="A39" s="154" t="s">
        <v>86</v>
      </c>
      <c r="B39" s="150" t="s">
        <v>49</v>
      </c>
    </row>
    <row r="40" spans="1:11" ht="18" customHeight="1">
      <c r="A40" s="151" t="s">
        <v>87</v>
      </c>
      <c r="B40" s="147" t="s">
        <v>31</v>
      </c>
      <c r="F40" s="156">
        <v>4997</v>
      </c>
      <c r="G40" s="156"/>
      <c r="H40" s="157">
        <v>480753.75</v>
      </c>
      <c r="I40" s="158">
        <v>369026.58</v>
      </c>
      <c r="J40" s="157"/>
      <c r="K40" s="159">
        <f t="shared" ref="K40:K47" si="3">(H40+I40)-J40</f>
        <v>849780.33000000007</v>
      </c>
    </row>
    <row r="41" spans="1:11" ht="18" customHeight="1">
      <c r="A41" s="151" t="s">
        <v>88</v>
      </c>
      <c r="B41" s="904" t="s">
        <v>50</v>
      </c>
      <c r="C41" s="907"/>
      <c r="F41" s="156">
        <v>60</v>
      </c>
      <c r="G41" s="156">
        <v>155</v>
      </c>
      <c r="H41" s="157">
        <v>1670.91</v>
      </c>
      <c r="I41" s="158">
        <v>1282.5899999999999</v>
      </c>
      <c r="J41" s="157"/>
      <c r="K41" s="159">
        <f t="shared" si="3"/>
        <v>2953.5</v>
      </c>
    </row>
    <row r="42" spans="1:11" ht="18" customHeight="1">
      <c r="A42" s="151" t="s">
        <v>89</v>
      </c>
      <c r="B42" s="155" t="s">
        <v>11</v>
      </c>
      <c r="F42" s="156">
        <v>3516</v>
      </c>
      <c r="G42" s="156">
        <v>585</v>
      </c>
      <c r="H42" s="157">
        <v>171658.94</v>
      </c>
      <c r="I42" s="158">
        <v>131765.4</v>
      </c>
      <c r="J42" s="157"/>
      <c r="K42" s="159">
        <f t="shared" si="3"/>
        <v>303424.33999999997</v>
      </c>
    </row>
    <row r="43" spans="1:11" ht="18" customHeight="1">
      <c r="A43" s="151" t="s">
        <v>90</v>
      </c>
      <c r="B43" s="166" t="s">
        <v>10</v>
      </c>
      <c r="C43" s="167"/>
      <c r="D43" s="167"/>
      <c r="F43" s="156"/>
      <c r="G43" s="156">
        <v>4</v>
      </c>
      <c r="H43" s="157">
        <v>4000</v>
      </c>
      <c r="I43" s="158">
        <v>3070.4</v>
      </c>
      <c r="J43" s="157"/>
      <c r="K43" s="159">
        <f t="shared" si="3"/>
        <v>7070.4</v>
      </c>
    </row>
    <row r="44" spans="1:11" ht="18" customHeight="1">
      <c r="A44" s="151" t="s">
        <v>91</v>
      </c>
      <c r="B44" s="898" t="s">
        <v>863</v>
      </c>
      <c r="C44" s="899"/>
      <c r="D44" s="900"/>
      <c r="F44" s="168">
        <v>1290</v>
      </c>
      <c r="G44" s="168">
        <v>3356</v>
      </c>
      <c r="H44" s="168">
        <v>39745.910000000003</v>
      </c>
      <c r="I44" s="169">
        <v>30508.959999999999</v>
      </c>
      <c r="J44" s="168"/>
      <c r="K44" s="170">
        <f t="shared" si="3"/>
        <v>70254.87</v>
      </c>
    </row>
    <row r="45" spans="1:11" ht="18" customHeight="1">
      <c r="A45" s="151" t="s">
        <v>139</v>
      </c>
      <c r="B45" s="898" t="s">
        <v>864</v>
      </c>
      <c r="C45" s="899"/>
      <c r="D45" s="900"/>
      <c r="F45" s="156">
        <v>27520</v>
      </c>
      <c r="G45" s="156">
        <v>1600</v>
      </c>
      <c r="H45" s="157">
        <v>1112860</v>
      </c>
      <c r="I45" s="158">
        <v>105138</v>
      </c>
      <c r="J45" s="157">
        <v>1217998</v>
      </c>
      <c r="K45" s="159">
        <f t="shared" si="3"/>
        <v>0</v>
      </c>
    </row>
    <row r="46" spans="1:11" ht="18" customHeight="1">
      <c r="A46" s="151" t="s">
        <v>140</v>
      </c>
      <c r="B46" s="898" t="s">
        <v>865</v>
      </c>
      <c r="C46" s="899"/>
      <c r="D46" s="900"/>
      <c r="F46" s="156">
        <v>2080</v>
      </c>
      <c r="G46" s="156">
        <v>1670</v>
      </c>
      <c r="H46" s="157">
        <v>71469.19</v>
      </c>
      <c r="I46" s="158">
        <v>0</v>
      </c>
      <c r="J46" s="157">
        <v>71469.19</v>
      </c>
      <c r="K46" s="159">
        <f t="shared" si="3"/>
        <v>0</v>
      </c>
    </row>
    <row r="47" spans="1:11" ht="18" customHeight="1">
      <c r="A47" s="151" t="s">
        <v>141</v>
      </c>
      <c r="B47" s="898"/>
      <c r="C47" s="899"/>
      <c r="D47" s="900"/>
      <c r="F47" s="156"/>
      <c r="G47" s="156"/>
      <c r="H47" s="157"/>
      <c r="I47" s="158">
        <v>0</v>
      </c>
      <c r="J47" s="157"/>
      <c r="K47" s="159">
        <f t="shared" si="3"/>
        <v>0</v>
      </c>
    </row>
    <row r="49" spans="1:11" ht="18" customHeight="1">
      <c r="A49" s="154" t="s">
        <v>142</v>
      </c>
      <c r="B49" s="150" t="s">
        <v>143</v>
      </c>
      <c r="E49" s="150" t="s">
        <v>7</v>
      </c>
      <c r="F49" s="171">
        <f t="shared" ref="F49:K49" si="4">SUM(F40:F47)</f>
        <v>39463</v>
      </c>
      <c r="G49" s="171">
        <f t="shared" si="4"/>
        <v>7370</v>
      </c>
      <c r="H49" s="159">
        <f t="shared" si="4"/>
        <v>1882158.7</v>
      </c>
      <c r="I49" s="159">
        <f t="shared" si="4"/>
        <v>640791.93000000005</v>
      </c>
      <c r="J49" s="159">
        <f t="shared" si="4"/>
        <v>1289467.19</v>
      </c>
      <c r="K49" s="159">
        <f t="shared" si="4"/>
        <v>1233483.44</v>
      </c>
    </row>
    <row r="50" spans="1:11" ht="18" customHeight="1" thickBot="1">
      <c r="G50" s="172"/>
      <c r="H50" s="172"/>
      <c r="I50" s="172"/>
      <c r="J50" s="172"/>
      <c r="K50" s="172"/>
    </row>
    <row r="51" spans="1:11" ht="42.75" customHeight="1">
      <c r="F51" s="153" t="s">
        <v>9</v>
      </c>
      <c r="G51" s="153" t="s">
        <v>37</v>
      </c>
      <c r="H51" s="153" t="s">
        <v>29</v>
      </c>
      <c r="I51" s="153" t="s">
        <v>30</v>
      </c>
      <c r="J51" s="153" t="s">
        <v>33</v>
      </c>
      <c r="K51" s="153" t="s">
        <v>34</v>
      </c>
    </row>
    <row r="52" spans="1:11" ht="18" customHeight="1">
      <c r="A52" s="154" t="s">
        <v>92</v>
      </c>
      <c r="B52" s="905" t="s">
        <v>38</v>
      </c>
      <c r="C52" s="906"/>
    </row>
    <row r="53" spans="1:11" ht="18" customHeight="1">
      <c r="A53" s="151" t="s">
        <v>51</v>
      </c>
      <c r="B53" s="1118" t="s">
        <v>556</v>
      </c>
      <c r="C53" s="909"/>
      <c r="D53" s="903"/>
      <c r="F53" s="156">
        <v>3172</v>
      </c>
      <c r="G53" s="156">
        <v>2669</v>
      </c>
      <c r="H53" s="157">
        <v>271277.23</v>
      </c>
      <c r="I53" s="158">
        <v>208232.4</v>
      </c>
      <c r="J53" s="157">
        <v>369594.31</v>
      </c>
      <c r="K53" s="159">
        <f t="shared" ref="K53:K62" si="5">(H53+I53)-J53</f>
        <v>109915.32</v>
      </c>
    </row>
    <row r="54" spans="1:11" ht="18" customHeight="1">
      <c r="A54" s="151" t="s">
        <v>93</v>
      </c>
      <c r="B54" s="416" t="s">
        <v>866</v>
      </c>
      <c r="C54" s="412"/>
      <c r="D54" s="413"/>
      <c r="F54" s="156">
        <v>11022</v>
      </c>
      <c r="G54" s="156">
        <v>4040</v>
      </c>
      <c r="H54" s="157">
        <v>547462</v>
      </c>
      <c r="I54" s="158">
        <v>53220</v>
      </c>
      <c r="J54" s="157">
        <v>583252.51</v>
      </c>
      <c r="K54" s="159">
        <f t="shared" si="5"/>
        <v>17429.489999999991</v>
      </c>
    </row>
    <row r="55" spans="1:11" ht="18" customHeight="1">
      <c r="A55" s="151" t="s">
        <v>94</v>
      </c>
      <c r="B55" s="1092" t="s">
        <v>610</v>
      </c>
      <c r="C55" s="902"/>
      <c r="D55" s="903"/>
      <c r="F55" s="156"/>
      <c r="G55" s="156"/>
      <c r="H55" s="157">
        <v>871449</v>
      </c>
      <c r="I55" s="158">
        <v>668924.25</v>
      </c>
      <c r="J55" s="157"/>
      <c r="K55" s="159">
        <f t="shared" si="5"/>
        <v>1540373.25</v>
      </c>
    </row>
    <row r="56" spans="1:11" ht="18" customHeight="1">
      <c r="A56" s="151" t="s">
        <v>95</v>
      </c>
      <c r="B56" s="1092" t="s">
        <v>558</v>
      </c>
      <c r="C56" s="902"/>
      <c r="D56" s="903"/>
      <c r="F56" s="156">
        <v>11586</v>
      </c>
      <c r="G56" s="156">
        <v>5685</v>
      </c>
      <c r="H56" s="157">
        <v>321078.65999999997</v>
      </c>
      <c r="I56" s="610">
        <v>246459.98</v>
      </c>
      <c r="J56" s="157"/>
      <c r="K56" s="159">
        <f t="shared" si="5"/>
        <v>567538.64</v>
      </c>
    </row>
    <row r="57" spans="1:11" ht="18" customHeight="1">
      <c r="A57" s="151" t="s">
        <v>96</v>
      </c>
      <c r="B57" s="1092" t="s">
        <v>559</v>
      </c>
      <c r="C57" s="902"/>
      <c r="D57" s="903"/>
      <c r="F57" s="156">
        <v>6619</v>
      </c>
      <c r="G57" s="156">
        <v>4575</v>
      </c>
      <c r="H57" s="157">
        <v>152387</v>
      </c>
      <c r="I57" s="158">
        <v>116972.26</v>
      </c>
      <c r="J57" s="157">
        <v>411947.43</v>
      </c>
      <c r="K57" s="159">
        <f t="shared" si="5"/>
        <v>-142588.16999999998</v>
      </c>
    </row>
    <row r="58" spans="1:11" ht="18" customHeight="1">
      <c r="A58" s="151" t="s">
        <v>97</v>
      </c>
      <c r="B58" s="416" t="s">
        <v>867</v>
      </c>
      <c r="C58" s="412"/>
      <c r="D58" s="413"/>
      <c r="F58" s="156">
        <v>4153</v>
      </c>
      <c r="G58" s="156">
        <v>383</v>
      </c>
      <c r="H58" s="157">
        <v>208146</v>
      </c>
      <c r="I58" s="158">
        <v>159772.87</v>
      </c>
      <c r="J58" s="157">
        <v>375664</v>
      </c>
      <c r="K58" s="159">
        <f t="shared" si="5"/>
        <v>-7745.1300000000047</v>
      </c>
    </row>
    <row r="59" spans="1:11" ht="18" customHeight="1">
      <c r="A59" s="151" t="s">
        <v>98</v>
      </c>
      <c r="B59" s="901"/>
      <c r="C59" s="902"/>
      <c r="D59" s="903"/>
      <c r="F59" s="156"/>
      <c r="G59" s="156"/>
      <c r="H59" s="157"/>
      <c r="I59" s="158">
        <v>0</v>
      </c>
      <c r="J59" s="157"/>
      <c r="K59" s="159">
        <f t="shared" si="5"/>
        <v>0</v>
      </c>
    </row>
    <row r="60" spans="1:11" ht="18" customHeight="1">
      <c r="A60" s="151" t="s">
        <v>99</v>
      </c>
      <c r="B60" s="411"/>
      <c r="C60" s="412"/>
      <c r="D60" s="413"/>
      <c r="F60" s="156"/>
      <c r="G60" s="156"/>
      <c r="H60" s="157"/>
      <c r="I60" s="158">
        <v>0</v>
      </c>
      <c r="J60" s="157"/>
      <c r="K60" s="159">
        <f t="shared" si="5"/>
        <v>0</v>
      </c>
    </row>
    <row r="61" spans="1:11" ht="18" customHeight="1">
      <c r="A61" s="151" t="s">
        <v>100</v>
      </c>
      <c r="B61" s="411"/>
      <c r="C61" s="412"/>
      <c r="D61" s="413"/>
      <c r="F61" s="156"/>
      <c r="G61" s="156"/>
      <c r="H61" s="157"/>
      <c r="I61" s="158">
        <v>0</v>
      </c>
      <c r="J61" s="157"/>
      <c r="K61" s="159">
        <f t="shared" si="5"/>
        <v>0</v>
      </c>
    </row>
    <row r="62" spans="1:11" ht="18" customHeight="1">
      <c r="A62" s="151" t="s">
        <v>101</v>
      </c>
      <c r="B62" s="901"/>
      <c r="C62" s="902"/>
      <c r="D62" s="903"/>
      <c r="F62" s="156"/>
      <c r="G62" s="156"/>
      <c r="H62" s="157"/>
      <c r="I62" s="158">
        <v>0</v>
      </c>
      <c r="J62" s="157"/>
      <c r="K62" s="159">
        <f t="shared" si="5"/>
        <v>0</v>
      </c>
    </row>
    <row r="63" spans="1:11" ht="18" customHeight="1">
      <c r="A63" s="151"/>
      <c r="I63" s="173"/>
    </row>
    <row r="64" spans="1:11" ht="18" customHeight="1">
      <c r="A64" s="151" t="s">
        <v>144</v>
      </c>
      <c r="B64" s="150" t="s">
        <v>145</v>
      </c>
      <c r="E64" s="150" t="s">
        <v>7</v>
      </c>
      <c r="F64" s="162">
        <f t="shared" ref="F64:K64" si="6">SUM(F53:F62)</f>
        <v>36552</v>
      </c>
      <c r="G64" s="162">
        <f t="shared" si="6"/>
        <v>17352</v>
      </c>
      <c r="H64" s="159">
        <f t="shared" si="6"/>
        <v>2371799.8899999997</v>
      </c>
      <c r="I64" s="159">
        <f t="shared" si="6"/>
        <v>1453581.7600000002</v>
      </c>
      <c r="J64" s="159">
        <f t="shared" si="6"/>
        <v>1740458.25</v>
      </c>
      <c r="K64" s="159">
        <f t="shared" si="6"/>
        <v>2084923.4000000004</v>
      </c>
    </row>
    <row r="65" spans="1:11" ht="18" customHeight="1">
      <c r="F65" s="174"/>
      <c r="G65" s="174"/>
      <c r="H65" s="174"/>
      <c r="I65" s="174"/>
      <c r="J65" s="174"/>
      <c r="K65" s="174"/>
    </row>
    <row r="66" spans="1:11" ht="42.75" customHeight="1">
      <c r="F66" s="175" t="s">
        <v>9</v>
      </c>
      <c r="G66" s="175" t="s">
        <v>37</v>
      </c>
      <c r="H66" s="175" t="s">
        <v>29</v>
      </c>
      <c r="I66" s="175" t="s">
        <v>30</v>
      </c>
      <c r="J66" s="175" t="s">
        <v>33</v>
      </c>
      <c r="K66" s="175" t="s">
        <v>34</v>
      </c>
    </row>
    <row r="67" spans="1:11" ht="18" customHeight="1">
      <c r="A67" s="154" t="s">
        <v>102</v>
      </c>
      <c r="B67" s="150" t="s">
        <v>12</v>
      </c>
      <c r="F67" s="176"/>
      <c r="G67" s="176"/>
      <c r="H67" s="176"/>
      <c r="I67" s="177"/>
      <c r="J67" s="176"/>
      <c r="K67" s="178"/>
    </row>
    <row r="68" spans="1:11" ht="18" customHeight="1">
      <c r="A68" s="151" t="s">
        <v>103</v>
      </c>
      <c r="B68" s="147" t="s">
        <v>52</v>
      </c>
      <c r="F68" s="179">
        <v>1750</v>
      </c>
      <c r="G68" s="179"/>
      <c r="H68" s="179">
        <v>195000</v>
      </c>
      <c r="I68" s="158">
        <v>149682</v>
      </c>
      <c r="J68" s="179"/>
      <c r="K68" s="159">
        <f>(H68+I68)-J68</f>
        <v>344682</v>
      </c>
    </row>
    <row r="69" spans="1:11" ht="18" customHeight="1">
      <c r="A69" s="151" t="s">
        <v>104</v>
      </c>
      <c r="B69" s="155" t="s">
        <v>53</v>
      </c>
      <c r="F69" s="179"/>
      <c r="G69" s="179"/>
      <c r="H69" s="179"/>
      <c r="I69" s="158">
        <v>0</v>
      </c>
      <c r="J69" s="179"/>
      <c r="K69" s="159">
        <f>(H69+I69)-J69</f>
        <v>0</v>
      </c>
    </row>
    <row r="70" spans="1:11" ht="18" customHeight="1">
      <c r="A70" s="151" t="s">
        <v>178</v>
      </c>
      <c r="B70" s="411"/>
      <c r="C70" s="412"/>
      <c r="D70" s="413"/>
      <c r="E70" s="150"/>
      <c r="F70" s="180"/>
      <c r="G70" s="180"/>
      <c r="H70" s="181"/>
      <c r="I70" s="158">
        <v>0</v>
      </c>
      <c r="J70" s="181"/>
      <c r="K70" s="159">
        <f>(H70+I70)-J70</f>
        <v>0</v>
      </c>
    </row>
    <row r="71" spans="1:11" ht="18" customHeight="1">
      <c r="A71" s="151" t="s">
        <v>179</v>
      </c>
      <c r="B71" s="411"/>
      <c r="C71" s="412"/>
      <c r="D71" s="413"/>
      <c r="E71" s="150"/>
      <c r="F71" s="180"/>
      <c r="G71" s="180"/>
      <c r="H71" s="181"/>
      <c r="I71" s="158">
        <v>0</v>
      </c>
      <c r="J71" s="181"/>
      <c r="K71" s="159">
        <f>(H71+I71)-J71</f>
        <v>0</v>
      </c>
    </row>
    <row r="72" spans="1:11" ht="18" customHeight="1">
      <c r="A72" s="151" t="s">
        <v>180</v>
      </c>
      <c r="B72" s="414"/>
      <c r="C72" s="415"/>
      <c r="D72" s="182"/>
      <c r="E72" s="150"/>
      <c r="F72" s="156"/>
      <c r="G72" s="156"/>
      <c r="H72" s="157"/>
      <c r="I72" s="158">
        <v>0</v>
      </c>
      <c r="J72" s="157"/>
      <c r="K72" s="159">
        <f>(H72+I72)-J72</f>
        <v>0</v>
      </c>
    </row>
    <row r="73" spans="1:11" ht="18" customHeight="1">
      <c r="A73" s="151"/>
      <c r="B73" s="155"/>
      <c r="E73" s="150"/>
      <c r="F73" s="183"/>
      <c r="G73" s="183"/>
      <c r="H73" s="184"/>
      <c r="I73" s="177"/>
      <c r="J73" s="184"/>
      <c r="K73" s="178"/>
    </row>
    <row r="74" spans="1:11" ht="18" customHeight="1">
      <c r="A74" s="154" t="s">
        <v>146</v>
      </c>
      <c r="B74" s="150" t="s">
        <v>147</v>
      </c>
      <c r="E74" s="150" t="s">
        <v>7</v>
      </c>
      <c r="F74" s="185">
        <f t="shared" ref="F74:K74" si="7">SUM(F68:F72)</f>
        <v>1750</v>
      </c>
      <c r="G74" s="185">
        <f t="shared" si="7"/>
        <v>0</v>
      </c>
      <c r="H74" s="185">
        <f t="shared" si="7"/>
        <v>195000</v>
      </c>
      <c r="I74" s="186">
        <f t="shared" si="7"/>
        <v>149682</v>
      </c>
      <c r="J74" s="185">
        <f t="shared" si="7"/>
        <v>0</v>
      </c>
      <c r="K74" s="187">
        <f t="shared" si="7"/>
        <v>344682</v>
      </c>
    </row>
    <row r="75" spans="1:11" ht="42.75" customHeight="1">
      <c r="F75" s="153" t="s">
        <v>9</v>
      </c>
      <c r="G75" s="153" t="s">
        <v>37</v>
      </c>
      <c r="H75" s="153" t="s">
        <v>29</v>
      </c>
      <c r="I75" s="153" t="s">
        <v>30</v>
      </c>
      <c r="J75" s="153" t="s">
        <v>33</v>
      </c>
      <c r="K75" s="153" t="s">
        <v>34</v>
      </c>
    </row>
    <row r="76" spans="1:11" ht="18" customHeight="1">
      <c r="A76" s="154" t="s">
        <v>105</v>
      </c>
      <c r="B76" s="150" t="s">
        <v>106</v>
      </c>
    </row>
    <row r="77" spans="1:11" ht="18" customHeight="1">
      <c r="A77" s="151" t="s">
        <v>107</v>
      </c>
      <c r="B77" s="155" t="s">
        <v>54</v>
      </c>
      <c r="F77" s="156"/>
      <c r="G77" s="156"/>
      <c r="H77" s="157">
        <v>384730</v>
      </c>
      <c r="I77" s="158">
        <v>295318.75</v>
      </c>
      <c r="J77" s="157"/>
      <c r="K77" s="159">
        <f>(H77+I77)-J77</f>
        <v>680048.75</v>
      </c>
    </row>
    <row r="78" spans="1:11" ht="18" customHeight="1">
      <c r="A78" s="151" t="s">
        <v>108</v>
      </c>
      <c r="B78" s="155" t="s">
        <v>55</v>
      </c>
      <c r="F78" s="156"/>
      <c r="G78" s="156"/>
      <c r="H78" s="157"/>
      <c r="I78" s="158">
        <v>0</v>
      </c>
      <c r="J78" s="157"/>
      <c r="K78" s="159">
        <f>(H78+I78)-J78</f>
        <v>0</v>
      </c>
    </row>
    <row r="79" spans="1:11" ht="18" customHeight="1">
      <c r="A79" s="151" t="s">
        <v>109</v>
      </c>
      <c r="B79" s="155" t="s">
        <v>13</v>
      </c>
      <c r="F79" s="156">
        <v>638</v>
      </c>
      <c r="G79" s="156">
        <v>13616</v>
      </c>
      <c r="H79" s="157">
        <v>40314.410000000003</v>
      </c>
      <c r="I79" s="158">
        <v>30945.34</v>
      </c>
      <c r="J79" s="157">
        <v>1000</v>
      </c>
      <c r="K79" s="159">
        <f>(H79+I79)-J79</f>
        <v>70259.75</v>
      </c>
    </row>
    <row r="80" spans="1:11" ht="18" customHeight="1">
      <c r="A80" s="151" t="s">
        <v>110</v>
      </c>
      <c r="B80" s="155" t="s">
        <v>56</v>
      </c>
      <c r="F80" s="156">
        <v>1690</v>
      </c>
      <c r="G80" s="156"/>
      <c r="H80" s="157">
        <v>66568.45</v>
      </c>
      <c r="I80" s="158">
        <v>51097.94</v>
      </c>
      <c r="J80" s="157"/>
      <c r="K80" s="159">
        <f>(H80+I80)-J80</f>
        <v>117666.39</v>
      </c>
    </row>
    <row r="81" spans="1:11" ht="18" customHeight="1">
      <c r="A81" s="151"/>
      <c r="K81" s="188"/>
    </row>
    <row r="82" spans="1:11" ht="18" customHeight="1">
      <c r="A82" s="151" t="s">
        <v>148</v>
      </c>
      <c r="B82" s="150" t="s">
        <v>149</v>
      </c>
      <c r="E82" s="150" t="s">
        <v>7</v>
      </c>
      <c r="F82" s="185">
        <f t="shared" ref="F82:K82" si="8">SUM(F77:F80)</f>
        <v>2328</v>
      </c>
      <c r="G82" s="185">
        <f t="shared" si="8"/>
        <v>13616</v>
      </c>
      <c r="H82" s="187">
        <f t="shared" si="8"/>
        <v>491612.86000000004</v>
      </c>
      <c r="I82" s="187">
        <f t="shared" si="8"/>
        <v>377362.03</v>
      </c>
      <c r="J82" s="187">
        <f t="shared" si="8"/>
        <v>1000</v>
      </c>
      <c r="K82" s="187">
        <f t="shared" si="8"/>
        <v>867974.89</v>
      </c>
    </row>
    <row r="83" spans="1:11" ht="18" customHeight="1" thickBot="1">
      <c r="A83" s="151"/>
      <c r="F83" s="172"/>
      <c r="G83" s="172"/>
      <c r="H83" s="172"/>
      <c r="I83" s="172"/>
      <c r="J83" s="172"/>
      <c r="K83" s="172"/>
    </row>
    <row r="84" spans="1:11" ht="42.75" customHeight="1">
      <c r="F84" s="153" t="s">
        <v>9</v>
      </c>
      <c r="G84" s="153" t="s">
        <v>37</v>
      </c>
      <c r="H84" s="153" t="s">
        <v>29</v>
      </c>
      <c r="I84" s="153" t="s">
        <v>30</v>
      </c>
      <c r="J84" s="153" t="s">
        <v>33</v>
      </c>
      <c r="K84" s="153" t="s">
        <v>34</v>
      </c>
    </row>
    <row r="85" spans="1:11" ht="18" customHeight="1">
      <c r="A85" s="154" t="s">
        <v>111</v>
      </c>
      <c r="B85" s="150" t="s">
        <v>57</v>
      </c>
    </row>
    <row r="86" spans="1:11" ht="18" customHeight="1">
      <c r="A86" s="151" t="s">
        <v>112</v>
      </c>
      <c r="B86" s="155" t="s">
        <v>113</v>
      </c>
      <c r="F86" s="156"/>
      <c r="G86" s="156"/>
      <c r="H86" s="157"/>
      <c r="I86" s="158">
        <f t="shared" ref="I86:I96" si="9">H86*F$114</f>
        <v>0</v>
      </c>
      <c r="J86" s="157"/>
      <c r="K86" s="159">
        <f t="shared" ref="K86:K96" si="10">(H86+I86)-J86</f>
        <v>0</v>
      </c>
    </row>
    <row r="87" spans="1:11" ht="18" customHeight="1">
      <c r="A87" s="151" t="s">
        <v>114</v>
      </c>
      <c r="B87" s="155" t="s">
        <v>14</v>
      </c>
      <c r="F87" s="156"/>
      <c r="G87" s="156"/>
      <c r="H87" s="157"/>
      <c r="I87" s="158">
        <f t="shared" si="9"/>
        <v>0</v>
      </c>
      <c r="J87" s="157"/>
      <c r="K87" s="159">
        <f t="shared" si="10"/>
        <v>0</v>
      </c>
    </row>
    <row r="88" spans="1:11" ht="18" customHeight="1">
      <c r="A88" s="151" t="s">
        <v>115</v>
      </c>
      <c r="B88" s="155" t="s">
        <v>116</v>
      </c>
      <c r="F88" s="156"/>
      <c r="G88" s="156"/>
      <c r="H88" s="157"/>
      <c r="I88" s="158">
        <f t="shared" si="9"/>
        <v>0</v>
      </c>
      <c r="J88" s="157"/>
      <c r="K88" s="159">
        <f t="shared" si="10"/>
        <v>0</v>
      </c>
    </row>
    <row r="89" spans="1:11" ht="18" customHeight="1">
      <c r="A89" s="151" t="s">
        <v>117</v>
      </c>
      <c r="B89" s="155" t="s">
        <v>58</v>
      </c>
      <c r="F89" s="156"/>
      <c r="G89" s="156"/>
      <c r="H89" s="157"/>
      <c r="I89" s="158">
        <f t="shared" si="9"/>
        <v>0</v>
      </c>
      <c r="J89" s="157"/>
      <c r="K89" s="159">
        <f t="shared" si="10"/>
        <v>0</v>
      </c>
    </row>
    <row r="90" spans="1:11" ht="18" customHeight="1">
      <c r="A90" s="151" t="s">
        <v>118</v>
      </c>
      <c r="B90" s="904" t="s">
        <v>59</v>
      </c>
      <c r="C90" s="907"/>
      <c r="F90" s="156"/>
      <c r="G90" s="156"/>
      <c r="H90" s="157"/>
      <c r="I90" s="158">
        <f t="shared" si="9"/>
        <v>0</v>
      </c>
      <c r="J90" s="157"/>
      <c r="K90" s="159">
        <f t="shared" si="10"/>
        <v>0</v>
      </c>
    </row>
    <row r="91" spans="1:11" ht="18" customHeight="1">
      <c r="A91" s="151" t="s">
        <v>119</v>
      </c>
      <c r="B91" s="155" t="s">
        <v>60</v>
      </c>
      <c r="F91" s="156">
        <v>354</v>
      </c>
      <c r="G91" s="156"/>
      <c r="H91" s="157">
        <v>153934.96</v>
      </c>
      <c r="I91" s="158">
        <f t="shared" si="9"/>
        <v>118160.47529599999</v>
      </c>
      <c r="J91" s="157"/>
      <c r="K91" s="159">
        <f t="shared" si="10"/>
        <v>272095.43529599998</v>
      </c>
    </row>
    <row r="92" spans="1:11" ht="18" customHeight="1">
      <c r="A92" s="151" t="s">
        <v>120</v>
      </c>
      <c r="B92" s="155" t="s">
        <v>121</v>
      </c>
      <c r="F92" s="189"/>
      <c r="G92" s="189"/>
      <c r="H92" s="190"/>
      <c r="I92" s="158">
        <f t="shared" si="9"/>
        <v>0</v>
      </c>
      <c r="J92" s="190"/>
      <c r="K92" s="159">
        <f t="shared" si="10"/>
        <v>0</v>
      </c>
    </row>
    <row r="93" spans="1:11" ht="18" customHeight="1">
      <c r="A93" s="151" t="s">
        <v>122</v>
      </c>
      <c r="B93" s="155" t="s">
        <v>123</v>
      </c>
      <c r="F93" s="156"/>
      <c r="G93" s="156"/>
      <c r="H93" s="157"/>
      <c r="I93" s="158">
        <f t="shared" si="9"/>
        <v>0</v>
      </c>
      <c r="J93" s="157"/>
      <c r="K93" s="159">
        <f t="shared" si="10"/>
        <v>0</v>
      </c>
    </row>
    <row r="94" spans="1:11" ht="18" customHeight="1">
      <c r="A94" s="151" t="s">
        <v>124</v>
      </c>
      <c r="B94" s="901"/>
      <c r="C94" s="902"/>
      <c r="D94" s="903"/>
      <c r="F94" s="156"/>
      <c r="G94" s="156"/>
      <c r="H94" s="157"/>
      <c r="I94" s="158">
        <f t="shared" si="9"/>
        <v>0</v>
      </c>
      <c r="J94" s="157"/>
      <c r="K94" s="159">
        <f t="shared" si="10"/>
        <v>0</v>
      </c>
    </row>
    <row r="95" spans="1:11" ht="18" customHeight="1">
      <c r="A95" s="151" t="s">
        <v>125</v>
      </c>
      <c r="B95" s="901"/>
      <c r="C95" s="902"/>
      <c r="D95" s="903"/>
      <c r="F95" s="156"/>
      <c r="G95" s="156"/>
      <c r="H95" s="157"/>
      <c r="I95" s="158">
        <f t="shared" si="9"/>
        <v>0</v>
      </c>
      <c r="J95" s="157"/>
      <c r="K95" s="159">
        <f t="shared" si="10"/>
        <v>0</v>
      </c>
    </row>
    <row r="96" spans="1:11" ht="18" customHeight="1">
      <c r="A96" s="151" t="s">
        <v>126</v>
      </c>
      <c r="B96" s="901"/>
      <c r="C96" s="902"/>
      <c r="D96" s="903"/>
      <c r="F96" s="156"/>
      <c r="G96" s="156"/>
      <c r="H96" s="157"/>
      <c r="I96" s="158">
        <f t="shared" si="9"/>
        <v>0</v>
      </c>
      <c r="J96" s="157"/>
      <c r="K96" s="159">
        <f t="shared" si="10"/>
        <v>0</v>
      </c>
    </row>
    <row r="97" spans="1:11" ht="18" customHeight="1">
      <c r="A97" s="151"/>
      <c r="B97" s="155"/>
    </row>
    <row r="98" spans="1:11" ht="18" customHeight="1">
      <c r="A98" s="154" t="s">
        <v>150</v>
      </c>
      <c r="B98" s="150" t="s">
        <v>151</v>
      </c>
      <c r="E98" s="150" t="s">
        <v>7</v>
      </c>
      <c r="F98" s="162">
        <f t="shared" ref="F98:K98" si="11">SUM(F86:F96)</f>
        <v>354</v>
      </c>
      <c r="G98" s="162">
        <f t="shared" si="11"/>
        <v>0</v>
      </c>
      <c r="H98" s="162">
        <f t="shared" si="11"/>
        <v>153934.96</v>
      </c>
      <c r="I98" s="162">
        <f t="shared" si="11"/>
        <v>118160.47529599999</v>
      </c>
      <c r="J98" s="162">
        <f t="shared" si="11"/>
        <v>0</v>
      </c>
      <c r="K98" s="162">
        <f t="shared" si="11"/>
        <v>272095.43529599998</v>
      </c>
    </row>
    <row r="99" spans="1:11" ht="18" customHeight="1" thickBot="1">
      <c r="B99" s="150"/>
      <c r="F99" s="172"/>
      <c r="G99" s="172"/>
      <c r="H99" s="172"/>
      <c r="I99" s="172"/>
      <c r="J99" s="172"/>
      <c r="K99" s="172"/>
    </row>
    <row r="100" spans="1:11" ht="42.75" customHeight="1">
      <c r="F100" s="153" t="s">
        <v>9</v>
      </c>
      <c r="G100" s="153" t="s">
        <v>37</v>
      </c>
      <c r="H100" s="153" t="s">
        <v>29</v>
      </c>
      <c r="I100" s="153" t="s">
        <v>30</v>
      </c>
      <c r="J100" s="153" t="s">
        <v>33</v>
      </c>
      <c r="K100" s="153" t="s">
        <v>34</v>
      </c>
    </row>
    <row r="101" spans="1:11" ht="18" customHeight="1">
      <c r="A101" s="154" t="s">
        <v>130</v>
      </c>
      <c r="B101" s="150" t="s">
        <v>63</v>
      </c>
    </row>
    <row r="102" spans="1:11" ht="18" customHeight="1">
      <c r="A102" s="151" t="s">
        <v>131</v>
      </c>
      <c r="B102" s="155" t="s">
        <v>152</v>
      </c>
      <c r="F102" s="156">
        <v>380</v>
      </c>
      <c r="G102" s="156"/>
      <c r="H102" s="157">
        <v>62629.78</v>
      </c>
      <c r="I102" s="158">
        <f>H102*F$114</f>
        <v>48074.619127999998</v>
      </c>
      <c r="J102" s="157"/>
      <c r="K102" s="159">
        <f>(H102+I102)-J102</f>
        <v>110704.39912799999</v>
      </c>
    </row>
    <row r="103" spans="1:11" ht="18" customHeight="1">
      <c r="A103" s="151" t="s">
        <v>132</v>
      </c>
      <c r="B103" s="904" t="s">
        <v>62</v>
      </c>
      <c r="C103" s="904"/>
      <c r="F103" s="156"/>
      <c r="G103" s="156"/>
      <c r="H103" s="157"/>
      <c r="I103" s="158">
        <f>H103*F$114</f>
        <v>0</v>
      </c>
      <c r="J103" s="157"/>
      <c r="K103" s="159">
        <f>(H103+I103)-J103</f>
        <v>0</v>
      </c>
    </row>
    <row r="104" spans="1:11" ht="18" customHeight="1">
      <c r="A104" s="151" t="s">
        <v>128</v>
      </c>
      <c r="B104" s="901"/>
      <c r="C104" s="902"/>
      <c r="D104" s="903"/>
      <c r="F104" s="156"/>
      <c r="G104" s="156"/>
      <c r="H104" s="157"/>
      <c r="I104" s="158">
        <f>H104*F$114</f>
        <v>0</v>
      </c>
      <c r="J104" s="157"/>
      <c r="K104" s="159">
        <f>(H104+I104)-J104</f>
        <v>0</v>
      </c>
    </row>
    <row r="105" spans="1:11" ht="18" customHeight="1">
      <c r="A105" s="151" t="s">
        <v>127</v>
      </c>
      <c r="B105" s="901"/>
      <c r="C105" s="902"/>
      <c r="D105" s="903"/>
      <c r="F105" s="156"/>
      <c r="G105" s="156"/>
      <c r="H105" s="157"/>
      <c r="I105" s="158">
        <f>H105*F$114</f>
        <v>0</v>
      </c>
      <c r="J105" s="157"/>
      <c r="K105" s="159">
        <f>(H105+I105)-J105</f>
        <v>0</v>
      </c>
    </row>
    <row r="106" spans="1:11" ht="18" customHeight="1">
      <c r="A106" s="151" t="s">
        <v>129</v>
      </c>
      <c r="B106" s="901"/>
      <c r="C106" s="902"/>
      <c r="D106" s="903"/>
      <c r="F106" s="156"/>
      <c r="G106" s="156"/>
      <c r="H106" s="157"/>
      <c r="I106" s="158">
        <f>H106*F$114</f>
        <v>0</v>
      </c>
      <c r="J106" s="157"/>
      <c r="K106" s="159">
        <f>(H106+I106)-J106</f>
        <v>0</v>
      </c>
    </row>
    <row r="107" spans="1:11" ht="18" customHeight="1">
      <c r="B107" s="150"/>
    </row>
    <row r="108" spans="1:11" s="167" customFormat="1" ht="18" customHeight="1">
      <c r="A108" s="154" t="s">
        <v>153</v>
      </c>
      <c r="B108" s="191" t="s">
        <v>154</v>
      </c>
      <c r="C108" s="147"/>
      <c r="D108" s="147"/>
      <c r="E108" s="150" t="s">
        <v>7</v>
      </c>
      <c r="F108" s="162">
        <f t="shared" ref="F108:K108" si="12">SUM(F102:F106)</f>
        <v>380</v>
      </c>
      <c r="G108" s="162">
        <f t="shared" si="12"/>
        <v>0</v>
      </c>
      <c r="H108" s="159">
        <f t="shared" si="12"/>
        <v>62629.78</v>
      </c>
      <c r="I108" s="159">
        <f t="shared" si="12"/>
        <v>48074.619127999998</v>
      </c>
      <c r="J108" s="159">
        <f t="shared" si="12"/>
        <v>0</v>
      </c>
      <c r="K108" s="159">
        <f t="shared" si="12"/>
        <v>110704.39912799999</v>
      </c>
    </row>
    <row r="109" spans="1:11" s="167" customFormat="1" ht="18" customHeight="1" thickBot="1">
      <c r="A109" s="192"/>
      <c r="B109" s="193"/>
      <c r="C109" s="194"/>
      <c r="D109" s="194"/>
      <c r="E109" s="194"/>
      <c r="F109" s="172"/>
      <c r="G109" s="172"/>
      <c r="H109" s="172"/>
      <c r="I109" s="172"/>
      <c r="J109" s="172"/>
      <c r="K109" s="172"/>
    </row>
    <row r="110" spans="1:11" s="167" customFormat="1" ht="18" customHeight="1">
      <c r="A110" s="154" t="s">
        <v>156</v>
      </c>
      <c r="B110" s="150" t="s">
        <v>39</v>
      </c>
      <c r="C110" s="147"/>
      <c r="D110" s="147"/>
      <c r="E110" s="147"/>
      <c r="F110" s="147"/>
      <c r="G110" s="147"/>
      <c r="H110" s="147"/>
      <c r="I110" s="147"/>
      <c r="J110" s="147"/>
      <c r="K110" s="147"/>
    </row>
    <row r="111" spans="1:11" ht="18" customHeight="1">
      <c r="A111" s="154" t="s">
        <v>155</v>
      </c>
      <c r="B111" s="150" t="s">
        <v>164</v>
      </c>
      <c r="E111" s="150" t="s">
        <v>7</v>
      </c>
      <c r="F111" s="157">
        <v>4858679.1399999997</v>
      </c>
    </row>
    <row r="112" spans="1:11" ht="18" customHeight="1">
      <c r="B112" s="150"/>
      <c r="E112" s="150"/>
      <c r="F112" s="195"/>
    </row>
    <row r="113" spans="1:6" ht="18" customHeight="1">
      <c r="A113" s="154"/>
      <c r="B113" s="150" t="s">
        <v>15</v>
      </c>
    </row>
    <row r="114" spans="1:6" ht="18" customHeight="1">
      <c r="A114" s="151" t="s">
        <v>171</v>
      </c>
      <c r="B114" s="155" t="s">
        <v>35</v>
      </c>
      <c r="F114" s="196">
        <v>0.76759999999999995</v>
      </c>
    </row>
    <row r="115" spans="1:6" ht="18" customHeight="1">
      <c r="A115" s="151"/>
      <c r="B115" s="150"/>
    </row>
    <row r="116" spans="1:6" ht="18" customHeight="1">
      <c r="A116" s="151" t="s">
        <v>170</v>
      </c>
      <c r="B116" s="150" t="s">
        <v>16</v>
      </c>
    </row>
    <row r="117" spans="1:6" ht="18" customHeight="1">
      <c r="A117" s="151" t="s">
        <v>172</v>
      </c>
      <c r="B117" s="155" t="s">
        <v>17</v>
      </c>
      <c r="F117" s="157">
        <v>201058436</v>
      </c>
    </row>
    <row r="118" spans="1:6" ht="18" customHeight="1">
      <c r="A118" s="151" t="s">
        <v>173</v>
      </c>
      <c r="B118" s="147" t="s">
        <v>18</v>
      </c>
      <c r="F118" s="157">
        <v>16146637</v>
      </c>
    </row>
    <row r="119" spans="1:6" ht="18" customHeight="1">
      <c r="A119" s="151" t="s">
        <v>174</v>
      </c>
      <c r="B119" s="150" t="s">
        <v>19</v>
      </c>
      <c r="F119" s="187">
        <f>SUM(F117:F118)</f>
        <v>217205073</v>
      </c>
    </row>
    <row r="120" spans="1:6" ht="18" customHeight="1">
      <c r="A120" s="151"/>
      <c r="B120" s="150"/>
    </row>
    <row r="121" spans="1:6" ht="18" customHeight="1">
      <c r="A121" s="151" t="s">
        <v>167</v>
      </c>
      <c r="B121" s="150" t="s">
        <v>36</v>
      </c>
      <c r="F121" s="157">
        <v>205790209</v>
      </c>
    </row>
    <row r="122" spans="1:6" ht="18" customHeight="1">
      <c r="A122" s="151"/>
    </row>
    <row r="123" spans="1:6" ht="18" customHeight="1">
      <c r="A123" s="151" t="s">
        <v>175</v>
      </c>
      <c r="B123" s="150" t="s">
        <v>20</v>
      </c>
      <c r="F123" s="157">
        <v>11414864</v>
      </c>
    </row>
    <row r="124" spans="1:6" ht="18" customHeight="1">
      <c r="A124" s="151"/>
    </row>
    <row r="125" spans="1:6" ht="18" customHeight="1">
      <c r="A125" s="151" t="s">
        <v>176</v>
      </c>
      <c r="B125" s="150" t="s">
        <v>21</v>
      </c>
      <c r="F125" s="157">
        <v>1554561</v>
      </c>
    </row>
    <row r="126" spans="1:6" ht="18" customHeight="1">
      <c r="A126" s="151"/>
    </row>
    <row r="127" spans="1:6" ht="18" customHeight="1">
      <c r="A127" s="151" t="s">
        <v>177</v>
      </c>
      <c r="B127" s="150" t="s">
        <v>22</v>
      </c>
      <c r="F127" s="157">
        <v>12969425</v>
      </c>
    </row>
    <row r="128" spans="1:6" ht="18" customHeight="1">
      <c r="A128" s="151"/>
    </row>
    <row r="129" spans="1:11" ht="42.75" customHeight="1">
      <c r="F129" s="153" t="s">
        <v>9</v>
      </c>
      <c r="G129" s="153" t="s">
        <v>37</v>
      </c>
      <c r="H129" s="153" t="s">
        <v>29</v>
      </c>
      <c r="I129" s="153" t="s">
        <v>30</v>
      </c>
      <c r="J129" s="153" t="s">
        <v>33</v>
      </c>
      <c r="K129" s="153" t="s">
        <v>34</v>
      </c>
    </row>
    <row r="130" spans="1:11" ht="18" customHeight="1">
      <c r="A130" s="154" t="s">
        <v>157</v>
      </c>
      <c r="B130" s="150" t="s">
        <v>23</v>
      </c>
    </row>
    <row r="131" spans="1:11" ht="18" customHeight="1">
      <c r="A131" s="151" t="s">
        <v>158</v>
      </c>
      <c r="B131" s="147" t="s">
        <v>24</v>
      </c>
      <c r="F131" s="156"/>
      <c r="G131" s="156"/>
      <c r="H131" s="157"/>
      <c r="I131" s="158">
        <v>0</v>
      </c>
      <c r="J131" s="157"/>
      <c r="K131" s="159">
        <f>(H131+I131)-J131</f>
        <v>0</v>
      </c>
    </row>
    <row r="132" spans="1:11" ht="18" customHeight="1">
      <c r="A132" s="151" t="s">
        <v>159</v>
      </c>
      <c r="B132" s="147" t="s">
        <v>25</v>
      </c>
      <c r="F132" s="156"/>
      <c r="G132" s="156"/>
      <c r="H132" s="157"/>
      <c r="I132" s="158">
        <v>0</v>
      </c>
      <c r="J132" s="157"/>
      <c r="K132" s="159">
        <f>(H132+I132)-J132</f>
        <v>0</v>
      </c>
    </row>
    <row r="133" spans="1:11" ht="18" customHeight="1">
      <c r="A133" s="151" t="s">
        <v>160</v>
      </c>
      <c r="B133" s="898"/>
      <c r="C133" s="899"/>
      <c r="D133" s="900"/>
      <c r="F133" s="156"/>
      <c r="G133" s="156"/>
      <c r="H133" s="157"/>
      <c r="I133" s="158">
        <v>0</v>
      </c>
      <c r="J133" s="157"/>
      <c r="K133" s="159">
        <f>(H133+I133)-J133</f>
        <v>0</v>
      </c>
    </row>
    <row r="134" spans="1:11" ht="18" customHeight="1">
      <c r="A134" s="151" t="s">
        <v>161</v>
      </c>
      <c r="B134" s="898"/>
      <c r="C134" s="899"/>
      <c r="D134" s="900"/>
      <c r="F134" s="156"/>
      <c r="G134" s="156"/>
      <c r="H134" s="157"/>
      <c r="I134" s="158">
        <v>0</v>
      </c>
      <c r="J134" s="157"/>
      <c r="K134" s="159">
        <f>(H134+I134)-J134</f>
        <v>0</v>
      </c>
    </row>
    <row r="135" spans="1:11" ht="18" customHeight="1">
      <c r="A135" s="151" t="s">
        <v>162</v>
      </c>
      <c r="B135" s="898"/>
      <c r="C135" s="899"/>
      <c r="D135" s="900"/>
      <c r="F135" s="156"/>
      <c r="G135" s="156"/>
      <c r="H135" s="157"/>
      <c r="I135" s="158">
        <v>0</v>
      </c>
      <c r="J135" s="157"/>
      <c r="K135" s="159">
        <f>(H135+I135)-J135</f>
        <v>0</v>
      </c>
    </row>
    <row r="136" spans="1:11" ht="18" customHeight="1">
      <c r="A136" s="154"/>
    </row>
    <row r="137" spans="1:11" ht="18" customHeight="1">
      <c r="A137" s="154" t="s">
        <v>163</v>
      </c>
      <c r="B137" s="150" t="s">
        <v>27</v>
      </c>
      <c r="F137" s="162">
        <f t="shared" ref="F137:K137" si="13">SUM(F131:F135)</f>
        <v>0</v>
      </c>
      <c r="G137" s="162">
        <f t="shared" si="13"/>
        <v>0</v>
      </c>
      <c r="H137" s="159">
        <f t="shared" si="13"/>
        <v>0</v>
      </c>
      <c r="I137" s="159">
        <f t="shared" si="13"/>
        <v>0</v>
      </c>
      <c r="J137" s="159">
        <f t="shared" si="13"/>
        <v>0</v>
      </c>
      <c r="K137" s="159">
        <f t="shared" si="13"/>
        <v>0</v>
      </c>
    </row>
    <row r="138" spans="1:11" ht="18" customHeight="1">
      <c r="A138" s="147"/>
    </row>
    <row r="139" spans="1:11" ht="42.75" customHeight="1">
      <c r="F139" s="153" t="s">
        <v>9</v>
      </c>
      <c r="G139" s="153" t="s">
        <v>37</v>
      </c>
      <c r="H139" s="153" t="s">
        <v>29</v>
      </c>
      <c r="I139" s="153" t="s">
        <v>30</v>
      </c>
      <c r="J139" s="153" t="s">
        <v>33</v>
      </c>
      <c r="K139" s="153" t="s">
        <v>34</v>
      </c>
    </row>
    <row r="140" spans="1:11" ht="18" customHeight="1">
      <c r="A140" s="154" t="s">
        <v>166</v>
      </c>
      <c r="B140" s="150" t="s">
        <v>26</v>
      </c>
    </row>
    <row r="141" spans="1:11" ht="18" customHeight="1">
      <c r="A141" s="151" t="s">
        <v>137</v>
      </c>
      <c r="B141" s="150" t="s">
        <v>64</v>
      </c>
      <c r="F141" s="197">
        <f t="shared" ref="F141:K141" si="14">F36</f>
        <v>9261</v>
      </c>
      <c r="G141" s="197">
        <f t="shared" si="14"/>
        <v>136687</v>
      </c>
      <c r="H141" s="197">
        <f t="shared" si="14"/>
        <v>719928.49</v>
      </c>
      <c r="I141" s="197">
        <f t="shared" si="14"/>
        <v>552617.10269999993</v>
      </c>
      <c r="J141" s="197">
        <f t="shared" si="14"/>
        <v>20446</v>
      </c>
      <c r="K141" s="197">
        <f t="shared" si="14"/>
        <v>1252099.5926999999</v>
      </c>
    </row>
    <row r="142" spans="1:11" ht="18" customHeight="1">
      <c r="A142" s="151" t="s">
        <v>142</v>
      </c>
      <c r="B142" s="150" t="s">
        <v>65</v>
      </c>
      <c r="F142" s="197">
        <f t="shared" ref="F142:K142" si="15">F49</f>
        <v>39463</v>
      </c>
      <c r="G142" s="197">
        <f t="shared" si="15"/>
        <v>7370</v>
      </c>
      <c r="H142" s="197">
        <f t="shared" si="15"/>
        <v>1882158.7</v>
      </c>
      <c r="I142" s="197">
        <f t="shared" si="15"/>
        <v>640791.93000000005</v>
      </c>
      <c r="J142" s="197">
        <f t="shared" si="15"/>
        <v>1289467.19</v>
      </c>
      <c r="K142" s="197">
        <f t="shared" si="15"/>
        <v>1233483.44</v>
      </c>
    </row>
    <row r="143" spans="1:11" ht="18" customHeight="1">
      <c r="A143" s="151" t="s">
        <v>144</v>
      </c>
      <c r="B143" s="150" t="s">
        <v>66</v>
      </c>
      <c r="F143" s="197">
        <f t="shared" ref="F143:K143" si="16">F64</f>
        <v>36552</v>
      </c>
      <c r="G143" s="197">
        <f t="shared" si="16"/>
        <v>17352</v>
      </c>
      <c r="H143" s="197">
        <f t="shared" si="16"/>
        <v>2371799.8899999997</v>
      </c>
      <c r="I143" s="197">
        <f t="shared" si="16"/>
        <v>1453581.7600000002</v>
      </c>
      <c r="J143" s="197">
        <f t="shared" si="16"/>
        <v>1740458.25</v>
      </c>
      <c r="K143" s="197">
        <f t="shared" si="16"/>
        <v>2084923.4000000004</v>
      </c>
    </row>
    <row r="144" spans="1:11" ht="18" customHeight="1">
      <c r="A144" s="151" t="s">
        <v>146</v>
      </c>
      <c r="B144" s="150" t="s">
        <v>67</v>
      </c>
      <c r="F144" s="197">
        <f t="shared" ref="F144:K144" si="17">F74</f>
        <v>1750</v>
      </c>
      <c r="G144" s="197">
        <f t="shared" si="17"/>
        <v>0</v>
      </c>
      <c r="H144" s="197">
        <f t="shared" si="17"/>
        <v>195000</v>
      </c>
      <c r="I144" s="197">
        <f t="shared" si="17"/>
        <v>149682</v>
      </c>
      <c r="J144" s="197">
        <f t="shared" si="17"/>
        <v>0</v>
      </c>
      <c r="K144" s="197">
        <f t="shared" si="17"/>
        <v>344682</v>
      </c>
    </row>
    <row r="145" spans="1:11" ht="18" customHeight="1">
      <c r="A145" s="151" t="s">
        <v>148</v>
      </c>
      <c r="B145" s="150" t="s">
        <v>68</v>
      </c>
      <c r="F145" s="197">
        <f t="shared" ref="F145:K145" si="18">F82</f>
        <v>2328</v>
      </c>
      <c r="G145" s="197">
        <f t="shared" si="18"/>
        <v>13616</v>
      </c>
      <c r="H145" s="197">
        <f t="shared" si="18"/>
        <v>491612.86000000004</v>
      </c>
      <c r="I145" s="197">
        <f t="shared" si="18"/>
        <v>377362.03</v>
      </c>
      <c r="J145" s="197">
        <f t="shared" si="18"/>
        <v>1000</v>
      </c>
      <c r="K145" s="197">
        <f t="shared" si="18"/>
        <v>867974.89</v>
      </c>
    </row>
    <row r="146" spans="1:11" ht="18" customHeight="1">
      <c r="A146" s="151" t="s">
        <v>150</v>
      </c>
      <c r="B146" s="150" t="s">
        <v>69</v>
      </c>
      <c r="F146" s="197">
        <f t="shared" ref="F146:K146" si="19">F98</f>
        <v>354</v>
      </c>
      <c r="G146" s="197">
        <f t="shared" si="19"/>
        <v>0</v>
      </c>
      <c r="H146" s="197">
        <f t="shared" si="19"/>
        <v>153934.96</v>
      </c>
      <c r="I146" s="197">
        <f t="shared" si="19"/>
        <v>118160.47529599999</v>
      </c>
      <c r="J146" s="197">
        <f t="shared" si="19"/>
        <v>0</v>
      </c>
      <c r="K146" s="197">
        <f t="shared" si="19"/>
        <v>272095.43529599998</v>
      </c>
    </row>
    <row r="147" spans="1:11" ht="18" customHeight="1">
      <c r="A147" s="151" t="s">
        <v>153</v>
      </c>
      <c r="B147" s="150" t="s">
        <v>61</v>
      </c>
      <c r="F147" s="162">
        <f t="shared" ref="F147:K147" si="20">F108</f>
        <v>380</v>
      </c>
      <c r="G147" s="162">
        <f t="shared" si="20"/>
        <v>0</v>
      </c>
      <c r="H147" s="162">
        <f t="shared" si="20"/>
        <v>62629.78</v>
      </c>
      <c r="I147" s="162">
        <f t="shared" si="20"/>
        <v>48074.619127999998</v>
      </c>
      <c r="J147" s="162">
        <f t="shared" si="20"/>
        <v>0</v>
      </c>
      <c r="K147" s="162">
        <f t="shared" si="20"/>
        <v>110704.39912799999</v>
      </c>
    </row>
    <row r="148" spans="1:11" ht="18" customHeight="1">
      <c r="A148" s="151" t="s">
        <v>155</v>
      </c>
      <c r="B148" s="150" t="s">
        <v>70</v>
      </c>
      <c r="F148" s="198" t="s">
        <v>73</v>
      </c>
      <c r="G148" s="198" t="s">
        <v>73</v>
      </c>
      <c r="H148" s="199" t="s">
        <v>73</v>
      </c>
      <c r="I148" s="199" t="s">
        <v>73</v>
      </c>
      <c r="J148" s="199" t="s">
        <v>73</v>
      </c>
      <c r="K148" s="200">
        <f>F111</f>
        <v>4858679.1399999997</v>
      </c>
    </row>
    <row r="149" spans="1:11" ht="18" customHeight="1">
      <c r="A149" s="151" t="s">
        <v>163</v>
      </c>
      <c r="B149" s="150" t="s">
        <v>71</v>
      </c>
      <c r="F149" s="162">
        <f t="shared" ref="F149:K149" si="21">F137</f>
        <v>0</v>
      </c>
      <c r="G149" s="162">
        <f t="shared" si="21"/>
        <v>0</v>
      </c>
      <c r="H149" s="162">
        <f t="shared" si="21"/>
        <v>0</v>
      </c>
      <c r="I149" s="162">
        <f t="shared" si="21"/>
        <v>0</v>
      </c>
      <c r="J149" s="162">
        <f t="shared" si="21"/>
        <v>0</v>
      </c>
      <c r="K149" s="162">
        <f t="shared" si="21"/>
        <v>0</v>
      </c>
    </row>
    <row r="150" spans="1:11" ht="18" customHeight="1">
      <c r="A150" s="151" t="s">
        <v>185</v>
      </c>
      <c r="B150" s="150" t="s">
        <v>186</v>
      </c>
      <c r="F150" s="198" t="s">
        <v>73</v>
      </c>
      <c r="G150" s="198" t="s">
        <v>73</v>
      </c>
      <c r="H150" s="162">
        <f>H18</f>
        <v>0</v>
      </c>
      <c r="I150" s="162">
        <f>I18</f>
        <v>0</v>
      </c>
      <c r="J150" s="162">
        <f>J18</f>
        <v>0</v>
      </c>
      <c r="K150" s="162">
        <f>K18</f>
        <v>0</v>
      </c>
    </row>
    <row r="151" spans="1:11" ht="18" customHeight="1">
      <c r="B151" s="150"/>
      <c r="F151" s="174"/>
      <c r="G151" s="174"/>
      <c r="H151" s="174"/>
      <c r="I151" s="174"/>
      <c r="J151" s="174"/>
      <c r="K151" s="174"/>
    </row>
    <row r="152" spans="1:11" ht="18" customHeight="1">
      <c r="A152" s="154" t="s">
        <v>165</v>
      </c>
      <c r="B152" s="150" t="s">
        <v>26</v>
      </c>
      <c r="F152" s="201">
        <f t="shared" ref="F152:K152" si="22">SUM(F141:F150)</f>
        <v>90088</v>
      </c>
      <c r="G152" s="201">
        <f t="shared" si="22"/>
        <v>175025</v>
      </c>
      <c r="H152" s="201">
        <f t="shared" si="22"/>
        <v>5877064.6800000006</v>
      </c>
      <c r="I152" s="201">
        <f t="shared" si="22"/>
        <v>3340269.9171240004</v>
      </c>
      <c r="J152" s="201">
        <f t="shared" si="22"/>
        <v>3051371.44</v>
      </c>
      <c r="K152" s="201">
        <f t="shared" si="22"/>
        <v>11024642.297124</v>
      </c>
    </row>
    <row r="154" spans="1:11" ht="18" customHeight="1">
      <c r="A154" s="154" t="s">
        <v>168</v>
      </c>
      <c r="B154" s="150" t="s">
        <v>28</v>
      </c>
      <c r="F154" s="53">
        <f>K152/F121</f>
        <v>5.357223917841495E-2</v>
      </c>
    </row>
    <row r="155" spans="1:11" ht="18" customHeight="1">
      <c r="A155" s="154" t="s">
        <v>169</v>
      </c>
      <c r="B155" s="150" t="s">
        <v>72</v>
      </c>
      <c r="F155" s="53">
        <f>K152/F127</f>
        <v>0.85004865652286055</v>
      </c>
      <c r="G155" s="150"/>
    </row>
    <row r="156" spans="1:11" ht="18" customHeight="1">
      <c r="G156" s="150"/>
    </row>
  </sheetData>
  <sheetProtection algorithmName="SHA-512" hashValue="iVvdvBFvLJrCQayOzWBOnlmmkvSOlg0vsuWfxw4ykvUWsRMIU69Eos4F9LU4n3blGdfrud4L5z60Zw6vfmvLvQ==" saltValue="dNfDTr1s26G+Dg2uXX89nw==" spinCount="100000" sheet="1" objects="1" scenarios="1"/>
  <mergeCells count="34">
    <mergeCell ref="B106:D106"/>
    <mergeCell ref="B133:D133"/>
    <mergeCell ref="B134:D134"/>
    <mergeCell ref="B135:D135"/>
    <mergeCell ref="B94:D94"/>
    <mergeCell ref="B95:D95"/>
    <mergeCell ref="B96:D96"/>
    <mergeCell ref="B103:C103"/>
    <mergeCell ref="B104:D104"/>
    <mergeCell ref="B105:D105"/>
    <mergeCell ref="B90:C90"/>
    <mergeCell ref="B44:D44"/>
    <mergeCell ref="B45:D45"/>
    <mergeCell ref="B46:D46"/>
    <mergeCell ref="B47:D47"/>
    <mergeCell ref="B52:C52"/>
    <mergeCell ref="B53:D53"/>
    <mergeCell ref="B55:D55"/>
    <mergeCell ref="B56:D56"/>
    <mergeCell ref="B57:D57"/>
    <mergeCell ref="B59:D59"/>
    <mergeCell ref="B62:D62"/>
    <mergeCell ref="B41:C41"/>
    <mergeCell ref="D2:H2"/>
    <mergeCell ref="C5:G5"/>
    <mergeCell ref="C6:G6"/>
    <mergeCell ref="C7:G7"/>
    <mergeCell ref="C9:G9"/>
    <mergeCell ref="C10:G10"/>
    <mergeCell ref="C11:G11"/>
    <mergeCell ref="B13:H13"/>
    <mergeCell ref="B30:D30"/>
    <mergeCell ref="B31:D31"/>
    <mergeCell ref="B34:D34"/>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dimension ref="A1:K156"/>
  <sheetViews>
    <sheetView showGridLines="0" zoomScale="80" zoomScaleNormal="80" zoomScaleSheetLayoutView="70" workbookViewId="0">
      <selection activeCell="K152" sqref="K152"/>
    </sheetView>
  </sheetViews>
  <sheetFormatPr defaultRowHeight="18" customHeight="1"/>
  <cols>
    <col min="1" max="1" width="8.28515625" style="7" customWidth="1"/>
    <col min="2" max="2" width="55.42578125" bestFit="1" customWidth="1"/>
    <col min="3" max="3" width="9.5703125" customWidth="1"/>
    <col min="5" max="5" width="12.42578125" customWidth="1"/>
    <col min="6" max="6" width="18.5703125" customWidth="1"/>
    <col min="7" max="7" width="23.5703125" customWidth="1"/>
    <col min="8" max="8" width="17.140625" customWidth="1"/>
    <col min="9" max="9" width="21.140625" customWidth="1"/>
    <col min="10" max="10" width="19.85546875" customWidth="1"/>
    <col min="11" max="11" width="17.5703125" customWidth="1"/>
  </cols>
  <sheetData>
    <row r="1" spans="1:11" ht="18" customHeight="1">
      <c r="C1" s="3"/>
      <c r="D1" s="2"/>
      <c r="E1" s="3"/>
      <c r="F1" s="3"/>
      <c r="G1" s="3"/>
      <c r="H1" s="3"/>
      <c r="I1" s="3"/>
      <c r="J1" s="3"/>
      <c r="K1" s="3"/>
    </row>
    <row r="2" spans="1:11" ht="18" customHeight="1">
      <c r="D2" s="940" t="s">
        <v>713</v>
      </c>
      <c r="E2" s="941"/>
      <c r="F2" s="941"/>
      <c r="G2" s="941"/>
      <c r="H2" s="941"/>
    </row>
    <row r="3" spans="1:11" ht="18" customHeight="1">
      <c r="B3" s="1" t="s">
        <v>0</v>
      </c>
    </row>
    <row r="5" spans="1:11" ht="18" customHeight="1">
      <c r="B5" s="4" t="s">
        <v>40</v>
      </c>
      <c r="C5" s="917" t="s">
        <v>898</v>
      </c>
      <c r="D5" s="918"/>
      <c r="E5" s="918"/>
      <c r="F5" s="918"/>
      <c r="G5" s="919"/>
    </row>
    <row r="6" spans="1:11" ht="18" customHeight="1">
      <c r="B6" s="4" t="s">
        <v>3</v>
      </c>
      <c r="C6" s="976">
        <v>4013</v>
      </c>
      <c r="D6" s="946"/>
      <c r="E6" s="946"/>
      <c r="F6" s="946"/>
      <c r="G6" s="947"/>
    </row>
    <row r="7" spans="1:11" ht="18" customHeight="1">
      <c r="B7" s="4" t="s">
        <v>4</v>
      </c>
      <c r="C7" s="948">
        <v>373</v>
      </c>
      <c r="D7" s="949"/>
      <c r="E7" s="949"/>
      <c r="F7" s="949"/>
      <c r="G7" s="950"/>
    </row>
    <row r="9" spans="1:11" ht="18" customHeight="1">
      <c r="B9" s="4" t="s">
        <v>1</v>
      </c>
      <c r="C9" s="917" t="s">
        <v>188</v>
      </c>
      <c r="D9" s="918"/>
      <c r="E9" s="918"/>
      <c r="F9" s="918"/>
      <c r="G9" s="919"/>
    </row>
    <row r="10" spans="1:11" ht="18" customHeight="1">
      <c r="B10" s="4" t="s">
        <v>2</v>
      </c>
      <c r="C10" s="980" t="s">
        <v>189</v>
      </c>
      <c r="D10" s="927"/>
      <c r="E10" s="927"/>
      <c r="F10" s="927"/>
      <c r="G10" s="928"/>
    </row>
    <row r="11" spans="1:11" ht="18" customHeight="1">
      <c r="B11" s="4" t="s">
        <v>32</v>
      </c>
      <c r="C11" s="980" t="s">
        <v>190</v>
      </c>
      <c r="D11" s="927"/>
      <c r="E11" s="927"/>
      <c r="F11" s="927"/>
      <c r="G11" s="928"/>
    </row>
    <row r="12" spans="1:11" ht="18" customHeight="1">
      <c r="B12" s="4"/>
      <c r="C12" s="4"/>
      <c r="D12" s="4"/>
      <c r="E12" s="4"/>
      <c r="F12" s="4"/>
      <c r="G12" s="4"/>
    </row>
    <row r="13" spans="1:11" ht="24.6" customHeight="1">
      <c r="B13" s="955"/>
      <c r="C13" s="956"/>
      <c r="D13" s="956"/>
      <c r="E13" s="956"/>
      <c r="F13" s="956"/>
      <c r="G13" s="956"/>
      <c r="H13" s="957"/>
      <c r="I13" s="3"/>
    </row>
    <row r="14" spans="1:11" ht="18" customHeight="1">
      <c r="B14" s="6"/>
    </row>
    <row r="15" spans="1:11" ht="18" customHeight="1">
      <c r="B15" s="6"/>
    </row>
    <row r="16" spans="1:11" ht="45" customHeight="1">
      <c r="A16" s="2" t="s">
        <v>181</v>
      </c>
      <c r="B16" s="3"/>
      <c r="C16" s="3"/>
      <c r="D16" s="3"/>
      <c r="E16" s="3"/>
      <c r="F16" s="8" t="s">
        <v>9</v>
      </c>
      <c r="G16" s="8" t="s">
        <v>37</v>
      </c>
      <c r="H16" s="8" t="s">
        <v>29</v>
      </c>
      <c r="I16" s="8" t="s">
        <v>30</v>
      </c>
      <c r="J16" s="8" t="s">
        <v>33</v>
      </c>
      <c r="K16" s="8" t="s">
        <v>34</v>
      </c>
    </row>
    <row r="17" spans="1:11" ht="18" customHeight="1">
      <c r="A17" s="5" t="s">
        <v>184</v>
      </c>
      <c r="B17" s="1" t="s">
        <v>182</v>
      </c>
    </row>
    <row r="18" spans="1:11" ht="18" customHeight="1">
      <c r="A18" s="4" t="s">
        <v>185</v>
      </c>
      <c r="B18" s="257" t="s">
        <v>183</v>
      </c>
      <c r="F18" s="13" t="s">
        <v>73</v>
      </c>
      <c r="G18" s="13" t="s">
        <v>73</v>
      </c>
      <c r="H18" s="14"/>
      <c r="I18" s="40">
        <v>0</v>
      </c>
      <c r="J18" s="14"/>
      <c r="K18" s="15">
        <f>(H18+I18)-J18</f>
        <v>0</v>
      </c>
    </row>
    <row r="19" spans="1:11" ht="45" customHeight="1">
      <c r="A19" s="2" t="s">
        <v>8</v>
      </c>
      <c r="B19" s="3"/>
      <c r="C19" s="3"/>
      <c r="D19" s="3"/>
      <c r="E19" s="3"/>
      <c r="F19" s="8" t="s">
        <v>9</v>
      </c>
      <c r="G19" s="8" t="s">
        <v>37</v>
      </c>
      <c r="H19" s="8" t="s">
        <v>29</v>
      </c>
      <c r="I19" s="8" t="s">
        <v>30</v>
      </c>
      <c r="J19" s="8" t="s">
        <v>33</v>
      </c>
      <c r="K19" s="8" t="s">
        <v>34</v>
      </c>
    </row>
    <row r="20" spans="1:11" ht="18" customHeight="1">
      <c r="A20" s="5" t="s">
        <v>74</v>
      </c>
      <c r="B20" s="1" t="s">
        <v>41</v>
      </c>
    </row>
    <row r="21" spans="1:11" ht="18" customHeight="1">
      <c r="A21" s="4" t="s">
        <v>75</v>
      </c>
      <c r="B21" s="257" t="s">
        <v>42</v>
      </c>
      <c r="F21" s="13"/>
      <c r="G21" s="13"/>
      <c r="H21" s="14">
        <f>'[13]CB Master List - FY15&amp;FY14'!$AY$34</f>
        <v>50989.53788544597</v>
      </c>
      <c r="I21" s="40">
        <f>'[13]CB Master List - FY15&amp;FY14'!$AZ$34</f>
        <v>58933.722475771036</v>
      </c>
      <c r="J21" s="14">
        <f>'[13]CB Master List - FY15&amp;FY14'!$BA$34</f>
        <v>4707.3456062500009</v>
      </c>
      <c r="K21" s="15">
        <f t="shared" ref="K21:K34" si="0">(H21+I21)-J21</f>
        <v>105215.914754967</v>
      </c>
    </row>
    <row r="22" spans="1:11" ht="18" customHeight="1">
      <c r="A22" s="4" t="s">
        <v>76</v>
      </c>
      <c r="B22" t="s">
        <v>6</v>
      </c>
      <c r="F22" s="13"/>
      <c r="G22" s="13"/>
      <c r="H22" s="14">
        <f>'[13]CB Master List - FY15&amp;FY14'!$AY$47</f>
        <v>1963.2184008500001</v>
      </c>
      <c r="I22" s="40">
        <f>'[13]CB Master List - FY15&amp;FY14'!$AZ$47</f>
        <v>2269.0883893663472</v>
      </c>
      <c r="J22" s="14">
        <f>'[13]CB Master List - FY15&amp;FY14'!$BA$47</f>
        <v>145.8602425</v>
      </c>
      <c r="K22" s="15">
        <f t="shared" si="0"/>
        <v>4086.4465477163476</v>
      </c>
    </row>
    <row r="23" spans="1:11" ht="18" customHeight="1">
      <c r="A23" s="4" t="s">
        <v>77</v>
      </c>
      <c r="B23" t="s">
        <v>43</v>
      </c>
      <c r="F23" s="13"/>
      <c r="G23" s="13"/>
      <c r="H23" s="14">
        <f>'[13]CB Master List - FY15&amp;FY14'!$AY$50</f>
        <v>1469.16458199</v>
      </c>
      <c r="I23" s="40">
        <f>'[13]CB Master List - FY15&amp;FY14'!$AZ$50</f>
        <v>1698.0608441823997</v>
      </c>
      <c r="J23" s="14">
        <f>'[13]CB Master List - FY15&amp;FY14'!$BA$50</f>
        <v>0</v>
      </c>
      <c r="K23" s="15">
        <f t="shared" si="0"/>
        <v>3167.2254261723997</v>
      </c>
    </row>
    <row r="24" spans="1:11" ht="18" customHeight="1">
      <c r="A24" s="4" t="s">
        <v>78</v>
      </c>
      <c r="B24" t="s">
        <v>44</v>
      </c>
      <c r="F24" s="13"/>
      <c r="G24" s="13"/>
      <c r="H24" s="14">
        <f>'[13]CB Master List - FY15&amp;FY14'!$AY$56</f>
        <v>1941.7317294639599</v>
      </c>
      <c r="I24" s="40">
        <f>'[13]CB Master List - FY15&amp;FY14'!$AZ$56</f>
        <v>2244.2540884311661</v>
      </c>
      <c r="J24" s="14">
        <f>'[13]CB Master List - FY15&amp;FY14'!$BA$56</f>
        <v>0</v>
      </c>
      <c r="K24" s="15">
        <f t="shared" si="0"/>
        <v>4185.9858178951263</v>
      </c>
    </row>
    <row r="25" spans="1:11" ht="18" customHeight="1">
      <c r="A25" s="4" t="s">
        <v>79</v>
      </c>
      <c r="B25" t="s">
        <v>5</v>
      </c>
      <c r="F25" s="13"/>
      <c r="G25" s="13"/>
      <c r="H25" s="14">
        <f>'[13]CB Master List - FY15&amp;FY14'!$AY$67</f>
        <v>22394.85086237</v>
      </c>
      <c r="I25" s="40">
        <f>'[13]CB Master List - FY15&amp;FY14'!$AZ$67</f>
        <v>25883.975033747294</v>
      </c>
      <c r="J25" s="14">
        <f>'[13]CB Master List - FY15&amp;FY14'!$BA$67</f>
        <v>1968.2644555000002</v>
      </c>
      <c r="K25" s="15">
        <f t="shared" si="0"/>
        <v>46310.561440617297</v>
      </c>
    </row>
    <row r="26" spans="1:11" ht="18" customHeight="1">
      <c r="A26" s="4" t="s">
        <v>80</v>
      </c>
      <c r="B26" t="s">
        <v>45</v>
      </c>
      <c r="F26" s="13"/>
      <c r="G26" s="13"/>
      <c r="H26" s="14"/>
      <c r="I26" s="40">
        <f t="shared" ref="I26:I34" si="1">H26*F$114</f>
        <v>0</v>
      </c>
      <c r="J26" s="14"/>
      <c r="K26" s="15">
        <f t="shared" si="0"/>
        <v>0</v>
      </c>
    </row>
    <row r="27" spans="1:11" ht="18" customHeight="1">
      <c r="A27" s="4" t="s">
        <v>81</v>
      </c>
      <c r="B27" t="s">
        <v>46</v>
      </c>
      <c r="F27" s="13"/>
      <c r="G27" s="13"/>
      <c r="H27" s="14"/>
      <c r="I27" s="40">
        <f t="shared" si="1"/>
        <v>0</v>
      </c>
      <c r="J27" s="14"/>
      <c r="K27" s="15">
        <f t="shared" si="0"/>
        <v>0</v>
      </c>
    </row>
    <row r="28" spans="1:11" ht="18" customHeight="1">
      <c r="A28" s="4" t="s">
        <v>82</v>
      </c>
      <c r="B28" t="s">
        <v>47</v>
      </c>
      <c r="F28" s="13"/>
      <c r="G28" s="13"/>
      <c r="H28" s="14"/>
      <c r="I28" s="40">
        <f t="shared" si="1"/>
        <v>0</v>
      </c>
      <c r="J28" s="14"/>
      <c r="K28" s="15">
        <f t="shared" si="0"/>
        <v>0</v>
      </c>
    </row>
    <row r="29" spans="1:11" ht="18" customHeight="1">
      <c r="A29" s="4" t="s">
        <v>83</v>
      </c>
      <c r="B29" t="s">
        <v>48</v>
      </c>
      <c r="F29" s="13"/>
      <c r="G29" s="13"/>
      <c r="H29" s="14">
        <f>'[13]CB Master List - FY15&amp;FY14'!$AY$89</f>
        <v>149444.45668026002</v>
      </c>
      <c r="I29" s="40">
        <f>'[13]CB Master List - FY15&amp;FY14'!$AZ$89</f>
        <v>116560.49015508121</v>
      </c>
      <c r="J29" s="14">
        <f>'[13]CB Master List - FY15&amp;FY14'!$BA$89</f>
        <v>60.438420000000008</v>
      </c>
      <c r="K29" s="15">
        <f t="shared" si="0"/>
        <v>265944.5084153412</v>
      </c>
    </row>
    <row r="30" spans="1:11" ht="18" customHeight="1">
      <c r="A30" s="4" t="s">
        <v>84</v>
      </c>
      <c r="B30" s="893" t="s">
        <v>197</v>
      </c>
      <c r="C30" s="894"/>
      <c r="D30" s="895"/>
      <c r="F30" s="13"/>
      <c r="G30" s="13"/>
      <c r="H30" s="14">
        <f>'[13]CB Master List - FY15&amp;FY14'!$AY$98</f>
        <v>2480.2348850035601</v>
      </c>
      <c r="I30" s="40">
        <f>'[13]CB Master List - FY15&amp;FY14'!$AZ$98</f>
        <v>2866.6561896660596</v>
      </c>
      <c r="J30" s="14">
        <f>'[13]CB Master List - FY15&amp;FY14'!$BA$98</f>
        <v>187.69156700000002</v>
      </c>
      <c r="K30" s="15">
        <f t="shared" si="0"/>
        <v>5159.1995076696203</v>
      </c>
    </row>
    <row r="31" spans="1:11" ht="18" customHeight="1">
      <c r="A31" s="4" t="s">
        <v>133</v>
      </c>
      <c r="B31" s="893"/>
      <c r="C31" s="894"/>
      <c r="D31" s="895"/>
      <c r="F31" s="13"/>
      <c r="G31" s="13"/>
      <c r="H31" s="14"/>
      <c r="I31" s="40">
        <f t="shared" si="1"/>
        <v>0</v>
      </c>
      <c r="J31" s="14"/>
      <c r="K31" s="15">
        <f t="shared" si="0"/>
        <v>0</v>
      </c>
    </row>
    <row r="32" spans="1:11" ht="18" customHeight="1">
      <c r="A32" s="4" t="s">
        <v>134</v>
      </c>
      <c r="B32" s="644"/>
      <c r="C32" s="645"/>
      <c r="D32" s="646"/>
      <c r="F32" s="13"/>
      <c r="G32" s="258"/>
      <c r="H32" s="14"/>
      <c r="I32" s="40">
        <f t="shared" si="1"/>
        <v>0</v>
      </c>
      <c r="J32" s="14"/>
      <c r="K32" s="15">
        <f t="shared" si="0"/>
        <v>0</v>
      </c>
    </row>
    <row r="33" spans="1:11" ht="18" customHeight="1">
      <c r="A33" s="4" t="s">
        <v>135</v>
      </c>
      <c r="B33" s="644"/>
      <c r="C33" s="645"/>
      <c r="D33" s="646"/>
      <c r="F33" s="13"/>
      <c r="G33" s="258" t="s">
        <v>85</v>
      </c>
      <c r="H33" s="14"/>
      <c r="I33" s="40">
        <f t="shared" si="1"/>
        <v>0</v>
      </c>
      <c r="J33" s="14"/>
      <c r="K33" s="15">
        <f t="shared" si="0"/>
        <v>0</v>
      </c>
    </row>
    <row r="34" spans="1:11" ht="18" customHeight="1">
      <c r="A34" s="4" t="s">
        <v>136</v>
      </c>
      <c r="B34" s="893"/>
      <c r="C34" s="894"/>
      <c r="D34" s="895"/>
      <c r="F34" s="13"/>
      <c r="G34" s="258" t="s">
        <v>85</v>
      </c>
      <c r="H34" s="14"/>
      <c r="I34" s="40">
        <f t="shared" si="1"/>
        <v>0</v>
      </c>
      <c r="J34" s="14"/>
      <c r="K34" s="15">
        <f t="shared" si="0"/>
        <v>0</v>
      </c>
    </row>
    <row r="35" spans="1:11" ht="18" customHeight="1">
      <c r="K35" s="35"/>
    </row>
    <row r="36" spans="1:11" ht="18" customHeight="1">
      <c r="A36" s="5" t="s">
        <v>137</v>
      </c>
      <c r="B36" s="1" t="s">
        <v>138</v>
      </c>
      <c r="E36" s="1" t="s">
        <v>7</v>
      </c>
      <c r="F36" s="17">
        <f t="shared" ref="F36:K36" si="2">SUM(F21:F34)</f>
        <v>0</v>
      </c>
      <c r="G36" s="17">
        <f t="shared" si="2"/>
        <v>0</v>
      </c>
      <c r="H36" s="17">
        <f t="shared" si="2"/>
        <v>230683.19502538352</v>
      </c>
      <c r="I36" s="15">
        <f t="shared" si="2"/>
        <v>210456.24717624552</v>
      </c>
      <c r="J36" s="15">
        <f t="shared" si="2"/>
        <v>7069.6002912500007</v>
      </c>
      <c r="K36" s="15">
        <f t="shared" si="2"/>
        <v>434069.84191037895</v>
      </c>
    </row>
    <row r="37" spans="1:11" ht="18" customHeight="1" thickBot="1">
      <c r="B37" s="1"/>
      <c r="F37" s="18"/>
      <c r="G37" s="18"/>
      <c r="H37" s="19"/>
      <c r="I37" s="19"/>
      <c r="J37" s="19"/>
      <c r="K37" s="36"/>
    </row>
    <row r="38" spans="1:11" ht="42.75" customHeight="1">
      <c r="F38" s="8" t="s">
        <v>9</v>
      </c>
      <c r="G38" s="8" t="s">
        <v>37</v>
      </c>
      <c r="H38" s="8" t="s">
        <v>29</v>
      </c>
      <c r="I38" s="8" t="s">
        <v>30</v>
      </c>
      <c r="J38" s="8" t="s">
        <v>33</v>
      </c>
      <c r="K38" s="8" t="s">
        <v>34</v>
      </c>
    </row>
    <row r="39" spans="1:11" ht="18.75" customHeight="1">
      <c r="A39" s="5" t="s">
        <v>86</v>
      </c>
      <c r="B39" s="1" t="s">
        <v>49</v>
      </c>
    </row>
    <row r="40" spans="1:11" ht="18" customHeight="1">
      <c r="A40" s="4" t="s">
        <v>87</v>
      </c>
      <c r="B40" t="s">
        <v>31</v>
      </c>
      <c r="F40" s="13"/>
      <c r="G40" s="13"/>
      <c r="H40" s="14"/>
      <c r="I40" s="40">
        <v>0</v>
      </c>
      <c r="J40" s="14"/>
      <c r="K40" s="15">
        <f t="shared" ref="K40:K47" si="3">(H40+I40)-J40</f>
        <v>0</v>
      </c>
    </row>
    <row r="41" spans="1:11" ht="18" customHeight="1">
      <c r="A41" s="4" t="s">
        <v>88</v>
      </c>
      <c r="B41" s="931" t="s">
        <v>50</v>
      </c>
      <c r="C41" s="939"/>
      <c r="F41" s="13"/>
      <c r="G41" s="13"/>
      <c r="H41" s="14">
        <f>'[13]CB Master List - FY15&amp;FY14'!$AY$117</f>
        <v>0</v>
      </c>
      <c r="I41" s="40">
        <f>'[13]CB Master List - FY15&amp;FY14'!$AZ$117</f>
        <v>0</v>
      </c>
      <c r="J41" s="14">
        <f>'[13]CB Master List - FY15&amp;FY14'!$BA$117</f>
        <v>0</v>
      </c>
      <c r="K41" s="15">
        <f t="shared" si="3"/>
        <v>0</v>
      </c>
    </row>
    <row r="42" spans="1:11" ht="18" customHeight="1">
      <c r="A42" s="4" t="s">
        <v>89</v>
      </c>
      <c r="B42" s="257" t="s">
        <v>11</v>
      </c>
      <c r="F42" s="13"/>
      <c r="G42" s="13"/>
      <c r="H42" s="14">
        <f>'[13]CB Master List - FY15&amp;FY14'!$AY$130</f>
        <v>2759.0684303000003</v>
      </c>
      <c r="I42" s="40">
        <f>'[13]CB Master List - FY15&amp;FY14'!$AZ$130</f>
        <v>0</v>
      </c>
      <c r="J42" s="14">
        <f>'[13]CB Master List - FY15&amp;FY14'!$BA$130</f>
        <v>24.9633307</v>
      </c>
      <c r="K42" s="15">
        <f t="shared" si="3"/>
        <v>2734.1050996000004</v>
      </c>
    </row>
    <row r="43" spans="1:11" ht="18" customHeight="1">
      <c r="A43" s="4" t="s">
        <v>90</v>
      </c>
      <c r="B43" s="259" t="s">
        <v>10</v>
      </c>
      <c r="C43" s="9"/>
      <c r="D43" s="9"/>
      <c r="F43" s="13"/>
      <c r="G43" s="13"/>
      <c r="H43" s="14"/>
      <c r="I43" s="40">
        <v>0</v>
      </c>
      <c r="J43" s="14"/>
      <c r="K43" s="15">
        <f t="shared" si="3"/>
        <v>0</v>
      </c>
    </row>
    <row r="44" spans="1:11" ht="18" customHeight="1">
      <c r="A44" s="4" t="s">
        <v>91</v>
      </c>
      <c r="B44" s="893"/>
      <c r="C44" s="894"/>
      <c r="D44" s="895"/>
      <c r="F44" s="43"/>
      <c r="G44" s="43"/>
      <c r="H44" s="43"/>
      <c r="I44" s="44">
        <v>0</v>
      </c>
      <c r="J44" s="43"/>
      <c r="K44" s="45">
        <f t="shared" si="3"/>
        <v>0</v>
      </c>
    </row>
    <row r="45" spans="1:11" ht="18" customHeight="1">
      <c r="A45" s="4" t="s">
        <v>139</v>
      </c>
      <c r="B45" s="893"/>
      <c r="C45" s="894"/>
      <c r="D45" s="895"/>
      <c r="F45" s="13"/>
      <c r="G45" s="13"/>
      <c r="H45" s="14"/>
      <c r="I45" s="40">
        <v>0</v>
      </c>
      <c r="J45" s="14"/>
      <c r="K45" s="15">
        <f t="shared" si="3"/>
        <v>0</v>
      </c>
    </row>
    <row r="46" spans="1:11" ht="18" customHeight="1">
      <c r="A46" s="4" t="s">
        <v>140</v>
      </c>
      <c r="B46" s="893"/>
      <c r="C46" s="894"/>
      <c r="D46" s="895"/>
      <c r="F46" s="13"/>
      <c r="G46" s="13"/>
      <c r="H46" s="14"/>
      <c r="I46" s="40">
        <v>0</v>
      </c>
      <c r="J46" s="14"/>
      <c r="K46" s="15">
        <f t="shared" si="3"/>
        <v>0</v>
      </c>
    </row>
    <row r="47" spans="1:11" ht="18" customHeight="1">
      <c r="A47" s="4" t="s">
        <v>141</v>
      </c>
      <c r="B47" s="893"/>
      <c r="C47" s="894"/>
      <c r="D47" s="895"/>
      <c r="F47" s="13"/>
      <c r="G47" s="13"/>
      <c r="H47" s="14"/>
      <c r="I47" s="40">
        <v>0</v>
      </c>
      <c r="J47" s="14"/>
      <c r="K47" s="15">
        <f t="shared" si="3"/>
        <v>0</v>
      </c>
    </row>
    <row r="49" spans="1:11" ht="18" customHeight="1">
      <c r="A49" s="5" t="s">
        <v>142</v>
      </c>
      <c r="B49" s="1" t="s">
        <v>143</v>
      </c>
      <c r="E49" s="1" t="s">
        <v>7</v>
      </c>
      <c r="F49" s="22">
        <f t="shared" ref="F49:K49" si="4">SUM(F40:F47)</f>
        <v>0</v>
      </c>
      <c r="G49" s="22">
        <f t="shared" si="4"/>
        <v>0</v>
      </c>
      <c r="H49" s="15">
        <f t="shared" si="4"/>
        <v>2759.0684303000003</v>
      </c>
      <c r="I49" s="15">
        <f t="shared" si="4"/>
        <v>0</v>
      </c>
      <c r="J49" s="15">
        <f t="shared" si="4"/>
        <v>24.9633307</v>
      </c>
      <c r="K49" s="15">
        <f t="shared" si="4"/>
        <v>2734.1050996000004</v>
      </c>
    </row>
    <row r="50" spans="1:11" ht="18" customHeight="1" thickBot="1">
      <c r="G50" s="23"/>
      <c r="H50" s="23"/>
      <c r="I50" s="23"/>
      <c r="J50" s="23"/>
      <c r="K50" s="23"/>
    </row>
    <row r="51" spans="1:11" ht="42.75" customHeight="1">
      <c r="F51" s="8" t="s">
        <v>9</v>
      </c>
      <c r="G51" s="8" t="s">
        <v>37</v>
      </c>
      <c r="H51" s="8" t="s">
        <v>29</v>
      </c>
      <c r="I51" s="8" t="s">
        <v>30</v>
      </c>
      <c r="J51" s="8" t="s">
        <v>33</v>
      </c>
      <c r="K51" s="8" t="s">
        <v>34</v>
      </c>
    </row>
    <row r="52" spans="1:11" ht="18" customHeight="1">
      <c r="A52" s="5" t="s">
        <v>92</v>
      </c>
      <c r="B52" s="935" t="s">
        <v>38</v>
      </c>
      <c r="C52" s="936"/>
    </row>
    <row r="53" spans="1:11" ht="18" customHeight="1">
      <c r="A53" s="4" t="s">
        <v>51</v>
      </c>
      <c r="B53" s="937"/>
      <c r="C53" s="938"/>
      <c r="D53" s="934"/>
      <c r="F53" s="13"/>
      <c r="G53" s="13"/>
      <c r="H53" s="14"/>
      <c r="I53" s="40">
        <v>0</v>
      </c>
      <c r="J53" s="14"/>
      <c r="K53" s="15">
        <f t="shared" ref="K53:K62" si="5">(H53+I53)-J53</f>
        <v>0</v>
      </c>
    </row>
    <row r="54" spans="1:11" ht="18" customHeight="1">
      <c r="A54" s="4" t="s">
        <v>93</v>
      </c>
      <c r="B54" s="649" t="s">
        <v>192</v>
      </c>
      <c r="C54" s="650"/>
      <c r="D54" s="648"/>
      <c r="F54" s="13"/>
      <c r="G54" s="13"/>
      <c r="H54" s="14">
        <f>'[13]CB Master List - FY15&amp;FY14'!$AY$155</f>
        <v>429674.92609095812</v>
      </c>
      <c r="I54" s="40">
        <f>'[13]CB Master List - FY15&amp;FY14'!$AZ$155</f>
        <v>0</v>
      </c>
      <c r="J54" s="14">
        <f>'[13]CB Master List - FY15&amp;FY14'!$BA$155</f>
        <v>0</v>
      </c>
      <c r="K54" s="15">
        <f t="shared" si="5"/>
        <v>429674.92609095812</v>
      </c>
    </row>
    <row r="55" spans="1:11" ht="18" customHeight="1">
      <c r="A55" s="4" t="s">
        <v>94</v>
      </c>
      <c r="B55" s="932"/>
      <c r="C55" s="933"/>
      <c r="D55" s="934"/>
      <c r="F55" s="13"/>
      <c r="G55" s="13"/>
      <c r="H55" s="14"/>
      <c r="I55" s="40">
        <v>0</v>
      </c>
      <c r="J55" s="14"/>
      <c r="K55" s="15">
        <f t="shared" si="5"/>
        <v>0</v>
      </c>
    </row>
    <row r="56" spans="1:11" ht="18" customHeight="1">
      <c r="A56" s="4" t="s">
        <v>95</v>
      </c>
      <c r="B56" s="932"/>
      <c r="C56" s="933"/>
      <c r="D56" s="934"/>
      <c r="F56" s="13"/>
      <c r="G56" s="13"/>
      <c r="H56" s="14"/>
      <c r="I56" s="40">
        <v>0</v>
      </c>
      <c r="J56" s="14"/>
      <c r="K56" s="15">
        <f t="shared" si="5"/>
        <v>0</v>
      </c>
    </row>
    <row r="57" spans="1:11" ht="18" customHeight="1">
      <c r="A57" s="4" t="s">
        <v>96</v>
      </c>
      <c r="B57" s="932" t="s">
        <v>195</v>
      </c>
      <c r="C57" s="933"/>
      <c r="D57" s="934"/>
      <c r="F57" s="13"/>
      <c r="G57" s="13"/>
      <c r="H57" s="14">
        <f>'[13]CB Master List - FY15&amp;FY14'!$AY$166</f>
        <v>780995.65</v>
      </c>
      <c r="I57" s="40">
        <f>'[13]CB Master List - FY15&amp;FY14'!$AZ$166</f>
        <v>0</v>
      </c>
      <c r="J57" s="14">
        <f>'[13]CB Master List - FY15&amp;FY14'!$BA$166</f>
        <v>0</v>
      </c>
      <c r="K57" s="15">
        <f t="shared" si="5"/>
        <v>780995.65</v>
      </c>
    </row>
    <row r="58" spans="1:11" ht="18" customHeight="1">
      <c r="A58" s="4" t="s">
        <v>97</v>
      </c>
      <c r="B58" s="649"/>
      <c r="C58" s="650"/>
      <c r="D58" s="648"/>
      <c r="F58" s="13"/>
      <c r="G58" s="13"/>
      <c r="H58" s="14"/>
      <c r="I58" s="40">
        <v>0</v>
      </c>
      <c r="J58" s="14"/>
      <c r="K58" s="15">
        <f t="shared" si="5"/>
        <v>0</v>
      </c>
    </row>
    <row r="59" spans="1:11" ht="18" customHeight="1">
      <c r="A59" s="4" t="s">
        <v>98</v>
      </c>
      <c r="B59" s="932"/>
      <c r="C59" s="933"/>
      <c r="D59" s="934"/>
      <c r="F59" s="13"/>
      <c r="G59" s="13"/>
      <c r="H59" s="14"/>
      <c r="I59" s="40">
        <v>0</v>
      </c>
      <c r="J59" s="14"/>
      <c r="K59" s="15">
        <f t="shared" si="5"/>
        <v>0</v>
      </c>
    </row>
    <row r="60" spans="1:11" ht="18" customHeight="1">
      <c r="A60" s="4" t="s">
        <v>99</v>
      </c>
      <c r="B60" s="649"/>
      <c r="C60" s="650"/>
      <c r="D60" s="648"/>
      <c r="F60" s="13"/>
      <c r="G60" s="13"/>
      <c r="H60" s="14"/>
      <c r="I60" s="40">
        <v>0</v>
      </c>
      <c r="J60" s="14"/>
      <c r="K60" s="15">
        <f t="shared" si="5"/>
        <v>0</v>
      </c>
    </row>
    <row r="61" spans="1:11" ht="18" customHeight="1">
      <c r="A61" s="4" t="s">
        <v>100</v>
      </c>
      <c r="B61" s="649"/>
      <c r="C61" s="650"/>
      <c r="D61" s="648"/>
      <c r="F61" s="13"/>
      <c r="G61" s="13"/>
      <c r="H61" s="14"/>
      <c r="I61" s="40">
        <v>0</v>
      </c>
      <c r="J61" s="14"/>
      <c r="K61" s="15">
        <f t="shared" si="5"/>
        <v>0</v>
      </c>
    </row>
    <row r="62" spans="1:11" ht="18" customHeight="1">
      <c r="A62" s="4" t="s">
        <v>101</v>
      </c>
      <c r="B62" s="932"/>
      <c r="C62" s="933"/>
      <c r="D62" s="934"/>
      <c r="F62" s="13"/>
      <c r="G62" s="13"/>
      <c r="H62" s="14"/>
      <c r="I62" s="40">
        <v>0</v>
      </c>
      <c r="J62" s="14"/>
      <c r="K62" s="15">
        <f t="shared" si="5"/>
        <v>0</v>
      </c>
    </row>
    <row r="63" spans="1:11" ht="18" customHeight="1">
      <c r="A63" s="4"/>
      <c r="I63" s="37"/>
    </row>
    <row r="64" spans="1:11" ht="18" customHeight="1">
      <c r="A64" s="4" t="s">
        <v>144</v>
      </c>
      <c r="B64" s="1" t="s">
        <v>145</v>
      </c>
      <c r="E64" s="1" t="s">
        <v>7</v>
      </c>
      <c r="F64" s="17">
        <f t="shared" ref="F64:K64" si="6">SUM(F53:F62)</f>
        <v>0</v>
      </c>
      <c r="G64" s="17">
        <f t="shared" si="6"/>
        <v>0</v>
      </c>
      <c r="H64" s="15">
        <f t="shared" si="6"/>
        <v>1210670.5760909582</v>
      </c>
      <c r="I64" s="15">
        <f t="shared" si="6"/>
        <v>0</v>
      </c>
      <c r="J64" s="15">
        <f t="shared" si="6"/>
        <v>0</v>
      </c>
      <c r="K64" s="15">
        <f t="shared" si="6"/>
        <v>1210670.5760909582</v>
      </c>
    </row>
    <row r="65" spans="1:11" ht="18" customHeight="1">
      <c r="F65" s="38"/>
      <c r="G65" s="38"/>
      <c r="H65" s="38"/>
      <c r="I65" s="38"/>
      <c r="J65" s="38"/>
      <c r="K65" s="38"/>
    </row>
    <row r="66" spans="1:11" ht="42.75" customHeight="1">
      <c r="F66" s="46" t="s">
        <v>9</v>
      </c>
      <c r="G66" s="46" t="s">
        <v>37</v>
      </c>
      <c r="H66" s="46" t="s">
        <v>29</v>
      </c>
      <c r="I66" s="46" t="s">
        <v>30</v>
      </c>
      <c r="J66" s="46" t="s">
        <v>33</v>
      </c>
      <c r="K66" s="46" t="s">
        <v>34</v>
      </c>
    </row>
    <row r="67" spans="1:11" ht="18" customHeight="1">
      <c r="A67" s="5" t="s">
        <v>102</v>
      </c>
      <c r="B67" s="1" t="s">
        <v>12</v>
      </c>
      <c r="F67" s="47"/>
      <c r="G67" s="47"/>
      <c r="H67" s="47"/>
      <c r="I67" s="48"/>
      <c r="J67" s="47"/>
      <c r="K67" s="49"/>
    </row>
    <row r="68" spans="1:11" ht="18" customHeight="1">
      <c r="A68" s="4" t="s">
        <v>103</v>
      </c>
      <c r="B68" t="s">
        <v>52</v>
      </c>
      <c r="F68" s="13"/>
      <c r="G68" s="41"/>
      <c r="H68" s="41"/>
      <c r="I68" s="40">
        <v>0</v>
      </c>
      <c r="J68" s="41"/>
      <c r="K68" s="15">
        <f>(H68+I68)-J68</f>
        <v>0</v>
      </c>
    </row>
    <row r="69" spans="1:11" ht="18" customHeight="1">
      <c r="A69" s="4" t="s">
        <v>104</v>
      </c>
      <c r="B69" s="257" t="s">
        <v>53</v>
      </c>
      <c r="F69" s="41"/>
      <c r="G69" s="41"/>
      <c r="H69" s="41"/>
      <c r="I69" s="40">
        <v>0</v>
      </c>
      <c r="J69" s="41"/>
      <c r="K69" s="15">
        <f>(H69+I69)-J69</f>
        <v>0</v>
      </c>
    </row>
    <row r="70" spans="1:11" ht="18" customHeight="1">
      <c r="A70" s="4" t="s">
        <v>178</v>
      </c>
      <c r="B70" s="649"/>
      <c r="C70" s="650"/>
      <c r="D70" s="648"/>
      <c r="E70" s="1"/>
      <c r="F70" s="26"/>
      <c r="G70" s="26"/>
      <c r="H70" s="27"/>
      <c r="I70" s="40">
        <v>0</v>
      </c>
      <c r="J70" s="27"/>
      <c r="K70" s="15">
        <f>(H70+I70)-J70</f>
        <v>0</v>
      </c>
    </row>
    <row r="71" spans="1:11" ht="18" customHeight="1">
      <c r="A71" s="4" t="s">
        <v>179</v>
      </c>
      <c r="B71" s="649"/>
      <c r="C71" s="650"/>
      <c r="D71" s="648"/>
      <c r="E71" s="1"/>
      <c r="F71" s="26"/>
      <c r="G71" s="26"/>
      <c r="H71" s="27"/>
      <c r="I71" s="40">
        <v>0</v>
      </c>
      <c r="J71" s="27"/>
      <c r="K71" s="15">
        <f>(H71+I71)-J71</f>
        <v>0</v>
      </c>
    </row>
    <row r="72" spans="1:11" ht="18" customHeight="1">
      <c r="A72" s="4" t="s">
        <v>180</v>
      </c>
      <c r="B72" s="652"/>
      <c r="C72" s="647"/>
      <c r="D72" s="25"/>
      <c r="E72" s="1"/>
      <c r="F72" s="13"/>
      <c r="G72" s="13"/>
      <c r="H72" s="14"/>
      <c r="I72" s="40">
        <v>0</v>
      </c>
      <c r="J72" s="14"/>
      <c r="K72" s="15">
        <f>(H72+I72)-J72</f>
        <v>0</v>
      </c>
    </row>
    <row r="73" spans="1:11" ht="18" customHeight="1">
      <c r="A73" s="4"/>
      <c r="B73" s="257"/>
      <c r="E73" s="1"/>
      <c r="F73" s="50"/>
      <c r="G73" s="50"/>
      <c r="H73" s="51"/>
      <c r="I73" s="48"/>
      <c r="J73" s="51"/>
      <c r="K73" s="49"/>
    </row>
    <row r="74" spans="1:11" ht="18" customHeight="1">
      <c r="A74" s="5" t="s">
        <v>146</v>
      </c>
      <c r="B74" s="1" t="s">
        <v>147</v>
      </c>
      <c r="E74" s="1" t="s">
        <v>7</v>
      </c>
      <c r="F74" s="20">
        <f t="shared" ref="F74:K74" si="7">SUM(F68:F72)</f>
        <v>0</v>
      </c>
      <c r="G74" s="20">
        <f t="shared" si="7"/>
        <v>0</v>
      </c>
      <c r="H74" s="20">
        <f t="shared" si="7"/>
        <v>0</v>
      </c>
      <c r="I74" s="42">
        <f t="shared" si="7"/>
        <v>0</v>
      </c>
      <c r="J74" s="20">
        <f t="shared" si="7"/>
        <v>0</v>
      </c>
      <c r="K74" s="16">
        <f t="shared" si="7"/>
        <v>0</v>
      </c>
    </row>
    <row r="75" spans="1:11" ht="42.75" customHeight="1">
      <c r="F75" s="8" t="s">
        <v>9</v>
      </c>
      <c r="G75" s="8" t="s">
        <v>37</v>
      </c>
      <c r="H75" s="8" t="s">
        <v>29</v>
      </c>
      <c r="I75" s="8" t="s">
        <v>30</v>
      </c>
      <c r="J75" s="8" t="s">
        <v>33</v>
      </c>
      <c r="K75" s="8" t="s">
        <v>34</v>
      </c>
    </row>
    <row r="76" spans="1:11" ht="18" customHeight="1">
      <c r="A76" s="5" t="s">
        <v>105</v>
      </c>
      <c r="B76" s="1" t="s">
        <v>106</v>
      </c>
    </row>
    <row r="77" spans="1:11" ht="18" customHeight="1">
      <c r="A77" s="4" t="s">
        <v>107</v>
      </c>
      <c r="B77" s="257" t="s">
        <v>54</v>
      </c>
      <c r="F77" s="13"/>
      <c r="G77" s="13"/>
      <c r="H77" s="14">
        <f>'[13]CB Master List - FY15&amp;FY14'!$AY$201</f>
        <v>69782.974999999991</v>
      </c>
      <c r="I77" s="40">
        <f>'[13]CB Master List - FY15&amp;FY14'!$AZ$201</f>
        <v>0</v>
      </c>
      <c r="J77" s="14">
        <f>'[13]CB Master List - FY15&amp;FY14'!$BA$201</f>
        <v>0</v>
      </c>
      <c r="K77" s="15">
        <f>(H77+I77)-J77</f>
        <v>69782.974999999991</v>
      </c>
    </row>
    <row r="78" spans="1:11" ht="18" customHeight="1">
      <c r="A78" s="4" t="s">
        <v>108</v>
      </c>
      <c r="B78" s="257" t="s">
        <v>55</v>
      </c>
      <c r="F78" s="13"/>
      <c r="G78" s="13"/>
      <c r="H78" s="14"/>
      <c r="I78" s="40">
        <v>0</v>
      </c>
      <c r="J78" s="14"/>
      <c r="K78" s="15">
        <f>(H78+I78)-J78</f>
        <v>0</v>
      </c>
    </row>
    <row r="79" spans="1:11" ht="18" customHeight="1">
      <c r="A79" s="4" t="s">
        <v>109</v>
      </c>
      <c r="B79" s="257" t="s">
        <v>13</v>
      </c>
      <c r="F79" s="13"/>
      <c r="G79" s="13"/>
      <c r="H79" s="14"/>
      <c r="I79" s="40">
        <v>0</v>
      </c>
      <c r="J79" s="14"/>
      <c r="K79" s="15">
        <f>(H79+I79)-J79</f>
        <v>0</v>
      </c>
    </row>
    <row r="80" spans="1:11" ht="18" customHeight="1">
      <c r="A80" s="4" t="s">
        <v>110</v>
      </c>
      <c r="B80" s="257" t="s">
        <v>56</v>
      </c>
      <c r="F80" s="13"/>
      <c r="G80" s="13"/>
      <c r="H80" s="14"/>
      <c r="I80" s="40">
        <v>0</v>
      </c>
      <c r="J80" s="14"/>
      <c r="K80" s="15">
        <f>(H80+I80)-J80</f>
        <v>0</v>
      </c>
    </row>
    <row r="81" spans="1:11" ht="18" customHeight="1">
      <c r="A81" s="4"/>
      <c r="K81" s="31"/>
    </row>
    <row r="82" spans="1:11" ht="18" customHeight="1">
      <c r="A82" s="4" t="s">
        <v>148</v>
      </c>
      <c r="B82" s="1" t="s">
        <v>149</v>
      </c>
      <c r="E82" s="1" t="s">
        <v>7</v>
      </c>
      <c r="F82" s="20">
        <f t="shared" ref="F82:K82" si="8">SUM(F77:F80)</f>
        <v>0</v>
      </c>
      <c r="G82" s="20">
        <f t="shared" si="8"/>
        <v>0</v>
      </c>
      <c r="H82" s="16">
        <f t="shared" si="8"/>
        <v>69782.974999999991</v>
      </c>
      <c r="I82" s="16">
        <f t="shared" si="8"/>
        <v>0</v>
      </c>
      <c r="J82" s="16">
        <f t="shared" si="8"/>
        <v>0</v>
      </c>
      <c r="K82" s="16">
        <f t="shared" si="8"/>
        <v>69782.974999999991</v>
      </c>
    </row>
    <row r="83" spans="1:11" ht="18" customHeight="1" thickBot="1">
      <c r="A83" s="4"/>
      <c r="F83" s="23"/>
      <c r="G83" s="23"/>
      <c r="H83" s="23"/>
      <c r="I83" s="23"/>
      <c r="J83" s="23"/>
      <c r="K83" s="23"/>
    </row>
    <row r="84" spans="1:11" ht="42.75" customHeight="1">
      <c r="F84" s="8" t="s">
        <v>9</v>
      </c>
      <c r="G84" s="8" t="s">
        <v>37</v>
      </c>
      <c r="H84" s="8" t="s">
        <v>29</v>
      </c>
      <c r="I84" s="8" t="s">
        <v>30</v>
      </c>
      <c r="J84" s="8" t="s">
        <v>33</v>
      </c>
      <c r="K84" s="8" t="s">
        <v>34</v>
      </c>
    </row>
    <row r="85" spans="1:11" ht="18" customHeight="1">
      <c r="A85" s="5" t="s">
        <v>111</v>
      </c>
      <c r="B85" s="1" t="s">
        <v>57</v>
      </c>
    </row>
    <row r="86" spans="1:11" ht="18" customHeight="1">
      <c r="A86" s="4" t="s">
        <v>112</v>
      </c>
      <c r="B86" s="257" t="s">
        <v>113</v>
      </c>
      <c r="F86" s="13"/>
      <c r="G86" s="13"/>
      <c r="H86" s="14">
        <f>'[13]CB Master List - FY15&amp;FY14'!$AY$225</f>
        <v>64.351612736905409</v>
      </c>
      <c r="I86" s="40">
        <f>'[13]CB Master List - FY15&amp;FY14'!$AZ$225</f>
        <v>74.377612411889899</v>
      </c>
      <c r="J86" s="14">
        <f>'[13]CB Master List - FY15&amp;FY14'!$BA$225</f>
        <v>0</v>
      </c>
      <c r="K86" s="15">
        <f t="shared" ref="K86:K96" si="9">(H86+I86)-J86</f>
        <v>138.72922514879531</v>
      </c>
    </row>
    <row r="87" spans="1:11" ht="18" customHeight="1">
      <c r="A87" s="4" t="s">
        <v>114</v>
      </c>
      <c r="B87" s="257" t="s">
        <v>14</v>
      </c>
      <c r="F87" s="13"/>
      <c r="G87" s="13"/>
      <c r="H87" s="14"/>
      <c r="I87" s="40">
        <f t="shared" ref="I87:I96" si="10">H87*F$114</f>
        <v>0</v>
      </c>
      <c r="J87" s="14"/>
      <c r="K87" s="15">
        <f t="shared" si="9"/>
        <v>0</v>
      </c>
    </row>
    <row r="88" spans="1:11" ht="18" customHeight="1">
      <c r="A88" s="4" t="s">
        <v>115</v>
      </c>
      <c r="B88" s="257" t="s">
        <v>116</v>
      </c>
      <c r="F88" s="13"/>
      <c r="G88" s="13"/>
      <c r="H88" s="14">
        <f>'[13]CB Master List - FY15&amp;FY14'!$AY$235</f>
        <v>8424</v>
      </c>
      <c r="I88" s="40">
        <f>'[13]CB Master List - FY15&amp;FY14'!$AZ$235</f>
        <v>9736.4616100511867</v>
      </c>
      <c r="J88" s="14">
        <f>'[13]CB Master List - FY15&amp;FY14'!$BA$235</f>
        <v>0</v>
      </c>
      <c r="K88" s="15">
        <f t="shared" si="9"/>
        <v>18160.461610051185</v>
      </c>
    </row>
    <row r="89" spans="1:11" ht="18" customHeight="1">
      <c r="A89" s="4" t="s">
        <v>117</v>
      </c>
      <c r="B89" s="257" t="s">
        <v>58</v>
      </c>
      <c r="F89" s="13"/>
      <c r="G89" s="13"/>
      <c r="H89" s="14"/>
      <c r="I89" s="40">
        <f t="shared" si="10"/>
        <v>0</v>
      </c>
      <c r="J89" s="14"/>
      <c r="K89" s="15">
        <f t="shared" si="9"/>
        <v>0</v>
      </c>
    </row>
    <row r="90" spans="1:11" ht="18" customHeight="1">
      <c r="A90" s="4" t="s">
        <v>118</v>
      </c>
      <c r="B90" s="931" t="s">
        <v>59</v>
      </c>
      <c r="C90" s="939"/>
      <c r="F90" s="13"/>
      <c r="G90" s="13"/>
      <c r="H90" s="14">
        <f>'[13]CB Master List - FY15&amp;FY14'!$AY$241</f>
        <v>0</v>
      </c>
      <c r="I90" s="40">
        <f>'[13]CB Master List - FY15&amp;FY14'!$AZ$241</f>
        <v>0</v>
      </c>
      <c r="J90" s="14">
        <f>'[13]CB Master List - FY15&amp;FY14'!$BA$241</f>
        <v>0</v>
      </c>
      <c r="K90" s="15">
        <f t="shared" si="9"/>
        <v>0</v>
      </c>
    </row>
    <row r="91" spans="1:11" ht="18" customHeight="1">
      <c r="A91" s="4" t="s">
        <v>119</v>
      </c>
      <c r="B91" s="257" t="s">
        <v>60</v>
      </c>
      <c r="F91" s="13"/>
      <c r="G91" s="13"/>
      <c r="H91" s="14">
        <f>'[13]CB Master List - FY15&amp;FY14'!$AY$244</f>
        <v>1977.6897244540332</v>
      </c>
      <c r="I91" s="40">
        <f>'[13]CB Master List - FY15&amp;FY14'!$AZ$244</f>
        <v>2285.8143493280395</v>
      </c>
      <c r="J91" s="14">
        <f>'[13]CB Master List - FY15&amp;FY14'!$BA$244</f>
        <v>0</v>
      </c>
      <c r="K91" s="15">
        <f t="shared" si="9"/>
        <v>4263.5040737820727</v>
      </c>
    </row>
    <row r="92" spans="1:11" ht="18" customHeight="1">
      <c r="A92" s="4" t="s">
        <v>120</v>
      </c>
      <c r="B92" s="257" t="s">
        <v>121</v>
      </c>
      <c r="F92" s="29"/>
      <c r="G92" s="29"/>
      <c r="H92" s="30">
        <f>'[13]CB Master List - FY15&amp;FY14'!$AY$253</f>
        <v>60656.865519024796</v>
      </c>
      <c r="I92" s="40">
        <f>'[13]CB Master List - FY15&amp;FY14'!$AZ$253</f>
        <v>70107.222520420532</v>
      </c>
      <c r="J92" s="30">
        <f>'[13]CB Master List - FY15&amp;FY14'!$BA$253</f>
        <v>0</v>
      </c>
      <c r="K92" s="15">
        <f t="shared" si="9"/>
        <v>130764.08803944533</v>
      </c>
    </row>
    <row r="93" spans="1:11" ht="18" customHeight="1">
      <c r="A93" s="4" t="s">
        <v>122</v>
      </c>
      <c r="B93" s="257" t="s">
        <v>123</v>
      </c>
      <c r="F93" s="13"/>
      <c r="G93" s="13"/>
      <c r="H93" s="14"/>
      <c r="I93" s="40">
        <f t="shared" si="10"/>
        <v>0</v>
      </c>
      <c r="J93" s="14"/>
      <c r="K93" s="15">
        <f t="shared" si="9"/>
        <v>0</v>
      </c>
    </row>
    <row r="94" spans="1:11" ht="18" customHeight="1">
      <c r="A94" s="4" t="s">
        <v>124</v>
      </c>
      <c r="B94" s="932"/>
      <c r="C94" s="933"/>
      <c r="D94" s="934"/>
      <c r="F94" s="13"/>
      <c r="G94" s="13"/>
      <c r="H94" s="14"/>
      <c r="I94" s="40">
        <f t="shared" si="10"/>
        <v>0</v>
      </c>
      <c r="J94" s="14"/>
      <c r="K94" s="15">
        <f t="shared" si="9"/>
        <v>0</v>
      </c>
    </row>
    <row r="95" spans="1:11" ht="18" customHeight="1">
      <c r="A95" s="4" t="s">
        <v>125</v>
      </c>
      <c r="B95" s="932"/>
      <c r="C95" s="933"/>
      <c r="D95" s="934"/>
      <c r="F95" s="13"/>
      <c r="G95" s="13"/>
      <c r="H95" s="14"/>
      <c r="I95" s="40">
        <f t="shared" si="10"/>
        <v>0</v>
      </c>
      <c r="J95" s="14"/>
      <c r="K95" s="15">
        <f t="shared" si="9"/>
        <v>0</v>
      </c>
    </row>
    <row r="96" spans="1:11" ht="18" customHeight="1">
      <c r="A96" s="4" t="s">
        <v>126</v>
      </c>
      <c r="B96" s="932"/>
      <c r="C96" s="933"/>
      <c r="D96" s="934"/>
      <c r="F96" s="13"/>
      <c r="G96" s="13"/>
      <c r="H96" s="14"/>
      <c r="I96" s="40">
        <f t="shared" si="10"/>
        <v>0</v>
      </c>
      <c r="J96" s="14"/>
      <c r="K96" s="15">
        <f t="shared" si="9"/>
        <v>0</v>
      </c>
    </row>
    <row r="97" spans="1:11" ht="18" customHeight="1">
      <c r="A97" s="4"/>
      <c r="B97" s="257"/>
    </row>
    <row r="98" spans="1:11" ht="18" customHeight="1">
      <c r="A98" s="5" t="s">
        <v>150</v>
      </c>
      <c r="B98" s="1" t="s">
        <v>151</v>
      </c>
      <c r="E98" s="1" t="s">
        <v>7</v>
      </c>
      <c r="F98" s="17">
        <f t="shared" ref="F98:K98" si="11">SUM(F86:F96)</f>
        <v>0</v>
      </c>
      <c r="G98" s="17">
        <f t="shared" si="11"/>
        <v>0</v>
      </c>
      <c r="H98" s="17">
        <f t="shared" si="11"/>
        <v>71122.906856215734</v>
      </c>
      <c r="I98" s="17">
        <f t="shared" si="11"/>
        <v>82203.876092211649</v>
      </c>
      <c r="J98" s="17">
        <f t="shared" si="11"/>
        <v>0</v>
      </c>
      <c r="K98" s="17">
        <f t="shared" si="11"/>
        <v>153326.78294842737</v>
      </c>
    </row>
    <row r="99" spans="1:11" ht="18" customHeight="1" thickBot="1">
      <c r="B99" s="1"/>
      <c r="F99" s="23"/>
      <c r="G99" s="23"/>
      <c r="H99" s="23"/>
      <c r="I99" s="23"/>
      <c r="J99" s="23"/>
      <c r="K99" s="23"/>
    </row>
    <row r="100" spans="1:11" ht="42.75" customHeight="1">
      <c r="F100" s="8" t="s">
        <v>9</v>
      </c>
      <c r="G100" s="8" t="s">
        <v>37</v>
      </c>
      <c r="H100" s="8" t="s">
        <v>29</v>
      </c>
      <c r="I100" s="8" t="s">
        <v>30</v>
      </c>
      <c r="J100" s="8" t="s">
        <v>33</v>
      </c>
      <c r="K100" s="8" t="s">
        <v>34</v>
      </c>
    </row>
    <row r="101" spans="1:11" ht="18" customHeight="1">
      <c r="A101" s="5" t="s">
        <v>130</v>
      </c>
      <c r="B101" s="1" t="s">
        <v>63</v>
      </c>
    </row>
    <row r="102" spans="1:11" ht="18" customHeight="1">
      <c r="A102" s="4" t="s">
        <v>131</v>
      </c>
      <c r="B102" s="257" t="s">
        <v>152</v>
      </c>
      <c r="F102" s="13"/>
      <c r="G102" s="13"/>
      <c r="H102" s="14">
        <f>'[13]CB Master List - FY15&amp;FY14'!$AY$273</f>
        <v>14219.158555349999</v>
      </c>
      <c r="I102" s="40">
        <f>'[13]CB Master List - FY15&amp;FY14'!$AZ$273</f>
        <v>16434.507526281595</v>
      </c>
      <c r="J102" s="14">
        <f>'[13]CB Master List - FY15&amp;FY14'!$BA$273</f>
        <v>366.04762005000009</v>
      </c>
      <c r="K102" s="15">
        <f>(H102+I102)-J102</f>
        <v>30287.618461581591</v>
      </c>
    </row>
    <row r="103" spans="1:11" ht="18" customHeight="1">
      <c r="A103" s="4" t="s">
        <v>132</v>
      </c>
      <c r="B103" s="931" t="s">
        <v>62</v>
      </c>
      <c r="C103" s="931"/>
      <c r="F103" s="13"/>
      <c r="G103" s="13"/>
      <c r="H103" s="14">
        <f>'[13]CB Master List - FY15&amp;FY14'!$AY$276</f>
        <v>0</v>
      </c>
      <c r="I103" s="40">
        <f>'[13]CB Master List - FY15&amp;FY14'!$AZ$276</f>
        <v>0</v>
      </c>
      <c r="J103" s="14">
        <f>'[13]CB Master List - FY15&amp;FY14'!$BA$276</f>
        <v>0</v>
      </c>
      <c r="K103" s="15">
        <f>(H103+I103)-J103</f>
        <v>0</v>
      </c>
    </row>
    <row r="104" spans="1:11" ht="18" customHeight="1">
      <c r="A104" s="4" t="s">
        <v>128</v>
      </c>
      <c r="B104" s="932" t="s">
        <v>196</v>
      </c>
      <c r="C104" s="933"/>
      <c r="D104" s="934"/>
      <c r="F104" s="13"/>
      <c r="G104" s="13"/>
      <c r="H104" s="14">
        <f>'[13]CB Master List - FY15&amp;FY14'!$AY$281</f>
        <v>6237.8820378000009</v>
      </c>
      <c r="I104" s="40">
        <f>'[13]CB Master List - FY15&amp;FY14'!$AZ$281</f>
        <v>7209.7458439064076</v>
      </c>
      <c r="J104" s="14">
        <f>'[13]CB Master List - FY15&amp;FY14'!$BA$281</f>
        <v>846.5582727000002</v>
      </c>
      <c r="K104" s="15">
        <f>(H104+I104)-J104</f>
        <v>12601.069609006408</v>
      </c>
    </row>
    <row r="105" spans="1:11" ht="18" customHeight="1">
      <c r="A105" s="4" t="s">
        <v>127</v>
      </c>
      <c r="B105" s="932"/>
      <c r="C105" s="933"/>
      <c r="D105" s="934"/>
      <c r="F105" s="13"/>
      <c r="G105" s="13"/>
      <c r="H105" s="14"/>
      <c r="I105" s="40">
        <f>H105*F$114</f>
        <v>0</v>
      </c>
      <c r="J105" s="14"/>
      <c r="K105" s="15">
        <f>(H105+I105)-J105</f>
        <v>0</v>
      </c>
    </row>
    <row r="106" spans="1:11" ht="18" customHeight="1">
      <c r="A106" s="4" t="s">
        <v>129</v>
      </c>
      <c r="B106" s="932"/>
      <c r="C106" s="933"/>
      <c r="D106" s="934"/>
      <c r="F106" s="13"/>
      <c r="G106" s="13"/>
      <c r="H106" s="14"/>
      <c r="I106" s="40">
        <f>H106*F$114</f>
        <v>0</v>
      </c>
      <c r="J106" s="14"/>
      <c r="K106" s="15">
        <f>(H106+I106)-J106</f>
        <v>0</v>
      </c>
    </row>
    <row r="107" spans="1:11" ht="18" customHeight="1">
      <c r="B107" s="1"/>
    </row>
    <row r="108" spans="1:11" s="9" customFormat="1" ht="18" customHeight="1">
      <c r="A108" s="5" t="s">
        <v>153</v>
      </c>
      <c r="B108" s="52" t="s">
        <v>154</v>
      </c>
      <c r="C108"/>
      <c r="D108"/>
      <c r="E108" s="1" t="s">
        <v>7</v>
      </c>
      <c r="F108" s="17">
        <f t="shared" ref="F108:K108" si="12">SUM(F102:F106)</f>
        <v>0</v>
      </c>
      <c r="G108" s="17">
        <f t="shared" si="12"/>
        <v>0</v>
      </c>
      <c r="H108" s="15">
        <f t="shared" si="12"/>
        <v>20457.040593149999</v>
      </c>
      <c r="I108" s="15">
        <f t="shared" si="12"/>
        <v>23644.253370188002</v>
      </c>
      <c r="J108" s="15">
        <f t="shared" si="12"/>
        <v>1212.6058927500003</v>
      </c>
      <c r="K108" s="15">
        <f t="shared" si="12"/>
        <v>42888.688070588003</v>
      </c>
    </row>
    <row r="109" spans="1:11" s="9" customFormat="1" ht="18" customHeight="1" thickBot="1">
      <c r="A109" s="10"/>
      <c r="B109" s="11"/>
      <c r="C109" s="12"/>
      <c r="D109" s="12"/>
      <c r="E109" s="12"/>
      <c r="F109" s="23"/>
      <c r="G109" s="23"/>
      <c r="H109" s="23"/>
      <c r="I109" s="23"/>
      <c r="J109" s="23"/>
      <c r="K109" s="23"/>
    </row>
    <row r="110" spans="1:11" s="9" customFormat="1" ht="18" customHeight="1">
      <c r="A110" s="5" t="s">
        <v>156</v>
      </c>
      <c r="B110" s="1" t="s">
        <v>39</v>
      </c>
      <c r="C110"/>
      <c r="D110"/>
      <c r="E110"/>
      <c r="F110"/>
      <c r="G110"/>
      <c r="H110"/>
      <c r="I110"/>
      <c r="J110"/>
      <c r="K110"/>
    </row>
    <row r="111" spans="1:11" ht="18" customHeight="1">
      <c r="A111" s="5" t="s">
        <v>155</v>
      </c>
      <c r="B111" s="1" t="s">
        <v>164</v>
      </c>
      <c r="E111" s="1" t="s">
        <v>7</v>
      </c>
      <c r="F111" s="14">
        <f>'[13]CB Master List - FY15&amp;FY14'!$BB$293</f>
        <v>818859.83999999985</v>
      </c>
    </row>
    <row r="112" spans="1:11" ht="18" customHeight="1">
      <c r="B112" s="1"/>
      <c r="E112" s="1"/>
      <c r="F112" s="21"/>
    </row>
    <row r="113" spans="1:6" ht="18" customHeight="1">
      <c r="A113" s="5"/>
      <c r="B113" s="1" t="s">
        <v>15</v>
      </c>
    </row>
    <row r="114" spans="1:6" ht="18" customHeight="1">
      <c r="A114" s="4" t="s">
        <v>171</v>
      </c>
      <c r="B114" s="257" t="s">
        <v>35</v>
      </c>
      <c r="F114" s="24">
        <f>'[13]CB Master List - FY15&amp;FY14'!$BB$302</f>
        <v>1.1558002860934458</v>
      </c>
    </row>
    <row r="115" spans="1:6" ht="18" customHeight="1">
      <c r="A115" s="4"/>
      <c r="B115" s="1"/>
    </row>
    <row r="116" spans="1:6" ht="18" customHeight="1">
      <c r="A116" s="4" t="s">
        <v>170</v>
      </c>
      <c r="B116" s="1" t="s">
        <v>16</v>
      </c>
    </row>
    <row r="117" spans="1:6" ht="18" customHeight="1">
      <c r="A117" s="4" t="s">
        <v>172</v>
      </c>
      <c r="B117" s="257" t="s">
        <v>17</v>
      </c>
      <c r="F117" s="14">
        <f>[14]CONS_PL!$X$73</f>
        <v>34926185</v>
      </c>
    </row>
    <row r="118" spans="1:6" ht="18" customHeight="1">
      <c r="A118" s="4" t="s">
        <v>173</v>
      </c>
      <c r="B118" t="s">
        <v>18</v>
      </c>
      <c r="F118" s="14">
        <f>[14]CONS_PL!$X$119</f>
        <v>4607427</v>
      </c>
    </row>
    <row r="119" spans="1:6" ht="18" customHeight="1">
      <c r="A119" s="4" t="s">
        <v>174</v>
      </c>
      <c r="B119" s="1" t="s">
        <v>19</v>
      </c>
      <c r="F119" s="16">
        <f>SUM(F117:F118)</f>
        <v>39533612</v>
      </c>
    </row>
    <row r="120" spans="1:6" ht="18" customHeight="1">
      <c r="A120" s="4"/>
      <c r="B120" s="1"/>
    </row>
    <row r="121" spans="1:6" ht="18" customHeight="1">
      <c r="A121" s="4" t="s">
        <v>167</v>
      </c>
      <c r="B121" s="1" t="s">
        <v>36</v>
      </c>
      <c r="F121" s="14">
        <f>[14]CONS_PL!$X$467</f>
        <v>34810449</v>
      </c>
    </row>
    <row r="122" spans="1:6" ht="18" customHeight="1">
      <c r="A122" s="4"/>
    </row>
    <row r="123" spans="1:6" ht="18" customHeight="1">
      <c r="A123" s="4" t="s">
        <v>175</v>
      </c>
      <c r="B123" s="1" t="s">
        <v>20</v>
      </c>
      <c r="F123" s="14">
        <f>[14]CONS_PL!$X$469</f>
        <v>4723163</v>
      </c>
    </row>
    <row r="124" spans="1:6" ht="18" customHeight="1">
      <c r="A124" s="4"/>
    </row>
    <row r="125" spans="1:6" ht="18" customHeight="1">
      <c r="A125" s="4" t="s">
        <v>176</v>
      </c>
      <c r="B125" s="1" t="s">
        <v>21</v>
      </c>
      <c r="F125" s="14">
        <f>[14]CONS_PL!$X$484</f>
        <v>-150128</v>
      </c>
    </row>
    <row r="126" spans="1:6" ht="18" customHeight="1">
      <c r="A126" s="4"/>
    </row>
    <row r="127" spans="1:6" ht="18" customHeight="1">
      <c r="A127" s="4" t="s">
        <v>177</v>
      </c>
      <c r="B127" s="1" t="s">
        <v>22</v>
      </c>
      <c r="F127" s="14">
        <f>[14]CONS_PL!$X$491</f>
        <v>4573035</v>
      </c>
    </row>
    <row r="128" spans="1:6" ht="18" customHeight="1">
      <c r="A128" s="4"/>
    </row>
    <row r="129" spans="1:11" ht="42.75" customHeight="1">
      <c r="F129" s="8" t="s">
        <v>9</v>
      </c>
      <c r="G129" s="8" t="s">
        <v>37</v>
      </c>
      <c r="H129" s="8" t="s">
        <v>29</v>
      </c>
      <c r="I129" s="8" t="s">
        <v>30</v>
      </c>
      <c r="J129" s="8" t="s">
        <v>33</v>
      </c>
      <c r="K129" s="8" t="s">
        <v>34</v>
      </c>
    </row>
    <row r="130" spans="1:11" ht="18" customHeight="1">
      <c r="A130" s="5" t="s">
        <v>157</v>
      </c>
      <c r="B130" s="1" t="s">
        <v>23</v>
      </c>
    </row>
    <row r="131" spans="1:11" ht="18" customHeight="1">
      <c r="A131" s="4" t="s">
        <v>158</v>
      </c>
      <c r="B131" t="s">
        <v>24</v>
      </c>
      <c r="F131" s="13"/>
      <c r="G131" s="13"/>
      <c r="H131" s="14"/>
      <c r="I131" s="40">
        <v>0</v>
      </c>
      <c r="J131" s="14"/>
      <c r="K131" s="15">
        <f>(H131+I131)-J131</f>
        <v>0</v>
      </c>
    </row>
    <row r="132" spans="1:11" ht="18" customHeight="1">
      <c r="A132" s="4" t="s">
        <v>159</v>
      </c>
      <c r="B132" t="s">
        <v>25</v>
      </c>
      <c r="F132" s="13"/>
      <c r="G132" s="13"/>
      <c r="H132" s="14"/>
      <c r="I132" s="40">
        <v>0</v>
      </c>
      <c r="J132" s="14"/>
      <c r="K132" s="15">
        <f>(H132+I132)-J132</f>
        <v>0</v>
      </c>
    </row>
    <row r="133" spans="1:11" ht="18" customHeight="1">
      <c r="A133" s="4" t="s">
        <v>160</v>
      </c>
      <c r="B133" s="893"/>
      <c r="C133" s="894"/>
      <c r="D133" s="895"/>
      <c r="F133" s="13"/>
      <c r="G133" s="13"/>
      <c r="H133" s="14"/>
      <c r="I133" s="40">
        <v>0</v>
      </c>
      <c r="J133" s="14"/>
      <c r="K133" s="15">
        <f>(H133+I133)-J133</f>
        <v>0</v>
      </c>
    </row>
    <row r="134" spans="1:11" ht="18" customHeight="1">
      <c r="A134" s="4" t="s">
        <v>161</v>
      </c>
      <c r="B134" s="893"/>
      <c r="C134" s="894"/>
      <c r="D134" s="895"/>
      <c r="F134" s="13"/>
      <c r="G134" s="13"/>
      <c r="H134" s="14"/>
      <c r="I134" s="40">
        <v>0</v>
      </c>
      <c r="J134" s="14"/>
      <c r="K134" s="15">
        <f>(H134+I134)-J134</f>
        <v>0</v>
      </c>
    </row>
    <row r="135" spans="1:11" ht="18" customHeight="1">
      <c r="A135" s="4" t="s">
        <v>162</v>
      </c>
      <c r="B135" s="893"/>
      <c r="C135" s="894"/>
      <c r="D135" s="895"/>
      <c r="F135" s="13"/>
      <c r="G135" s="13"/>
      <c r="H135" s="14"/>
      <c r="I135" s="40">
        <v>0</v>
      </c>
      <c r="J135" s="14"/>
      <c r="K135" s="15">
        <f>(H135+I135)-J135</f>
        <v>0</v>
      </c>
    </row>
    <row r="136" spans="1:11" ht="18" customHeight="1">
      <c r="A136" s="5"/>
    </row>
    <row r="137" spans="1:11" ht="18" customHeight="1">
      <c r="A137" s="5" t="s">
        <v>163</v>
      </c>
      <c r="B137" s="1" t="s">
        <v>27</v>
      </c>
      <c r="F137" s="17">
        <f t="shared" ref="F137:K137" si="13">SUM(F131:F135)</f>
        <v>0</v>
      </c>
      <c r="G137" s="17">
        <f t="shared" si="13"/>
        <v>0</v>
      </c>
      <c r="H137" s="15">
        <f t="shared" si="13"/>
        <v>0</v>
      </c>
      <c r="I137" s="15">
        <f t="shared" si="13"/>
        <v>0</v>
      </c>
      <c r="J137" s="15">
        <f t="shared" si="13"/>
        <v>0</v>
      </c>
      <c r="K137" s="15">
        <f t="shared" si="13"/>
        <v>0</v>
      </c>
    </row>
    <row r="138" spans="1:11" ht="18" customHeight="1">
      <c r="A138"/>
    </row>
    <row r="139" spans="1:11" ht="42.75" customHeight="1">
      <c r="F139" s="8" t="s">
        <v>9</v>
      </c>
      <c r="G139" s="8" t="s">
        <v>37</v>
      </c>
      <c r="H139" s="8" t="s">
        <v>29</v>
      </c>
      <c r="I139" s="8" t="s">
        <v>30</v>
      </c>
      <c r="J139" s="8" t="s">
        <v>33</v>
      </c>
      <c r="K139" s="8" t="s">
        <v>34</v>
      </c>
    </row>
    <row r="140" spans="1:11" ht="18" customHeight="1">
      <c r="A140" s="5" t="s">
        <v>166</v>
      </c>
      <c r="B140" s="1" t="s">
        <v>26</v>
      </c>
    </row>
    <row r="141" spans="1:11" ht="18" customHeight="1">
      <c r="A141" s="4" t="s">
        <v>137</v>
      </c>
      <c r="B141" s="1" t="s">
        <v>64</v>
      </c>
      <c r="F141" s="32">
        <f t="shared" ref="F141:K141" si="14">F36</f>
        <v>0</v>
      </c>
      <c r="G141" s="32">
        <f t="shared" si="14"/>
        <v>0</v>
      </c>
      <c r="H141" s="32">
        <f t="shared" si="14"/>
        <v>230683.19502538352</v>
      </c>
      <c r="I141" s="32">
        <f t="shared" si="14"/>
        <v>210456.24717624552</v>
      </c>
      <c r="J141" s="32">
        <f t="shared" si="14"/>
        <v>7069.6002912500007</v>
      </c>
      <c r="K141" s="32">
        <f t="shared" si="14"/>
        <v>434069.84191037895</v>
      </c>
    </row>
    <row r="142" spans="1:11" ht="18" customHeight="1">
      <c r="A142" s="4" t="s">
        <v>142</v>
      </c>
      <c r="B142" s="1" t="s">
        <v>65</v>
      </c>
      <c r="F142" s="32">
        <f t="shared" ref="F142:K142" si="15">F49</f>
        <v>0</v>
      </c>
      <c r="G142" s="32">
        <f t="shared" si="15"/>
        <v>0</v>
      </c>
      <c r="H142" s="32">
        <f t="shared" si="15"/>
        <v>2759.0684303000003</v>
      </c>
      <c r="I142" s="32">
        <f t="shared" si="15"/>
        <v>0</v>
      </c>
      <c r="J142" s="32">
        <f t="shared" si="15"/>
        <v>24.9633307</v>
      </c>
      <c r="K142" s="32">
        <f t="shared" si="15"/>
        <v>2734.1050996000004</v>
      </c>
    </row>
    <row r="143" spans="1:11" ht="18" customHeight="1">
      <c r="A143" s="4" t="s">
        <v>144</v>
      </c>
      <c r="B143" s="1" t="s">
        <v>66</v>
      </c>
      <c r="F143" s="32">
        <f t="shared" ref="F143:K143" si="16">F64</f>
        <v>0</v>
      </c>
      <c r="G143" s="32">
        <f t="shared" si="16"/>
        <v>0</v>
      </c>
      <c r="H143" s="32">
        <f t="shared" si="16"/>
        <v>1210670.5760909582</v>
      </c>
      <c r="I143" s="32">
        <f t="shared" si="16"/>
        <v>0</v>
      </c>
      <c r="J143" s="32">
        <f t="shared" si="16"/>
        <v>0</v>
      </c>
      <c r="K143" s="32">
        <f t="shared" si="16"/>
        <v>1210670.5760909582</v>
      </c>
    </row>
    <row r="144" spans="1:11" ht="18" customHeight="1">
      <c r="A144" s="4" t="s">
        <v>146</v>
      </c>
      <c r="B144" s="1" t="s">
        <v>67</v>
      </c>
      <c r="F144" s="32">
        <f t="shared" ref="F144:K144" si="17">F74</f>
        <v>0</v>
      </c>
      <c r="G144" s="32">
        <f t="shared" si="17"/>
        <v>0</v>
      </c>
      <c r="H144" s="32">
        <f t="shared" si="17"/>
        <v>0</v>
      </c>
      <c r="I144" s="32">
        <f t="shared" si="17"/>
        <v>0</v>
      </c>
      <c r="J144" s="32">
        <f t="shared" si="17"/>
        <v>0</v>
      </c>
      <c r="K144" s="32">
        <f t="shared" si="17"/>
        <v>0</v>
      </c>
    </row>
    <row r="145" spans="1:11" ht="18" customHeight="1">
      <c r="A145" s="4" t="s">
        <v>148</v>
      </c>
      <c r="B145" s="1" t="s">
        <v>68</v>
      </c>
      <c r="F145" s="32">
        <f t="shared" ref="F145:K145" si="18">F82</f>
        <v>0</v>
      </c>
      <c r="G145" s="32">
        <f t="shared" si="18"/>
        <v>0</v>
      </c>
      <c r="H145" s="32">
        <f t="shared" si="18"/>
        <v>69782.974999999991</v>
      </c>
      <c r="I145" s="32">
        <f t="shared" si="18"/>
        <v>0</v>
      </c>
      <c r="J145" s="32">
        <f t="shared" si="18"/>
        <v>0</v>
      </c>
      <c r="K145" s="32">
        <f t="shared" si="18"/>
        <v>69782.974999999991</v>
      </c>
    </row>
    <row r="146" spans="1:11" ht="18" customHeight="1">
      <c r="A146" s="4" t="s">
        <v>150</v>
      </c>
      <c r="B146" s="1" t="s">
        <v>69</v>
      </c>
      <c r="F146" s="32">
        <f t="shared" ref="F146:K146" si="19">F98</f>
        <v>0</v>
      </c>
      <c r="G146" s="32">
        <f t="shared" si="19"/>
        <v>0</v>
      </c>
      <c r="H146" s="32">
        <f t="shared" si="19"/>
        <v>71122.906856215734</v>
      </c>
      <c r="I146" s="32">
        <f t="shared" si="19"/>
        <v>82203.876092211649</v>
      </c>
      <c r="J146" s="32">
        <f t="shared" si="19"/>
        <v>0</v>
      </c>
      <c r="K146" s="32">
        <f t="shared" si="19"/>
        <v>153326.78294842737</v>
      </c>
    </row>
    <row r="147" spans="1:11" ht="18" customHeight="1">
      <c r="A147" s="4" t="s">
        <v>153</v>
      </c>
      <c r="B147" s="1" t="s">
        <v>61</v>
      </c>
      <c r="F147" s="17">
        <f t="shared" ref="F147:K147" si="20">F108</f>
        <v>0</v>
      </c>
      <c r="G147" s="17">
        <f t="shared" si="20"/>
        <v>0</v>
      </c>
      <c r="H147" s="17">
        <f t="shared" si="20"/>
        <v>20457.040593149999</v>
      </c>
      <c r="I147" s="17">
        <f t="shared" si="20"/>
        <v>23644.253370188002</v>
      </c>
      <c r="J147" s="17">
        <f t="shared" si="20"/>
        <v>1212.6058927500003</v>
      </c>
      <c r="K147" s="17">
        <f t="shared" si="20"/>
        <v>42888.688070588003</v>
      </c>
    </row>
    <row r="148" spans="1:11" ht="18" customHeight="1">
      <c r="A148" s="4" t="s">
        <v>155</v>
      </c>
      <c r="B148" s="1" t="s">
        <v>70</v>
      </c>
      <c r="F148" s="33" t="s">
        <v>73</v>
      </c>
      <c r="G148" s="33" t="s">
        <v>73</v>
      </c>
      <c r="H148" s="34" t="s">
        <v>73</v>
      </c>
      <c r="I148" s="34" t="s">
        <v>73</v>
      </c>
      <c r="J148" s="34" t="s">
        <v>73</v>
      </c>
      <c r="K148" s="28">
        <f>F111</f>
        <v>818859.83999999985</v>
      </c>
    </row>
    <row r="149" spans="1:11" ht="18" customHeight="1">
      <c r="A149" s="4" t="s">
        <v>163</v>
      </c>
      <c r="B149" s="1" t="s">
        <v>71</v>
      </c>
      <c r="F149" s="17">
        <f t="shared" ref="F149:K149" si="21">F137</f>
        <v>0</v>
      </c>
      <c r="G149" s="17">
        <f t="shared" si="21"/>
        <v>0</v>
      </c>
      <c r="H149" s="17">
        <f t="shared" si="21"/>
        <v>0</v>
      </c>
      <c r="I149" s="17">
        <f t="shared" si="21"/>
        <v>0</v>
      </c>
      <c r="J149" s="17">
        <f t="shared" si="21"/>
        <v>0</v>
      </c>
      <c r="K149" s="17">
        <f t="shared" si="21"/>
        <v>0</v>
      </c>
    </row>
    <row r="150" spans="1:11" ht="18" customHeight="1">
      <c r="A150" s="4" t="s">
        <v>185</v>
      </c>
      <c r="B150" s="1" t="s">
        <v>186</v>
      </c>
      <c r="F150" s="33" t="s">
        <v>73</v>
      </c>
      <c r="G150" s="33" t="s">
        <v>73</v>
      </c>
      <c r="H150" s="17">
        <f>H18</f>
        <v>0</v>
      </c>
      <c r="I150" s="17">
        <f>I18</f>
        <v>0</v>
      </c>
      <c r="J150" s="17">
        <f>J18</f>
        <v>0</v>
      </c>
      <c r="K150" s="17">
        <f>K18</f>
        <v>0</v>
      </c>
    </row>
    <row r="151" spans="1:11" ht="18" customHeight="1">
      <c r="B151" s="1"/>
      <c r="F151" s="38"/>
      <c r="G151" s="38"/>
      <c r="H151" s="38"/>
      <c r="I151" s="38"/>
      <c r="J151" s="38"/>
      <c r="K151" s="38"/>
    </row>
    <row r="152" spans="1:11" ht="18" customHeight="1">
      <c r="A152" s="5" t="s">
        <v>165</v>
      </c>
      <c r="B152" s="1" t="s">
        <v>26</v>
      </c>
      <c r="F152" s="39">
        <f t="shared" ref="F152:K152" si="22">SUM(F141:F150)</f>
        <v>0</v>
      </c>
      <c r="G152" s="39">
        <f t="shared" si="22"/>
        <v>0</v>
      </c>
      <c r="H152" s="39">
        <f t="shared" si="22"/>
        <v>1605475.7619960078</v>
      </c>
      <c r="I152" s="39">
        <f t="shared" si="22"/>
        <v>316304.37663864519</v>
      </c>
      <c r="J152" s="39">
        <f t="shared" si="22"/>
        <v>8307.1695147000009</v>
      </c>
      <c r="K152" s="39">
        <f t="shared" si="22"/>
        <v>2732332.8091199528</v>
      </c>
    </row>
    <row r="154" spans="1:11" ht="18" customHeight="1">
      <c r="A154" s="5" t="s">
        <v>168</v>
      </c>
      <c r="B154" s="1" t="s">
        <v>28</v>
      </c>
      <c r="F154" s="53">
        <f>K152/F121</f>
        <v>7.84917427844712E-2</v>
      </c>
    </row>
    <row r="155" spans="1:11" ht="18" customHeight="1">
      <c r="A155" s="5" t="s">
        <v>169</v>
      </c>
      <c r="B155" s="1" t="s">
        <v>72</v>
      </c>
      <c r="F155" s="53">
        <f>K152/F127</f>
        <v>0.59748784103335151</v>
      </c>
      <c r="G155" s="1"/>
    </row>
    <row r="156" spans="1:11" ht="18" customHeight="1">
      <c r="G156" s="1"/>
    </row>
  </sheetData>
  <sheetProtection algorithmName="SHA-512" hashValue="iVvdvBFvLJrCQayOzWBOnlmmkvSOlg0vsuWfxw4ykvUWsRMIU69Eos4F9LU4n3blGdfrud4L5z60Zw6vfmvLvQ==" saltValue="dNfDTr1s26G+Dg2uXX89nw==" spinCount="100000" sheet="1" objects="1" scenarios="1"/>
  <mergeCells count="34">
    <mergeCell ref="B106:D106"/>
    <mergeCell ref="B133:D133"/>
    <mergeCell ref="B134:D134"/>
    <mergeCell ref="B135:D135"/>
    <mergeCell ref="B94:D94"/>
    <mergeCell ref="B95:D95"/>
    <mergeCell ref="B96:D96"/>
    <mergeCell ref="B103:C103"/>
    <mergeCell ref="B104:D104"/>
    <mergeCell ref="B105:D105"/>
    <mergeCell ref="B90:C90"/>
    <mergeCell ref="B44:D44"/>
    <mergeCell ref="B45:D45"/>
    <mergeCell ref="B46:D46"/>
    <mergeCell ref="B47:D47"/>
    <mergeCell ref="B52:C52"/>
    <mergeCell ref="B53:D53"/>
    <mergeCell ref="B55:D55"/>
    <mergeCell ref="B56:D56"/>
    <mergeCell ref="B57:D57"/>
    <mergeCell ref="B59:D59"/>
    <mergeCell ref="B62:D62"/>
    <mergeCell ref="B41:C41"/>
    <mergeCell ref="D2:H2"/>
    <mergeCell ref="C5:G5"/>
    <mergeCell ref="C6:G6"/>
    <mergeCell ref="C7:G7"/>
    <mergeCell ref="C9:G9"/>
    <mergeCell ref="C10:G10"/>
    <mergeCell ref="C11:G11"/>
    <mergeCell ref="B13:H13"/>
    <mergeCell ref="B30:D30"/>
    <mergeCell ref="B31:D31"/>
    <mergeCell ref="B34:D34"/>
  </mergeCells>
  <hyperlinks>
    <hyperlink ref="C11" r:id="rId1"/>
  </hyperlinks>
  <printOptions headings="1" gridLines="1"/>
  <pageMargins left="0.17" right="0.16" top="0.35" bottom="0.32" header="0.17" footer="0.17"/>
  <pageSetup scale="59" fitToHeight="3" orientation="landscape" horizontalDpi="4294967294" r:id="rId2"/>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dimension ref="A1:K156"/>
  <sheetViews>
    <sheetView topLeftCell="A4" zoomScale="80" zoomScaleNormal="80" workbookViewId="0">
      <selection activeCell="K152" sqref="K152"/>
    </sheetView>
  </sheetViews>
  <sheetFormatPr defaultColWidth="25.140625" defaultRowHeight="18" customHeight="1"/>
  <cols>
    <col min="1" max="1" width="7.7109375" style="146" customWidth="1"/>
    <col min="2" max="2" width="25.140625" style="147"/>
    <col min="3" max="3" width="14.42578125" style="147" customWidth="1"/>
    <col min="4" max="4" width="3.5703125" style="147" customWidth="1"/>
    <col min="5" max="5" width="3.140625" style="147" customWidth="1"/>
    <col min="6" max="6" width="21" style="147" customWidth="1"/>
    <col min="7" max="7" width="14.28515625" style="147" customWidth="1"/>
    <col min="8" max="8" width="12.85546875" style="147" customWidth="1"/>
    <col min="9" max="9" width="18" style="147" customWidth="1"/>
    <col min="10" max="10" width="13.85546875" style="147" customWidth="1"/>
    <col min="11" max="11" width="16.7109375" style="147" customWidth="1"/>
    <col min="12" max="16384" width="25.140625" style="147"/>
  </cols>
  <sheetData>
    <row r="1" spans="1:11" ht="18" customHeight="1">
      <c r="C1" s="148"/>
      <c r="D1" s="149"/>
      <c r="E1" s="148"/>
      <c r="F1" s="148"/>
      <c r="G1" s="148"/>
      <c r="H1" s="148"/>
      <c r="I1" s="148"/>
      <c r="J1" s="148"/>
      <c r="K1" s="148"/>
    </row>
    <row r="2" spans="1:11" ht="18" customHeight="1">
      <c r="D2" s="910" t="s">
        <v>713</v>
      </c>
      <c r="E2" s="911"/>
      <c r="F2" s="911"/>
      <c r="G2" s="911"/>
      <c r="H2" s="911"/>
    </row>
    <row r="3" spans="1:11" ht="18" customHeight="1">
      <c r="B3" s="150" t="s">
        <v>0</v>
      </c>
    </row>
    <row r="5" spans="1:11" ht="18" customHeight="1">
      <c r="B5" s="151" t="s">
        <v>40</v>
      </c>
      <c r="C5" s="917" t="s">
        <v>528</v>
      </c>
      <c r="D5" s="918"/>
      <c r="E5" s="918"/>
      <c r="F5" s="918"/>
      <c r="G5" s="919"/>
    </row>
    <row r="6" spans="1:11" ht="18" customHeight="1">
      <c r="B6" s="151" t="s">
        <v>3</v>
      </c>
      <c r="C6" s="929"/>
      <c r="D6" s="921"/>
      <c r="E6" s="921"/>
      <c r="F6" s="921"/>
      <c r="G6" s="922"/>
    </row>
    <row r="7" spans="1:11" ht="18" customHeight="1">
      <c r="B7" s="151" t="s">
        <v>4</v>
      </c>
      <c r="C7" s="930">
        <v>660</v>
      </c>
      <c r="D7" s="924"/>
      <c r="E7" s="924"/>
      <c r="F7" s="924"/>
      <c r="G7" s="925"/>
    </row>
    <row r="9" spans="1:11" ht="18" customHeight="1">
      <c r="B9" s="151" t="s">
        <v>1</v>
      </c>
      <c r="C9" s="917" t="s">
        <v>529</v>
      </c>
      <c r="D9" s="918"/>
      <c r="E9" s="918"/>
      <c r="F9" s="918"/>
      <c r="G9" s="919"/>
    </row>
    <row r="10" spans="1:11" ht="18" customHeight="1">
      <c r="B10" s="151" t="s">
        <v>2</v>
      </c>
      <c r="C10" s="980" t="s">
        <v>757</v>
      </c>
      <c r="D10" s="927"/>
      <c r="E10" s="927"/>
      <c r="F10" s="927"/>
      <c r="G10" s="928"/>
    </row>
    <row r="11" spans="1:11" ht="18" customHeight="1">
      <c r="B11" s="151" t="s">
        <v>32</v>
      </c>
      <c r="C11" s="917" t="s">
        <v>530</v>
      </c>
      <c r="D11" s="913"/>
      <c r="E11" s="913"/>
      <c r="F11" s="913"/>
      <c r="G11" s="913"/>
    </row>
    <row r="12" spans="1:11" ht="18" customHeight="1">
      <c r="B12" s="151"/>
      <c r="C12" s="151"/>
      <c r="D12" s="151"/>
      <c r="E12" s="151"/>
      <c r="F12" s="151"/>
      <c r="G12" s="151"/>
    </row>
    <row r="13" spans="1:11" ht="24.6" customHeight="1">
      <c r="B13" s="914"/>
      <c r="C13" s="915"/>
      <c r="D13" s="915"/>
      <c r="E13" s="915"/>
      <c r="F13" s="915"/>
      <c r="G13" s="915"/>
      <c r="H13" s="916"/>
      <c r="I13" s="148"/>
    </row>
    <row r="14" spans="1:11" ht="18" customHeight="1">
      <c r="B14" s="152"/>
    </row>
    <row r="15" spans="1:11" ht="18" customHeight="1">
      <c r="B15" s="152"/>
    </row>
    <row r="16" spans="1:11" ht="45.2" customHeight="1">
      <c r="A16" s="149" t="s">
        <v>181</v>
      </c>
      <c r="B16" s="148"/>
      <c r="C16" s="148"/>
      <c r="D16" s="148"/>
      <c r="E16" s="148"/>
      <c r="F16" s="153" t="s">
        <v>9</v>
      </c>
      <c r="G16" s="153" t="s">
        <v>37</v>
      </c>
      <c r="H16" s="153" t="s">
        <v>29</v>
      </c>
      <c r="I16" s="153" t="s">
        <v>30</v>
      </c>
      <c r="J16" s="153" t="s">
        <v>33</v>
      </c>
      <c r="K16" s="153" t="s">
        <v>34</v>
      </c>
    </row>
    <row r="17" spans="1:11" ht="18" customHeight="1">
      <c r="A17" s="154" t="s">
        <v>184</v>
      </c>
      <c r="B17" s="150" t="s">
        <v>182</v>
      </c>
    </row>
    <row r="18" spans="1:11" ht="18" customHeight="1">
      <c r="A18" s="151" t="s">
        <v>185</v>
      </c>
      <c r="B18" s="155" t="s">
        <v>183</v>
      </c>
      <c r="F18" s="156" t="s">
        <v>73</v>
      </c>
      <c r="G18" s="156" t="s">
        <v>73</v>
      </c>
      <c r="H18" s="157"/>
      <c r="I18" s="158">
        <v>0</v>
      </c>
      <c r="J18" s="157"/>
      <c r="K18" s="159">
        <v>0</v>
      </c>
    </row>
    <row r="19" spans="1:11" ht="45.2" customHeight="1">
      <c r="A19" s="149" t="s">
        <v>8</v>
      </c>
      <c r="B19" s="148"/>
      <c r="C19" s="148"/>
      <c r="D19" s="148"/>
      <c r="E19" s="148"/>
      <c r="F19" s="153" t="s">
        <v>9</v>
      </c>
      <c r="G19" s="153" t="s">
        <v>37</v>
      </c>
      <c r="H19" s="153" t="s">
        <v>29</v>
      </c>
      <c r="I19" s="153" t="s">
        <v>30</v>
      </c>
      <c r="J19" s="153" t="s">
        <v>33</v>
      </c>
      <c r="K19" s="153" t="s">
        <v>34</v>
      </c>
    </row>
    <row r="20" spans="1:11" ht="18" customHeight="1">
      <c r="A20" s="154" t="s">
        <v>74</v>
      </c>
      <c r="B20" s="150" t="s">
        <v>41</v>
      </c>
    </row>
    <row r="21" spans="1:11" ht="18" customHeight="1">
      <c r="A21" s="151" t="s">
        <v>75</v>
      </c>
      <c r="B21" s="155" t="s">
        <v>42</v>
      </c>
      <c r="F21" s="156">
        <v>1369</v>
      </c>
      <c r="G21" s="156">
        <v>44270</v>
      </c>
      <c r="H21" s="156">
        <v>74871</v>
      </c>
      <c r="I21" s="158">
        <v>37435.29</v>
      </c>
      <c r="J21" s="156">
        <v>0</v>
      </c>
      <c r="K21" s="159">
        <v>112305.88</v>
      </c>
    </row>
    <row r="22" spans="1:11" ht="18" customHeight="1">
      <c r="A22" s="151" t="s">
        <v>76</v>
      </c>
      <c r="B22" s="147" t="s">
        <v>6</v>
      </c>
      <c r="F22" s="156">
        <v>164</v>
      </c>
      <c r="G22" s="156">
        <v>58</v>
      </c>
      <c r="H22" s="156">
        <v>11458</v>
      </c>
      <c r="I22" s="158">
        <v>5729.18</v>
      </c>
      <c r="J22" s="156">
        <v>0</v>
      </c>
      <c r="K22" s="159">
        <v>17187.53</v>
      </c>
    </row>
    <row r="23" spans="1:11" ht="18" customHeight="1">
      <c r="A23" s="151" t="s">
        <v>77</v>
      </c>
      <c r="B23" s="147" t="s">
        <v>43</v>
      </c>
      <c r="F23" s="156">
        <v>0</v>
      </c>
      <c r="G23" s="156">
        <v>0</v>
      </c>
      <c r="H23" s="156">
        <v>0</v>
      </c>
      <c r="I23" s="158">
        <v>0</v>
      </c>
      <c r="J23" s="156">
        <v>0</v>
      </c>
      <c r="K23" s="159">
        <v>0</v>
      </c>
    </row>
    <row r="24" spans="1:11" ht="18" customHeight="1">
      <c r="A24" s="151" t="s">
        <v>78</v>
      </c>
      <c r="B24" s="147" t="s">
        <v>44</v>
      </c>
      <c r="F24" s="156">
        <v>0</v>
      </c>
      <c r="G24" s="156">
        <v>0</v>
      </c>
      <c r="H24" s="156">
        <v>0</v>
      </c>
      <c r="I24" s="158">
        <v>0</v>
      </c>
      <c r="J24" s="156">
        <v>0</v>
      </c>
      <c r="K24" s="159">
        <v>0</v>
      </c>
    </row>
    <row r="25" spans="1:11" ht="18" customHeight="1">
      <c r="A25" s="151" t="s">
        <v>79</v>
      </c>
      <c r="B25" s="147" t="s">
        <v>5</v>
      </c>
      <c r="F25" s="156">
        <v>0</v>
      </c>
      <c r="G25" s="156">
        <v>0</v>
      </c>
      <c r="H25" s="156">
        <v>0</v>
      </c>
      <c r="I25" s="158">
        <v>0</v>
      </c>
      <c r="J25" s="156">
        <v>0</v>
      </c>
      <c r="K25" s="159">
        <v>0</v>
      </c>
    </row>
    <row r="26" spans="1:11" ht="18" customHeight="1">
      <c r="A26" s="151" t="s">
        <v>80</v>
      </c>
      <c r="B26" s="147" t="s">
        <v>45</v>
      </c>
      <c r="F26" s="156">
        <v>0</v>
      </c>
      <c r="G26" s="156">
        <v>0</v>
      </c>
      <c r="H26" s="156">
        <v>0</v>
      </c>
      <c r="I26" s="158">
        <v>0</v>
      </c>
      <c r="J26" s="156">
        <v>0</v>
      </c>
      <c r="K26" s="159">
        <v>0</v>
      </c>
    </row>
    <row r="27" spans="1:11" ht="18" customHeight="1">
      <c r="A27" s="151" t="s">
        <v>81</v>
      </c>
      <c r="B27" s="147" t="s">
        <v>46</v>
      </c>
      <c r="F27" s="156">
        <v>0</v>
      </c>
      <c r="G27" s="156">
        <v>0</v>
      </c>
      <c r="H27" s="156">
        <v>0</v>
      </c>
      <c r="I27" s="158">
        <v>0</v>
      </c>
      <c r="J27" s="156">
        <v>0</v>
      </c>
      <c r="K27" s="159">
        <v>0</v>
      </c>
    </row>
    <row r="28" spans="1:11" ht="18" customHeight="1">
      <c r="A28" s="151" t="s">
        <v>82</v>
      </c>
      <c r="B28" s="147" t="s">
        <v>47</v>
      </c>
      <c r="F28" s="156">
        <v>0</v>
      </c>
      <c r="G28" s="156">
        <v>0</v>
      </c>
      <c r="H28" s="156">
        <v>0</v>
      </c>
      <c r="I28" s="158">
        <v>0</v>
      </c>
      <c r="J28" s="156">
        <v>0</v>
      </c>
      <c r="K28" s="159">
        <v>0</v>
      </c>
    </row>
    <row r="29" spans="1:11" ht="18" customHeight="1">
      <c r="A29" s="151" t="s">
        <v>83</v>
      </c>
      <c r="B29" s="147" t="s">
        <v>48</v>
      </c>
      <c r="F29" s="156">
        <v>32</v>
      </c>
      <c r="G29" s="156">
        <v>5</v>
      </c>
      <c r="H29" s="156">
        <v>8338</v>
      </c>
      <c r="I29" s="158">
        <v>4169.1899999999996</v>
      </c>
      <c r="J29" s="156">
        <v>0</v>
      </c>
      <c r="K29" s="159">
        <v>12507.58</v>
      </c>
    </row>
    <row r="30" spans="1:11" ht="18" customHeight="1">
      <c r="A30" s="151" t="s">
        <v>84</v>
      </c>
      <c r="B30" s="898"/>
      <c r="C30" s="899"/>
      <c r="D30" s="900"/>
      <c r="F30" s="156">
        <v>0</v>
      </c>
      <c r="G30" s="156">
        <v>0</v>
      </c>
      <c r="H30" s="156">
        <v>0</v>
      </c>
      <c r="I30" s="158">
        <v>0</v>
      </c>
      <c r="J30" s="156">
        <v>0</v>
      </c>
      <c r="K30" s="159">
        <v>0</v>
      </c>
    </row>
    <row r="31" spans="1:11" ht="18" customHeight="1">
      <c r="A31" s="151" t="s">
        <v>133</v>
      </c>
      <c r="B31" s="898"/>
      <c r="C31" s="899"/>
      <c r="D31" s="900"/>
      <c r="F31" s="156">
        <v>0</v>
      </c>
      <c r="G31" s="156">
        <v>0</v>
      </c>
      <c r="H31" s="156">
        <v>0</v>
      </c>
      <c r="I31" s="158">
        <v>0</v>
      </c>
      <c r="J31" s="156">
        <v>0</v>
      </c>
      <c r="K31" s="159">
        <v>0</v>
      </c>
    </row>
    <row r="32" spans="1:11" ht="18" customHeight="1">
      <c r="A32" s="151" t="s">
        <v>134</v>
      </c>
      <c r="B32" s="393"/>
      <c r="C32" s="394"/>
      <c r="D32" s="395"/>
      <c r="F32" s="156">
        <v>0</v>
      </c>
      <c r="G32" s="156">
        <v>0</v>
      </c>
      <c r="H32" s="156">
        <v>0</v>
      </c>
      <c r="I32" s="158">
        <v>0</v>
      </c>
      <c r="J32" s="156">
        <v>0</v>
      </c>
      <c r="K32" s="159">
        <v>0</v>
      </c>
    </row>
    <row r="33" spans="1:11" ht="18" customHeight="1">
      <c r="A33" s="151" t="s">
        <v>135</v>
      </c>
      <c r="B33" s="393"/>
      <c r="C33" s="394"/>
      <c r="D33" s="395"/>
      <c r="F33" s="156">
        <v>0</v>
      </c>
      <c r="G33" s="156">
        <v>0</v>
      </c>
      <c r="H33" s="156">
        <v>0</v>
      </c>
      <c r="I33" s="158">
        <v>0</v>
      </c>
      <c r="J33" s="156">
        <v>0</v>
      </c>
      <c r="K33" s="159">
        <v>0</v>
      </c>
    </row>
    <row r="34" spans="1:11" ht="18" customHeight="1">
      <c r="A34" s="151" t="s">
        <v>136</v>
      </c>
      <c r="B34" s="898"/>
      <c r="C34" s="899"/>
      <c r="D34" s="900"/>
      <c r="F34" s="156">
        <v>0</v>
      </c>
      <c r="G34" s="156">
        <v>0</v>
      </c>
      <c r="H34" s="156">
        <v>0</v>
      </c>
      <c r="I34" s="158">
        <v>0</v>
      </c>
      <c r="J34" s="156">
        <v>0</v>
      </c>
      <c r="K34" s="159">
        <v>0</v>
      </c>
    </row>
    <row r="35" spans="1:11" ht="18" customHeight="1">
      <c r="K35" s="161"/>
    </row>
    <row r="36" spans="1:11" ht="18" customHeight="1">
      <c r="A36" s="154" t="s">
        <v>137</v>
      </c>
      <c r="B36" s="150" t="s">
        <v>138</v>
      </c>
      <c r="E36" s="150" t="s">
        <v>7</v>
      </c>
      <c r="F36" s="162">
        <v>1565</v>
      </c>
      <c r="G36" s="162">
        <v>44333</v>
      </c>
      <c r="H36" s="162">
        <v>94667</v>
      </c>
      <c r="I36" s="159">
        <v>47333.66</v>
      </c>
      <c r="J36" s="159">
        <v>0</v>
      </c>
      <c r="K36" s="159">
        <v>142000.99</v>
      </c>
    </row>
    <row r="37" spans="1:11" ht="18" customHeight="1" thickBot="1">
      <c r="B37" s="150"/>
      <c r="F37" s="163"/>
      <c r="G37" s="163"/>
      <c r="H37" s="164"/>
      <c r="I37" s="164"/>
      <c r="J37" s="164"/>
      <c r="K37" s="165"/>
    </row>
    <row r="38" spans="1:11" ht="42.75" customHeight="1">
      <c r="F38" s="153" t="s">
        <v>9</v>
      </c>
      <c r="G38" s="153" t="s">
        <v>37</v>
      </c>
      <c r="H38" s="153" t="s">
        <v>29</v>
      </c>
      <c r="I38" s="153" t="s">
        <v>30</v>
      </c>
      <c r="J38" s="153" t="s">
        <v>33</v>
      </c>
      <c r="K38" s="153" t="s">
        <v>34</v>
      </c>
    </row>
    <row r="39" spans="1:11" ht="18.75" customHeight="1">
      <c r="A39" s="154" t="s">
        <v>86</v>
      </c>
      <c r="B39" s="150" t="s">
        <v>49</v>
      </c>
    </row>
    <row r="40" spans="1:11" ht="18" customHeight="1">
      <c r="A40" s="151" t="s">
        <v>87</v>
      </c>
      <c r="B40" s="147" t="s">
        <v>31</v>
      </c>
      <c r="F40" s="156">
        <v>0</v>
      </c>
      <c r="G40" s="156">
        <v>0</v>
      </c>
      <c r="H40" s="156">
        <v>0</v>
      </c>
      <c r="I40" s="158">
        <v>0</v>
      </c>
      <c r="J40" s="156">
        <v>0</v>
      </c>
      <c r="K40" s="159">
        <v>0</v>
      </c>
    </row>
    <row r="41" spans="1:11" ht="18" customHeight="1">
      <c r="A41" s="151" t="s">
        <v>88</v>
      </c>
      <c r="B41" s="904" t="s">
        <v>50</v>
      </c>
      <c r="C41" s="907"/>
      <c r="F41" s="156">
        <v>0</v>
      </c>
      <c r="G41" s="156">
        <v>0</v>
      </c>
      <c r="H41" s="156">
        <v>0</v>
      </c>
      <c r="I41" s="158">
        <v>0</v>
      </c>
      <c r="J41" s="156">
        <v>0</v>
      </c>
      <c r="K41" s="159">
        <v>0</v>
      </c>
    </row>
    <row r="42" spans="1:11" ht="18" customHeight="1">
      <c r="A42" s="151" t="s">
        <v>89</v>
      </c>
      <c r="B42" s="155" t="s">
        <v>11</v>
      </c>
      <c r="F42" s="156">
        <v>571</v>
      </c>
      <c r="G42" s="156">
        <v>1</v>
      </c>
      <c r="H42" s="156">
        <v>25858</v>
      </c>
      <c r="I42" s="158">
        <v>12928.88</v>
      </c>
      <c r="J42" s="156">
        <v>0</v>
      </c>
      <c r="K42" s="159">
        <v>38786.639999999999</v>
      </c>
    </row>
    <row r="43" spans="1:11" ht="18" customHeight="1">
      <c r="A43" s="151" t="s">
        <v>90</v>
      </c>
      <c r="B43" s="166" t="s">
        <v>10</v>
      </c>
      <c r="C43" s="167"/>
      <c r="D43" s="167"/>
      <c r="F43" s="156">
        <v>5155</v>
      </c>
      <c r="G43" s="156">
        <v>365</v>
      </c>
      <c r="H43" s="156">
        <v>205142</v>
      </c>
      <c r="I43" s="158">
        <v>102570.87</v>
      </c>
      <c r="J43" s="156">
        <v>0</v>
      </c>
      <c r="K43" s="159">
        <v>307712.61</v>
      </c>
    </row>
    <row r="44" spans="1:11" ht="18" customHeight="1">
      <c r="A44" s="151" t="s">
        <v>91</v>
      </c>
      <c r="B44" s="898"/>
      <c r="C44" s="899"/>
      <c r="D44" s="900"/>
      <c r="F44" s="156">
        <v>0</v>
      </c>
      <c r="G44" s="156">
        <v>0</v>
      </c>
      <c r="H44" s="156">
        <v>0</v>
      </c>
      <c r="I44" s="158">
        <v>0</v>
      </c>
      <c r="J44" s="156">
        <v>0</v>
      </c>
      <c r="K44" s="170">
        <v>0</v>
      </c>
    </row>
    <row r="45" spans="1:11" ht="18" customHeight="1">
      <c r="A45" s="151" t="s">
        <v>139</v>
      </c>
      <c r="B45" s="898"/>
      <c r="C45" s="899"/>
      <c r="D45" s="900"/>
      <c r="F45" s="156">
        <v>0</v>
      </c>
      <c r="G45" s="156">
        <v>0</v>
      </c>
      <c r="H45" s="156">
        <v>0</v>
      </c>
      <c r="I45" s="158">
        <v>0</v>
      </c>
      <c r="J45" s="156">
        <v>0</v>
      </c>
      <c r="K45" s="159">
        <v>0</v>
      </c>
    </row>
    <row r="46" spans="1:11" ht="18" customHeight="1">
      <c r="A46" s="151" t="s">
        <v>140</v>
      </c>
      <c r="B46" s="898"/>
      <c r="C46" s="899"/>
      <c r="D46" s="900"/>
      <c r="F46" s="156">
        <v>0</v>
      </c>
      <c r="G46" s="156">
        <v>0</v>
      </c>
      <c r="H46" s="156">
        <v>0</v>
      </c>
      <c r="I46" s="158">
        <v>0</v>
      </c>
      <c r="J46" s="156">
        <v>0</v>
      </c>
      <c r="K46" s="159">
        <v>0</v>
      </c>
    </row>
    <row r="47" spans="1:11" ht="18" customHeight="1">
      <c r="A47" s="151" t="s">
        <v>141</v>
      </c>
      <c r="B47" s="898"/>
      <c r="C47" s="899"/>
      <c r="D47" s="900"/>
      <c r="F47" s="156">
        <v>0</v>
      </c>
      <c r="G47" s="156">
        <v>0</v>
      </c>
      <c r="H47" s="156">
        <v>0</v>
      </c>
      <c r="I47" s="158">
        <v>0</v>
      </c>
      <c r="J47" s="156">
        <v>0</v>
      </c>
      <c r="K47" s="159">
        <v>0</v>
      </c>
    </row>
    <row r="49" spans="1:11" ht="18" customHeight="1">
      <c r="A49" s="154" t="s">
        <v>142</v>
      </c>
      <c r="B49" s="150" t="s">
        <v>143</v>
      </c>
      <c r="E49" s="150" t="s">
        <v>7</v>
      </c>
      <c r="F49" s="171">
        <v>5726</v>
      </c>
      <c r="G49" s="171">
        <v>366</v>
      </c>
      <c r="H49" s="159">
        <v>230999.5</v>
      </c>
      <c r="I49" s="159">
        <v>115499.75</v>
      </c>
      <c r="J49" s="159">
        <v>0</v>
      </c>
      <c r="K49" s="159">
        <v>346499.24</v>
      </c>
    </row>
    <row r="50" spans="1:11" ht="18" customHeight="1" thickBot="1">
      <c r="G50" s="172"/>
      <c r="H50" s="172"/>
      <c r="I50" s="172"/>
      <c r="J50" s="172"/>
      <c r="K50" s="172"/>
    </row>
    <row r="51" spans="1:11" ht="42.75" customHeight="1">
      <c r="F51" s="153" t="s">
        <v>9</v>
      </c>
      <c r="G51" s="153" t="s">
        <v>37</v>
      </c>
      <c r="H51" s="153" t="s">
        <v>29</v>
      </c>
      <c r="I51" s="153" t="s">
        <v>30</v>
      </c>
      <c r="J51" s="153" t="s">
        <v>33</v>
      </c>
      <c r="K51" s="153" t="s">
        <v>34</v>
      </c>
    </row>
    <row r="52" spans="1:11" ht="18" customHeight="1">
      <c r="A52" s="154" t="s">
        <v>92</v>
      </c>
      <c r="B52" s="905" t="s">
        <v>38</v>
      </c>
      <c r="C52" s="906"/>
    </row>
    <row r="53" spans="1:11" ht="18" customHeight="1">
      <c r="A53" s="151" t="s">
        <v>51</v>
      </c>
      <c r="B53" s="901" t="s">
        <v>531</v>
      </c>
      <c r="C53" s="902"/>
      <c r="D53" s="903"/>
      <c r="F53" s="156">
        <v>11087</v>
      </c>
      <c r="G53" s="156">
        <v>3648</v>
      </c>
      <c r="H53" s="156">
        <v>908758</v>
      </c>
      <c r="I53" s="158">
        <v>454379</v>
      </c>
      <c r="J53" s="156">
        <v>502480</v>
      </c>
      <c r="K53" s="159">
        <v>860657</v>
      </c>
    </row>
    <row r="54" spans="1:11" ht="18" customHeight="1">
      <c r="A54" s="151" t="s">
        <v>93</v>
      </c>
      <c r="B54" s="396"/>
      <c r="C54" s="397"/>
      <c r="D54" s="392"/>
      <c r="F54" s="156"/>
      <c r="G54" s="156"/>
      <c r="H54" s="157"/>
      <c r="I54" s="158">
        <v>0</v>
      </c>
      <c r="J54" s="157"/>
      <c r="K54" s="159">
        <v>0</v>
      </c>
    </row>
    <row r="55" spans="1:11" ht="18" customHeight="1">
      <c r="A55" s="151" t="s">
        <v>94</v>
      </c>
      <c r="B55" s="901"/>
      <c r="C55" s="902"/>
      <c r="D55" s="903"/>
      <c r="F55" s="156"/>
      <c r="G55" s="156"/>
      <c r="H55" s="157"/>
      <c r="I55" s="158">
        <v>0</v>
      </c>
      <c r="J55" s="157"/>
      <c r="K55" s="159">
        <v>0</v>
      </c>
    </row>
    <row r="56" spans="1:11" ht="18" customHeight="1">
      <c r="A56" s="151" t="s">
        <v>95</v>
      </c>
      <c r="B56" s="901"/>
      <c r="C56" s="902"/>
      <c r="D56" s="903"/>
      <c r="F56" s="156"/>
      <c r="G56" s="156"/>
      <c r="H56" s="157"/>
      <c r="I56" s="158">
        <v>0</v>
      </c>
      <c r="J56" s="157"/>
      <c r="K56" s="159">
        <v>0</v>
      </c>
    </row>
    <row r="57" spans="1:11" ht="18" customHeight="1">
      <c r="A57" s="151" t="s">
        <v>96</v>
      </c>
      <c r="B57" s="901"/>
      <c r="C57" s="902"/>
      <c r="D57" s="903"/>
      <c r="F57" s="156"/>
      <c r="G57" s="156"/>
      <c r="H57" s="157"/>
      <c r="I57" s="158">
        <v>0</v>
      </c>
      <c r="J57" s="157"/>
      <c r="K57" s="159">
        <v>0</v>
      </c>
    </row>
    <row r="58" spans="1:11" ht="18" customHeight="1">
      <c r="A58" s="151" t="s">
        <v>97</v>
      </c>
      <c r="B58" s="396"/>
      <c r="C58" s="397"/>
      <c r="D58" s="392"/>
      <c r="F58" s="156"/>
      <c r="G58" s="156"/>
      <c r="H58" s="157"/>
      <c r="I58" s="158">
        <v>0</v>
      </c>
      <c r="J58" s="157"/>
      <c r="K58" s="159">
        <v>0</v>
      </c>
    </row>
    <row r="59" spans="1:11" ht="18" customHeight="1">
      <c r="A59" s="151" t="s">
        <v>98</v>
      </c>
      <c r="B59" s="901"/>
      <c r="C59" s="902"/>
      <c r="D59" s="903"/>
      <c r="F59" s="156"/>
      <c r="G59" s="156"/>
      <c r="H59" s="157"/>
      <c r="I59" s="158">
        <v>0</v>
      </c>
      <c r="J59" s="157"/>
      <c r="K59" s="159">
        <v>0</v>
      </c>
    </row>
    <row r="60" spans="1:11" ht="18" customHeight="1">
      <c r="A60" s="151" t="s">
        <v>99</v>
      </c>
      <c r="B60" s="396"/>
      <c r="C60" s="397"/>
      <c r="D60" s="392"/>
      <c r="F60" s="156"/>
      <c r="G60" s="156"/>
      <c r="H60" s="157"/>
      <c r="I60" s="158">
        <v>0</v>
      </c>
      <c r="J60" s="157"/>
      <c r="K60" s="159">
        <v>0</v>
      </c>
    </row>
    <row r="61" spans="1:11" ht="18" customHeight="1">
      <c r="A61" s="151" t="s">
        <v>100</v>
      </c>
      <c r="B61" s="396"/>
      <c r="C61" s="397"/>
      <c r="D61" s="392"/>
      <c r="F61" s="156"/>
      <c r="G61" s="156"/>
      <c r="H61" s="157"/>
      <c r="I61" s="158">
        <v>0</v>
      </c>
      <c r="J61" s="157"/>
      <c r="K61" s="159">
        <v>0</v>
      </c>
    </row>
    <row r="62" spans="1:11" ht="18" customHeight="1">
      <c r="A62" s="151" t="s">
        <v>101</v>
      </c>
      <c r="B62" s="901"/>
      <c r="C62" s="902"/>
      <c r="D62" s="903"/>
      <c r="F62" s="156"/>
      <c r="G62" s="156"/>
      <c r="H62" s="157"/>
      <c r="I62" s="158">
        <v>0</v>
      </c>
      <c r="J62" s="157"/>
      <c r="K62" s="159">
        <v>0</v>
      </c>
    </row>
    <row r="63" spans="1:11" ht="18" customHeight="1">
      <c r="A63" s="151"/>
      <c r="I63" s="173"/>
    </row>
    <row r="64" spans="1:11" ht="18" customHeight="1">
      <c r="A64" s="151" t="s">
        <v>144</v>
      </c>
      <c r="B64" s="150" t="s">
        <v>145</v>
      </c>
      <c r="E64" s="150" t="s">
        <v>7</v>
      </c>
      <c r="F64" s="162">
        <v>11087</v>
      </c>
      <c r="G64" s="162">
        <v>3648</v>
      </c>
      <c r="H64" s="159">
        <v>908758</v>
      </c>
      <c r="I64" s="159">
        <v>454379</v>
      </c>
      <c r="J64" s="159">
        <v>502480</v>
      </c>
      <c r="K64" s="159">
        <v>860657</v>
      </c>
    </row>
    <row r="65" spans="1:11" ht="18" customHeight="1">
      <c r="F65" s="174"/>
      <c r="G65" s="174"/>
      <c r="H65" s="174"/>
      <c r="I65" s="174"/>
      <c r="J65" s="174"/>
      <c r="K65" s="174"/>
    </row>
    <row r="66" spans="1:11" ht="42.75" customHeight="1">
      <c r="F66" s="175" t="s">
        <v>9</v>
      </c>
      <c r="G66" s="175" t="s">
        <v>37</v>
      </c>
      <c r="H66" s="175" t="s">
        <v>29</v>
      </c>
      <c r="I66" s="175" t="s">
        <v>30</v>
      </c>
      <c r="J66" s="175" t="s">
        <v>33</v>
      </c>
      <c r="K66" s="175" t="s">
        <v>34</v>
      </c>
    </row>
    <row r="67" spans="1:11" ht="18" customHeight="1">
      <c r="A67" s="154" t="s">
        <v>102</v>
      </c>
      <c r="B67" s="150" t="s">
        <v>12</v>
      </c>
      <c r="F67" s="176"/>
      <c r="G67" s="176"/>
      <c r="H67" s="176"/>
      <c r="I67" s="177"/>
      <c r="J67" s="176"/>
      <c r="K67" s="178"/>
    </row>
    <row r="68" spans="1:11" ht="18" customHeight="1">
      <c r="A68" s="151" t="s">
        <v>103</v>
      </c>
      <c r="B68" s="147" t="s">
        <v>52</v>
      </c>
      <c r="F68" s="156">
        <v>0</v>
      </c>
      <c r="G68" s="156">
        <v>0</v>
      </c>
      <c r="H68" s="156">
        <v>0</v>
      </c>
      <c r="I68" s="158">
        <v>0</v>
      </c>
      <c r="J68" s="156">
        <v>0</v>
      </c>
      <c r="K68" s="159">
        <v>0</v>
      </c>
    </row>
    <row r="69" spans="1:11" ht="18" customHeight="1">
      <c r="A69" s="151" t="s">
        <v>104</v>
      </c>
      <c r="B69" s="155" t="s">
        <v>53</v>
      </c>
      <c r="F69" s="156">
        <v>75</v>
      </c>
      <c r="G69" s="156">
        <v>6</v>
      </c>
      <c r="H69" s="156">
        <v>3816</v>
      </c>
      <c r="I69" s="158">
        <v>1907.81</v>
      </c>
      <c r="J69" s="156">
        <v>0</v>
      </c>
      <c r="K69" s="159">
        <v>5723.44</v>
      </c>
    </row>
    <row r="70" spans="1:11" ht="18" customHeight="1">
      <c r="A70" s="151" t="s">
        <v>178</v>
      </c>
      <c r="B70" s="396"/>
      <c r="C70" s="397"/>
      <c r="D70" s="392"/>
      <c r="E70" s="150"/>
      <c r="F70" s="156">
        <v>0</v>
      </c>
      <c r="G70" s="156">
        <v>0</v>
      </c>
      <c r="H70" s="156">
        <v>0</v>
      </c>
      <c r="I70" s="158">
        <v>0</v>
      </c>
      <c r="J70" s="156">
        <v>0</v>
      </c>
      <c r="K70" s="159">
        <v>0</v>
      </c>
    </row>
    <row r="71" spans="1:11" ht="18" customHeight="1">
      <c r="A71" s="151" t="s">
        <v>179</v>
      </c>
      <c r="B71" s="396"/>
      <c r="C71" s="397"/>
      <c r="D71" s="392"/>
      <c r="E71" s="150"/>
      <c r="F71" s="156">
        <v>0</v>
      </c>
      <c r="G71" s="156">
        <v>0</v>
      </c>
      <c r="H71" s="156">
        <v>0</v>
      </c>
      <c r="I71" s="158">
        <v>0</v>
      </c>
      <c r="J71" s="156">
        <v>0</v>
      </c>
      <c r="K71" s="159">
        <v>0</v>
      </c>
    </row>
    <row r="72" spans="1:11" ht="18" customHeight="1">
      <c r="A72" s="151" t="s">
        <v>180</v>
      </c>
      <c r="B72" s="390"/>
      <c r="C72" s="391"/>
      <c r="D72" s="182"/>
      <c r="E72" s="150"/>
      <c r="F72" s="156">
        <v>0</v>
      </c>
      <c r="G72" s="156">
        <v>0</v>
      </c>
      <c r="H72" s="156">
        <v>0</v>
      </c>
      <c r="I72" s="158">
        <v>0</v>
      </c>
      <c r="J72" s="156">
        <v>0</v>
      </c>
      <c r="K72" s="159">
        <v>0</v>
      </c>
    </row>
    <row r="73" spans="1:11" ht="18" customHeight="1">
      <c r="A73" s="151"/>
      <c r="B73" s="155"/>
      <c r="E73" s="150"/>
      <c r="F73" s="183"/>
      <c r="G73" s="183"/>
      <c r="H73" s="184"/>
      <c r="I73" s="177"/>
      <c r="J73" s="184"/>
      <c r="K73" s="178"/>
    </row>
    <row r="74" spans="1:11" ht="18" customHeight="1">
      <c r="A74" s="154" t="s">
        <v>146</v>
      </c>
      <c r="B74" s="150" t="s">
        <v>147</v>
      </c>
      <c r="E74" s="150" t="s">
        <v>7</v>
      </c>
      <c r="F74" s="185">
        <v>75</v>
      </c>
      <c r="G74" s="185">
        <v>6</v>
      </c>
      <c r="H74" s="185">
        <v>3815.625</v>
      </c>
      <c r="I74" s="186">
        <v>1907.81</v>
      </c>
      <c r="J74" s="185">
        <v>0</v>
      </c>
      <c r="K74" s="187">
        <v>5723.44</v>
      </c>
    </row>
    <row r="75" spans="1:11" ht="42.75" customHeight="1">
      <c r="F75" s="153" t="s">
        <v>9</v>
      </c>
      <c r="G75" s="153" t="s">
        <v>37</v>
      </c>
      <c r="H75" s="153" t="s">
        <v>29</v>
      </c>
      <c r="I75" s="153" t="s">
        <v>30</v>
      </c>
      <c r="J75" s="153" t="s">
        <v>33</v>
      </c>
      <c r="K75" s="153" t="s">
        <v>34</v>
      </c>
    </row>
    <row r="76" spans="1:11" ht="18" customHeight="1">
      <c r="A76" s="154" t="s">
        <v>105</v>
      </c>
      <c r="B76" s="150" t="s">
        <v>106</v>
      </c>
    </row>
    <row r="77" spans="1:11" ht="18" customHeight="1">
      <c r="A77" s="151" t="s">
        <v>107</v>
      </c>
      <c r="B77" s="155" t="s">
        <v>54</v>
      </c>
      <c r="F77" s="156">
        <v>0</v>
      </c>
      <c r="G77" s="156">
        <v>0</v>
      </c>
      <c r="H77" s="156">
        <v>0</v>
      </c>
      <c r="I77" s="158">
        <v>0</v>
      </c>
      <c r="J77" s="156">
        <v>0</v>
      </c>
      <c r="K77" s="159">
        <v>0</v>
      </c>
    </row>
    <row r="78" spans="1:11" ht="18" customHeight="1">
      <c r="A78" s="151" t="s">
        <v>108</v>
      </c>
      <c r="B78" s="155" t="s">
        <v>55</v>
      </c>
      <c r="F78" s="156">
        <v>0</v>
      </c>
      <c r="G78" s="156">
        <v>0</v>
      </c>
      <c r="H78" s="156">
        <v>0</v>
      </c>
      <c r="I78" s="158">
        <v>0</v>
      </c>
      <c r="J78" s="156">
        <v>0</v>
      </c>
      <c r="K78" s="159">
        <v>0</v>
      </c>
    </row>
    <row r="79" spans="1:11" ht="18" customHeight="1">
      <c r="A79" s="151" t="s">
        <v>109</v>
      </c>
      <c r="B79" s="155" t="s">
        <v>13</v>
      </c>
      <c r="F79" s="156">
        <v>60</v>
      </c>
      <c r="G79" s="156">
        <v>12</v>
      </c>
      <c r="H79" s="156">
        <v>8029</v>
      </c>
      <c r="I79" s="158">
        <v>4014.5</v>
      </c>
      <c r="J79" s="156">
        <v>0</v>
      </c>
      <c r="K79" s="159">
        <v>12043.5</v>
      </c>
    </row>
    <row r="80" spans="1:11" ht="18" customHeight="1">
      <c r="A80" s="151" t="s">
        <v>110</v>
      </c>
      <c r="B80" s="155" t="s">
        <v>56</v>
      </c>
      <c r="F80" s="156">
        <v>25</v>
      </c>
      <c r="G80" s="156">
        <v>10</v>
      </c>
      <c r="H80" s="156">
        <v>16072</v>
      </c>
      <c r="I80" s="158">
        <v>8035.94</v>
      </c>
      <c r="J80" s="156">
        <v>0</v>
      </c>
      <c r="K80" s="159">
        <v>24107.81</v>
      </c>
    </row>
    <row r="81" spans="1:11" ht="18" customHeight="1">
      <c r="A81" s="151"/>
      <c r="K81" s="188"/>
    </row>
    <row r="82" spans="1:11" ht="18" customHeight="1">
      <c r="A82" s="151" t="s">
        <v>148</v>
      </c>
      <c r="B82" s="150" t="s">
        <v>149</v>
      </c>
      <c r="E82" s="150" t="s">
        <v>7</v>
      </c>
      <c r="F82" s="185">
        <v>85</v>
      </c>
      <c r="G82" s="185">
        <v>22</v>
      </c>
      <c r="H82" s="187">
        <v>24100.880000000001</v>
      </c>
      <c r="I82" s="187">
        <v>12050.44</v>
      </c>
      <c r="J82" s="187">
        <v>0</v>
      </c>
      <c r="K82" s="187">
        <v>36151.31</v>
      </c>
    </row>
    <row r="83" spans="1:11" ht="18" customHeight="1" thickBot="1">
      <c r="A83" s="151"/>
      <c r="F83" s="172"/>
      <c r="G83" s="172"/>
      <c r="H83" s="172"/>
      <c r="I83" s="172"/>
      <c r="J83" s="172"/>
      <c r="K83" s="172"/>
    </row>
    <row r="84" spans="1:11" ht="42.75" customHeight="1">
      <c r="F84" s="153" t="s">
        <v>9</v>
      </c>
      <c r="G84" s="153" t="s">
        <v>37</v>
      </c>
      <c r="H84" s="153" t="s">
        <v>29</v>
      </c>
      <c r="I84" s="153" t="s">
        <v>30</v>
      </c>
      <c r="J84" s="153" t="s">
        <v>33</v>
      </c>
      <c r="K84" s="153" t="s">
        <v>34</v>
      </c>
    </row>
    <row r="85" spans="1:11" ht="18" customHeight="1">
      <c r="A85" s="154" t="s">
        <v>111</v>
      </c>
      <c r="B85" s="150" t="s">
        <v>57</v>
      </c>
    </row>
    <row r="86" spans="1:11" ht="18" customHeight="1">
      <c r="A86" s="151" t="s">
        <v>112</v>
      </c>
      <c r="B86" s="155" t="s">
        <v>113</v>
      </c>
      <c r="F86" s="156">
        <v>0</v>
      </c>
      <c r="G86" s="156">
        <v>0</v>
      </c>
      <c r="H86" s="156">
        <v>0</v>
      </c>
      <c r="I86" s="158">
        <v>0</v>
      </c>
      <c r="J86" s="156">
        <v>0</v>
      </c>
      <c r="K86" s="159">
        <f t="shared" ref="K86:K96" si="0">H86+I86-J86</f>
        <v>0</v>
      </c>
    </row>
    <row r="87" spans="1:11" ht="18" customHeight="1">
      <c r="A87" s="151" t="s">
        <v>114</v>
      </c>
      <c r="B87" s="155" t="s">
        <v>14</v>
      </c>
      <c r="F87" s="156">
        <v>0</v>
      </c>
      <c r="G87" s="156">
        <v>0</v>
      </c>
      <c r="H87" s="156">
        <v>0</v>
      </c>
      <c r="I87" s="158">
        <v>0</v>
      </c>
      <c r="J87" s="156">
        <v>0</v>
      </c>
      <c r="K87" s="159">
        <f t="shared" si="0"/>
        <v>0</v>
      </c>
    </row>
    <row r="88" spans="1:11" ht="18" customHeight="1">
      <c r="A88" s="151" t="s">
        <v>115</v>
      </c>
      <c r="B88" s="155" t="s">
        <v>116</v>
      </c>
      <c r="F88" s="156">
        <v>182</v>
      </c>
      <c r="G88" s="156">
        <v>63</v>
      </c>
      <c r="H88" s="156">
        <v>11746</v>
      </c>
      <c r="I88" s="158">
        <v>5872.9</v>
      </c>
      <c r="J88" s="156">
        <v>0</v>
      </c>
      <c r="K88" s="159">
        <f>H88+I88-J88</f>
        <v>17618.900000000001</v>
      </c>
    </row>
    <row r="89" spans="1:11" ht="18" customHeight="1">
      <c r="A89" s="151" t="s">
        <v>117</v>
      </c>
      <c r="B89" s="155" t="s">
        <v>58</v>
      </c>
      <c r="F89" s="156">
        <v>0</v>
      </c>
      <c r="G89" s="156">
        <v>0</v>
      </c>
      <c r="H89" s="156">
        <v>0</v>
      </c>
      <c r="I89" s="158">
        <v>0</v>
      </c>
      <c r="J89" s="156">
        <v>0</v>
      </c>
      <c r="K89" s="159">
        <f t="shared" si="0"/>
        <v>0</v>
      </c>
    </row>
    <row r="90" spans="1:11" ht="18" customHeight="1">
      <c r="A90" s="151" t="s">
        <v>118</v>
      </c>
      <c r="B90" s="904" t="s">
        <v>59</v>
      </c>
      <c r="C90" s="907"/>
      <c r="F90" s="156">
        <v>0</v>
      </c>
      <c r="G90" s="156">
        <v>0</v>
      </c>
      <c r="H90" s="156">
        <v>0</v>
      </c>
      <c r="I90" s="158">
        <v>0</v>
      </c>
      <c r="J90" s="156">
        <v>0</v>
      </c>
      <c r="K90" s="159">
        <f t="shared" si="0"/>
        <v>0</v>
      </c>
    </row>
    <row r="91" spans="1:11" ht="18" customHeight="1">
      <c r="A91" s="151" t="s">
        <v>119</v>
      </c>
      <c r="B91" s="155" t="s">
        <v>60</v>
      </c>
      <c r="F91" s="156">
        <v>419</v>
      </c>
      <c r="G91" s="156">
        <v>33</v>
      </c>
      <c r="H91" s="156">
        <v>20001</v>
      </c>
      <c r="I91" s="158">
        <v>10000.379999999999</v>
      </c>
      <c r="J91" s="156">
        <v>0</v>
      </c>
      <c r="K91" s="159">
        <f t="shared" si="0"/>
        <v>30001.379999999997</v>
      </c>
    </row>
    <row r="92" spans="1:11" ht="18" customHeight="1">
      <c r="A92" s="151" t="s">
        <v>120</v>
      </c>
      <c r="B92" s="155" t="s">
        <v>121</v>
      </c>
      <c r="F92" s="156">
        <v>114</v>
      </c>
      <c r="G92" s="156">
        <v>4</v>
      </c>
      <c r="H92" s="156">
        <v>21973</v>
      </c>
      <c r="I92" s="158">
        <v>10986.73</v>
      </c>
      <c r="J92" s="156">
        <v>0</v>
      </c>
      <c r="K92" s="159">
        <f t="shared" si="0"/>
        <v>32959.729999999996</v>
      </c>
    </row>
    <row r="93" spans="1:11" ht="18" customHeight="1">
      <c r="A93" s="151" t="s">
        <v>122</v>
      </c>
      <c r="B93" s="155" t="s">
        <v>123</v>
      </c>
      <c r="F93" s="156">
        <v>0</v>
      </c>
      <c r="G93" s="156">
        <v>0</v>
      </c>
      <c r="H93" s="156">
        <v>0</v>
      </c>
      <c r="I93" s="158">
        <v>0</v>
      </c>
      <c r="J93" s="156">
        <v>0</v>
      </c>
      <c r="K93" s="159">
        <f t="shared" si="0"/>
        <v>0</v>
      </c>
    </row>
    <row r="94" spans="1:11" ht="18" customHeight="1">
      <c r="A94" s="151" t="s">
        <v>124</v>
      </c>
      <c r="B94" s="901"/>
      <c r="C94" s="902"/>
      <c r="D94" s="903"/>
      <c r="F94" s="156">
        <v>0</v>
      </c>
      <c r="G94" s="156">
        <v>0</v>
      </c>
      <c r="H94" s="156">
        <v>0</v>
      </c>
      <c r="I94" s="158">
        <v>0</v>
      </c>
      <c r="J94" s="156">
        <v>0</v>
      </c>
      <c r="K94" s="159">
        <f t="shared" si="0"/>
        <v>0</v>
      </c>
    </row>
    <row r="95" spans="1:11" ht="18" customHeight="1">
      <c r="A95" s="151" t="s">
        <v>125</v>
      </c>
      <c r="B95" s="901"/>
      <c r="C95" s="902"/>
      <c r="D95" s="903"/>
      <c r="F95" s="156">
        <v>0</v>
      </c>
      <c r="G95" s="156">
        <v>0</v>
      </c>
      <c r="H95" s="156">
        <v>0</v>
      </c>
      <c r="I95" s="158">
        <v>0</v>
      </c>
      <c r="J95" s="156">
        <v>0</v>
      </c>
      <c r="K95" s="159">
        <f t="shared" si="0"/>
        <v>0</v>
      </c>
    </row>
    <row r="96" spans="1:11" ht="18" customHeight="1">
      <c r="A96" s="151" t="s">
        <v>126</v>
      </c>
      <c r="B96" s="901"/>
      <c r="C96" s="902"/>
      <c r="D96" s="903"/>
      <c r="F96" s="156">
        <v>0</v>
      </c>
      <c r="G96" s="156">
        <v>0</v>
      </c>
      <c r="H96" s="156">
        <v>0</v>
      </c>
      <c r="I96" s="158">
        <v>0</v>
      </c>
      <c r="J96" s="156">
        <v>0</v>
      </c>
      <c r="K96" s="159">
        <f t="shared" si="0"/>
        <v>0</v>
      </c>
    </row>
    <row r="97" spans="1:11" ht="18" customHeight="1">
      <c r="A97" s="151"/>
      <c r="B97" s="155"/>
    </row>
    <row r="98" spans="1:11" ht="18" customHeight="1">
      <c r="A98" s="154" t="s">
        <v>150</v>
      </c>
      <c r="B98" s="150" t="s">
        <v>151</v>
      </c>
      <c r="E98" s="150" t="s">
        <v>7</v>
      </c>
      <c r="F98" s="162">
        <f t="shared" ref="F98:J98" si="1">SUM(F86:F96)</f>
        <v>715</v>
      </c>
      <c r="G98" s="162">
        <f t="shared" si="1"/>
        <v>100</v>
      </c>
      <c r="H98" s="162">
        <f t="shared" si="1"/>
        <v>53720</v>
      </c>
      <c r="I98" s="162">
        <f t="shared" si="1"/>
        <v>26860.01</v>
      </c>
      <c r="J98" s="162">
        <f t="shared" si="1"/>
        <v>0</v>
      </c>
      <c r="K98" s="162">
        <f>SUM(K86:K96)</f>
        <v>80580.009999999995</v>
      </c>
    </row>
    <row r="99" spans="1:11" ht="18" customHeight="1" thickBot="1">
      <c r="B99" s="150"/>
      <c r="F99" s="172"/>
      <c r="G99" s="172"/>
      <c r="H99" s="172"/>
      <c r="I99" s="172"/>
      <c r="J99" s="172"/>
      <c r="K99" s="172"/>
    </row>
    <row r="100" spans="1:11" ht="42.75" customHeight="1">
      <c r="F100" s="153" t="s">
        <v>9</v>
      </c>
      <c r="G100" s="153" t="s">
        <v>37</v>
      </c>
      <c r="H100" s="153" t="s">
        <v>29</v>
      </c>
      <c r="I100" s="153" t="s">
        <v>30</v>
      </c>
      <c r="J100" s="153" t="s">
        <v>33</v>
      </c>
      <c r="K100" s="153" t="s">
        <v>34</v>
      </c>
    </row>
    <row r="101" spans="1:11" ht="18" customHeight="1">
      <c r="A101" s="154" t="s">
        <v>130</v>
      </c>
      <c r="B101" s="150" t="s">
        <v>63</v>
      </c>
    </row>
    <row r="102" spans="1:11" ht="18" customHeight="1">
      <c r="A102" s="151" t="s">
        <v>131</v>
      </c>
      <c r="B102" s="155" t="s">
        <v>152</v>
      </c>
      <c r="F102" s="156">
        <v>1381</v>
      </c>
      <c r="G102" s="156">
        <v>2</v>
      </c>
      <c r="H102" s="156">
        <v>48818</v>
      </c>
      <c r="I102" s="158">
        <v>24409.08</v>
      </c>
      <c r="J102" s="156">
        <v>0</v>
      </c>
      <c r="K102" s="159">
        <v>73227.23</v>
      </c>
    </row>
    <row r="103" spans="1:11" ht="18" customHeight="1">
      <c r="A103" s="151" t="s">
        <v>132</v>
      </c>
      <c r="B103" s="904" t="s">
        <v>62</v>
      </c>
      <c r="C103" s="904"/>
      <c r="F103" s="156">
        <v>0</v>
      </c>
      <c r="G103" s="156">
        <v>0</v>
      </c>
      <c r="H103" s="156">
        <v>0</v>
      </c>
      <c r="I103" s="158">
        <v>0</v>
      </c>
      <c r="J103" s="156">
        <v>0</v>
      </c>
      <c r="K103" s="159">
        <v>0</v>
      </c>
    </row>
    <row r="104" spans="1:11" ht="18" customHeight="1">
      <c r="A104" s="151" t="s">
        <v>128</v>
      </c>
      <c r="B104" s="901"/>
      <c r="C104" s="902"/>
      <c r="D104" s="903"/>
      <c r="F104" s="156">
        <v>0</v>
      </c>
      <c r="G104" s="156">
        <v>0</v>
      </c>
      <c r="H104" s="156">
        <v>0</v>
      </c>
      <c r="I104" s="158">
        <v>0</v>
      </c>
      <c r="J104" s="156">
        <v>0</v>
      </c>
      <c r="K104" s="159">
        <v>0</v>
      </c>
    </row>
    <row r="105" spans="1:11" ht="18" customHeight="1">
      <c r="A105" s="151" t="s">
        <v>127</v>
      </c>
      <c r="B105" s="901"/>
      <c r="C105" s="902"/>
      <c r="D105" s="903"/>
      <c r="F105" s="156">
        <v>0</v>
      </c>
      <c r="G105" s="156">
        <v>0</v>
      </c>
      <c r="H105" s="156">
        <v>0</v>
      </c>
      <c r="I105" s="158">
        <v>0</v>
      </c>
      <c r="J105" s="156">
        <v>0</v>
      </c>
      <c r="K105" s="159">
        <v>0</v>
      </c>
    </row>
    <row r="106" spans="1:11" ht="18" customHeight="1">
      <c r="A106" s="151" t="s">
        <v>129</v>
      </c>
      <c r="B106" s="901"/>
      <c r="C106" s="902"/>
      <c r="D106" s="903"/>
      <c r="F106" s="156">
        <v>0</v>
      </c>
      <c r="G106" s="156">
        <v>0</v>
      </c>
      <c r="H106" s="156">
        <v>0</v>
      </c>
      <c r="I106" s="158">
        <v>0</v>
      </c>
      <c r="J106" s="156">
        <v>0</v>
      </c>
      <c r="K106" s="159">
        <v>0</v>
      </c>
    </row>
    <row r="107" spans="1:11" ht="18" customHeight="1">
      <c r="B107" s="150"/>
    </row>
    <row r="108" spans="1:11" s="167" customFormat="1" ht="18" customHeight="1">
      <c r="A108" s="154" t="s">
        <v>153</v>
      </c>
      <c r="B108" s="191" t="s">
        <v>154</v>
      </c>
      <c r="C108" s="147"/>
      <c r="D108" s="147"/>
      <c r="E108" s="150" t="s">
        <v>7</v>
      </c>
      <c r="F108" s="162">
        <v>1381</v>
      </c>
      <c r="G108" s="162">
        <v>2</v>
      </c>
      <c r="H108" s="159">
        <v>48818.16</v>
      </c>
      <c r="I108" s="159">
        <v>24409.08</v>
      </c>
      <c r="J108" s="159">
        <v>0</v>
      </c>
      <c r="K108" s="159">
        <v>73227.23</v>
      </c>
    </row>
    <row r="109" spans="1:11" s="167" customFormat="1" ht="18" customHeight="1" thickBot="1">
      <c r="A109" s="192"/>
      <c r="B109" s="193"/>
      <c r="C109" s="194"/>
      <c r="D109" s="194"/>
      <c r="E109" s="194"/>
      <c r="F109" s="172"/>
      <c r="G109" s="172"/>
      <c r="H109" s="172"/>
      <c r="I109" s="172"/>
      <c r="J109" s="172"/>
      <c r="K109" s="172"/>
    </row>
    <row r="110" spans="1:11" s="167" customFormat="1" ht="18" customHeight="1">
      <c r="A110" s="154" t="s">
        <v>156</v>
      </c>
      <c r="B110" s="150" t="s">
        <v>39</v>
      </c>
      <c r="C110" s="147"/>
      <c r="D110" s="147"/>
      <c r="E110" s="147"/>
      <c r="F110" s="147"/>
      <c r="G110" s="147"/>
      <c r="H110" s="147"/>
      <c r="I110" s="147"/>
      <c r="J110" s="147"/>
      <c r="K110" s="147"/>
    </row>
    <row r="111" spans="1:11" ht="18" customHeight="1">
      <c r="A111" s="154" t="s">
        <v>155</v>
      </c>
      <c r="B111" s="150" t="s">
        <v>164</v>
      </c>
      <c r="E111" s="150" t="s">
        <v>7</v>
      </c>
      <c r="F111" s="157">
        <v>109595</v>
      </c>
    </row>
    <row r="112" spans="1:11" ht="18" customHeight="1">
      <c r="B112" s="150"/>
      <c r="E112" s="150"/>
      <c r="F112" s="195"/>
    </row>
    <row r="113" spans="1:6" ht="12.75">
      <c r="A113" s="154"/>
      <c r="B113" s="150" t="s">
        <v>15</v>
      </c>
    </row>
    <row r="114" spans="1:6" ht="12.75">
      <c r="A114" s="151" t="s">
        <v>171</v>
      </c>
      <c r="B114" s="155" t="s">
        <v>35</v>
      </c>
      <c r="F114" s="196">
        <v>0.5</v>
      </c>
    </row>
    <row r="115" spans="1:6" ht="12.75">
      <c r="A115" s="151"/>
      <c r="B115" s="150"/>
    </row>
    <row r="116" spans="1:6" ht="12.75">
      <c r="A116" s="151" t="s">
        <v>170</v>
      </c>
      <c r="B116" s="150" t="s">
        <v>16</v>
      </c>
    </row>
    <row r="117" spans="1:6" ht="12.75">
      <c r="A117" s="151" t="s">
        <v>172</v>
      </c>
      <c r="B117" s="155" t="s">
        <v>17</v>
      </c>
      <c r="F117" s="157">
        <v>58569033</v>
      </c>
    </row>
    <row r="118" spans="1:6" ht="12.75">
      <c r="A118" s="151" t="s">
        <v>173</v>
      </c>
      <c r="B118" s="147" t="s">
        <v>18</v>
      </c>
      <c r="F118" s="157">
        <v>1164777</v>
      </c>
    </row>
    <row r="119" spans="1:6" ht="12.75">
      <c r="A119" s="151" t="s">
        <v>174</v>
      </c>
      <c r="B119" s="150" t="s">
        <v>19</v>
      </c>
      <c r="F119" s="187">
        <v>59733810</v>
      </c>
    </row>
    <row r="120" spans="1:6" ht="12.75">
      <c r="A120" s="151"/>
      <c r="B120" s="150"/>
    </row>
    <row r="121" spans="1:6" ht="12.75">
      <c r="A121" s="151" t="s">
        <v>167</v>
      </c>
      <c r="B121" s="150" t="s">
        <v>36</v>
      </c>
      <c r="F121" s="157">
        <v>54688892</v>
      </c>
    </row>
    <row r="122" spans="1:6" ht="12.75">
      <c r="A122" s="151"/>
    </row>
    <row r="123" spans="1:6" ht="12.75">
      <c r="A123" s="151" t="s">
        <v>175</v>
      </c>
      <c r="B123" s="150" t="s">
        <v>20</v>
      </c>
      <c r="F123" s="157">
        <v>5044918</v>
      </c>
    </row>
    <row r="124" spans="1:6" ht="12.75">
      <c r="A124" s="151"/>
    </row>
    <row r="125" spans="1:6" ht="12.75">
      <c r="A125" s="151" t="s">
        <v>176</v>
      </c>
      <c r="B125" s="150" t="s">
        <v>21</v>
      </c>
      <c r="F125" s="157">
        <v>4312</v>
      </c>
    </row>
    <row r="126" spans="1:6" ht="12.75">
      <c r="A126" s="151"/>
    </row>
    <row r="127" spans="1:6" ht="12.75">
      <c r="A127" s="151" t="s">
        <v>177</v>
      </c>
      <c r="B127" s="150" t="s">
        <v>22</v>
      </c>
      <c r="F127" s="157">
        <v>5049230</v>
      </c>
    </row>
    <row r="128" spans="1:6" ht="12.75">
      <c r="A128" s="151"/>
    </row>
    <row r="129" spans="1:11" ht="42.75" customHeight="1">
      <c r="F129" s="153" t="s">
        <v>9</v>
      </c>
      <c r="G129" s="153" t="s">
        <v>37</v>
      </c>
      <c r="H129" s="153" t="s">
        <v>29</v>
      </c>
      <c r="I129" s="153" t="s">
        <v>30</v>
      </c>
      <c r="J129" s="153" t="s">
        <v>33</v>
      </c>
      <c r="K129" s="153" t="s">
        <v>34</v>
      </c>
    </row>
    <row r="130" spans="1:11" ht="18" customHeight="1">
      <c r="A130" s="154" t="s">
        <v>157</v>
      </c>
      <c r="B130" s="150" t="s">
        <v>23</v>
      </c>
    </row>
    <row r="131" spans="1:11" ht="18" customHeight="1">
      <c r="A131" s="151" t="s">
        <v>158</v>
      </c>
      <c r="B131" s="147" t="s">
        <v>24</v>
      </c>
      <c r="F131" s="156"/>
      <c r="G131" s="156"/>
      <c r="H131" s="157"/>
      <c r="I131" s="158">
        <v>0</v>
      </c>
      <c r="J131" s="157"/>
      <c r="K131" s="159">
        <v>0</v>
      </c>
    </row>
    <row r="132" spans="1:11" ht="18" customHeight="1">
      <c r="A132" s="151" t="s">
        <v>159</v>
      </c>
      <c r="B132" s="147" t="s">
        <v>25</v>
      </c>
      <c r="F132" s="156"/>
      <c r="G132" s="156"/>
      <c r="H132" s="157"/>
      <c r="I132" s="158">
        <v>0</v>
      </c>
      <c r="J132" s="157"/>
      <c r="K132" s="159">
        <v>0</v>
      </c>
    </row>
    <row r="133" spans="1:11" ht="18" customHeight="1">
      <c r="A133" s="151" t="s">
        <v>160</v>
      </c>
      <c r="B133" s="898"/>
      <c r="C133" s="899"/>
      <c r="D133" s="900"/>
      <c r="F133" s="156"/>
      <c r="G133" s="156"/>
      <c r="H133" s="157"/>
      <c r="I133" s="158">
        <v>0</v>
      </c>
      <c r="J133" s="157"/>
      <c r="K133" s="159">
        <v>0</v>
      </c>
    </row>
    <row r="134" spans="1:11" ht="18" customHeight="1">
      <c r="A134" s="151" t="s">
        <v>161</v>
      </c>
      <c r="B134" s="898"/>
      <c r="C134" s="899"/>
      <c r="D134" s="900"/>
      <c r="F134" s="156"/>
      <c r="G134" s="156"/>
      <c r="H134" s="157"/>
      <c r="I134" s="158">
        <v>0</v>
      </c>
      <c r="J134" s="157"/>
      <c r="K134" s="159">
        <v>0</v>
      </c>
    </row>
    <row r="135" spans="1:11" ht="18" customHeight="1">
      <c r="A135" s="151" t="s">
        <v>162</v>
      </c>
      <c r="B135" s="898"/>
      <c r="C135" s="899"/>
      <c r="D135" s="900"/>
      <c r="F135" s="156"/>
      <c r="G135" s="156"/>
      <c r="H135" s="157"/>
      <c r="I135" s="158">
        <v>0</v>
      </c>
      <c r="J135" s="157"/>
      <c r="K135" s="159">
        <v>0</v>
      </c>
    </row>
    <row r="136" spans="1:11" ht="18" customHeight="1">
      <c r="A136" s="154"/>
    </row>
    <row r="137" spans="1:11" ht="18" customHeight="1">
      <c r="A137" s="154" t="s">
        <v>163</v>
      </c>
      <c r="B137" s="150" t="s">
        <v>27</v>
      </c>
      <c r="F137" s="162">
        <v>0</v>
      </c>
      <c r="G137" s="162">
        <v>0</v>
      </c>
      <c r="H137" s="159">
        <v>0</v>
      </c>
      <c r="I137" s="159">
        <v>0</v>
      </c>
      <c r="J137" s="159">
        <v>0</v>
      </c>
      <c r="K137" s="159">
        <v>0</v>
      </c>
    </row>
    <row r="138" spans="1:11" ht="18" customHeight="1">
      <c r="A138" s="147"/>
    </row>
    <row r="139" spans="1:11" ht="42.75" customHeight="1">
      <c r="F139" s="153" t="s">
        <v>9</v>
      </c>
      <c r="G139" s="153" t="s">
        <v>37</v>
      </c>
      <c r="H139" s="153" t="s">
        <v>29</v>
      </c>
      <c r="I139" s="153" t="s">
        <v>30</v>
      </c>
      <c r="J139" s="153" t="s">
        <v>33</v>
      </c>
      <c r="K139" s="153" t="s">
        <v>34</v>
      </c>
    </row>
    <row r="140" spans="1:11" ht="18" customHeight="1">
      <c r="A140" s="154" t="s">
        <v>166</v>
      </c>
      <c r="B140" s="150" t="s">
        <v>26</v>
      </c>
    </row>
    <row r="141" spans="1:11" ht="18" customHeight="1">
      <c r="A141" s="151" t="s">
        <v>137</v>
      </c>
      <c r="B141" s="150" t="s">
        <v>64</v>
      </c>
      <c r="F141" s="197">
        <f>F36</f>
        <v>1565</v>
      </c>
      <c r="G141" s="197">
        <f>G36</f>
        <v>44333</v>
      </c>
      <c r="H141" s="197">
        <f>H36</f>
        <v>94667</v>
      </c>
      <c r="I141" s="197">
        <f>I36</f>
        <v>47333.66</v>
      </c>
      <c r="J141" s="197">
        <f>J36</f>
        <v>0</v>
      </c>
      <c r="K141" s="197">
        <f>H141+I141-J141</f>
        <v>142000.66</v>
      </c>
    </row>
    <row r="142" spans="1:11" ht="18" customHeight="1">
      <c r="A142" s="151" t="s">
        <v>142</v>
      </c>
      <c r="B142" s="150" t="s">
        <v>65</v>
      </c>
      <c r="F142" s="197">
        <f>F49</f>
        <v>5726</v>
      </c>
      <c r="G142" s="197">
        <f>G49</f>
        <v>366</v>
      </c>
      <c r="H142" s="197">
        <f t="shared" ref="H142:J142" si="2">H49</f>
        <v>230999.5</v>
      </c>
      <c r="I142" s="197">
        <f t="shared" si="2"/>
        <v>115499.75</v>
      </c>
      <c r="J142" s="197">
        <f t="shared" si="2"/>
        <v>0</v>
      </c>
      <c r="K142" s="197">
        <f t="shared" ref="K142:K150" si="3">H142+I142-J142</f>
        <v>346499.25</v>
      </c>
    </row>
    <row r="143" spans="1:11" ht="18" customHeight="1">
      <c r="A143" s="151" t="s">
        <v>144</v>
      </c>
      <c r="B143" s="150" t="s">
        <v>66</v>
      </c>
      <c r="F143" s="197">
        <f>F64</f>
        <v>11087</v>
      </c>
      <c r="G143" s="197">
        <f>G64</f>
        <v>3648</v>
      </c>
      <c r="H143" s="197">
        <f t="shared" ref="H143:J143" si="4">H64</f>
        <v>908758</v>
      </c>
      <c r="I143" s="197">
        <f t="shared" si="4"/>
        <v>454379</v>
      </c>
      <c r="J143" s="197">
        <f t="shared" si="4"/>
        <v>502480</v>
      </c>
      <c r="K143" s="197">
        <f t="shared" si="3"/>
        <v>860657</v>
      </c>
    </row>
    <row r="144" spans="1:11" ht="18" customHeight="1">
      <c r="A144" s="151" t="s">
        <v>146</v>
      </c>
      <c r="B144" s="150" t="s">
        <v>67</v>
      </c>
      <c r="F144" s="197">
        <f>F74</f>
        <v>75</v>
      </c>
      <c r="G144" s="197">
        <f>G74</f>
        <v>6</v>
      </c>
      <c r="H144" s="197">
        <f t="shared" ref="H144:J144" si="5">H74</f>
        <v>3815.625</v>
      </c>
      <c r="I144" s="197">
        <f t="shared" si="5"/>
        <v>1907.81</v>
      </c>
      <c r="J144" s="197">
        <f t="shared" si="5"/>
        <v>0</v>
      </c>
      <c r="K144" s="197">
        <f t="shared" si="3"/>
        <v>5723.4349999999995</v>
      </c>
    </row>
    <row r="145" spans="1:11" ht="18" customHeight="1">
      <c r="A145" s="151" t="s">
        <v>148</v>
      </c>
      <c r="B145" s="150" t="s">
        <v>68</v>
      </c>
      <c r="F145" s="197">
        <f>F82</f>
        <v>85</v>
      </c>
      <c r="G145" s="197">
        <f>G82</f>
        <v>22</v>
      </c>
      <c r="H145" s="197">
        <f t="shared" ref="H145:J145" si="6">H82</f>
        <v>24100.880000000001</v>
      </c>
      <c r="I145" s="197">
        <f t="shared" si="6"/>
        <v>12050.44</v>
      </c>
      <c r="J145" s="197">
        <f t="shared" si="6"/>
        <v>0</v>
      </c>
      <c r="K145" s="197">
        <f t="shared" si="3"/>
        <v>36151.32</v>
      </c>
    </row>
    <row r="146" spans="1:11" ht="18" customHeight="1">
      <c r="A146" s="151" t="s">
        <v>150</v>
      </c>
      <c r="B146" s="150" t="s">
        <v>69</v>
      </c>
      <c r="F146" s="197">
        <f>F98</f>
        <v>715</v>
      </c>
      <c r="G146" s="197">
        <f>G98</f>
        <v>100</v>
      </c>
      <c r="H146" s="197">
        <f t="shared" ref="H146:J146" si="7">H98</f>
        <v>53720</v>
      </c>
      <c r="I146" s="197">
        <f t="shared" si="7"/>
        <v>26860.01</v>
      </c>
      <c r="J146" s="197">
        <f t="shared" si="7"/>
        <v>0</v>
      </c>
      <c r="K146" s="197">
        <f t="shared" si="3"/>
        <v>80580.009999999995</v>
      </c>
    </row>
    <row r="147" spans="1:11" ht="18" customHeight="1">
      <c r="A147" s="151" t="s">
        <v>153</v>
      </c>
      <c r="B147" s="150" t="s">
        <v>61</v>
      </c>
      <c r="F147" s="162">
        <f>F108</f>
        <v>1381</v>
      </c>
      <c r="G147" s="162">
        <f>G108</f>
        <v>2</v>
      </c>
      <c r="H147" s="162">
        <f t="shared" ref="H147:J147" si="8">H108</f>
        <v>48818.16</v>
      </c>
      <c r="I147" s="162">
        <f t="shared" si="8"/>
        <v>24409.08</v>
      </c>
      <c r="J147" s="162">
        <f t="shared" si="8"/>
        <v>0</v>
      </c>
      <c r="K147" s="197">
        <f t="shared" si="3"/>
        <v>73227.240000000005</v>
      </c>
    </row>
    <row r="148" spans="1:11" ht="18" customHeight="1">
      <c r="A148" s="151" t="s">
        <v>155</v>
      </c>
      <c r="B148" s="150" t="s">
        <v>70</v>
      </c>
      <c r="F148" s="198" t="s">
        <v>73</v>
      </c>
      <c r="G148" s="198" t="s">
        <v>73</v>
      </c>
      <c r="H148" s="199" t="s">
        <v>73</v>
      </c>
      <c r="I148" s="199" t="s">
        <v>73</v>
      </c>
      <c r="J148" s="199" t="s">
        <v>73</v>
      </c>
      <c r="K148" s="197">
        <f>F111</f>
        <v>109595</v>
      </c>
    </row>
    <row r="149" spans="1:11" ht="18" customHeight="1">
      <c r="A149" s="151" t="s">
        <v>163</v>
      </c>
      <c r="B149" s="150" t="s">
        <v>71</v>
      </c>
      <c r="F149" s="162">
        <v>0</v>
      </c>
      <c r="G149" s="162">
        <v>0</v>
      </c>
      <c r="H149" s="162">
        <v>0</v>
      </c>
      <c r="I149" s="162">
        <v>0</v>
      </c>
      <c r="J149" s="162">
        <v>0</v>
      </c>
      <c r="K149" s="197">
        <f t="shared" si="3"/>
        <v>0</v>
      </c>
    </row>
    <row r="150" spans="1:11" ht="18" customHeight="1">
      <c r="A150" s="151" t="s">
        <v>185</v>
      </c>
      <c r="B150" s="150" t="s">
        <v>186</v>
      </c>
      <c r="F150" s="198" t="s">
        <v>73</v>
      </c>
      <c r="G150" s="198" t="s">
        <v>73</v>
      </c>
      <c r="H150" s="162">
        <v>0</v>
      </c>
      <c r="I150" s="162">
        <v>0</v>
      </c>
      <c r="J150" s="162">
        <v>0</v>
      </c>
      <c r="K150" s="197">
        <f t="shared" si="3"/>
        <v>0</v>
      </c>
    </row>
    <row r="151" spans="1:11" ht="18" customHeight="1">
      <c r="B151" s="150"/>
      <c r="F151" s="174"/>
      <c r="G151" s="174"/>
      <c r="H151" s="174"/>
      <c r="I151" s="174"/>
      <c r="J151" s="174"/>
      <c r="K151" s="174"/>
    </row>
    <row r="152" spans="1:11" ht="18" customHeight="1">
      <c r="A152" s="154" t="s">
        <v>165</v>
      </c>
      <c r="B152" s="150" t="s">
        <v>26</v>
      </c>
      <c r="F152" s="201">
        <f t="shared" ref="F152:K152" si="9">SUM(F141:F150)</f>
        <v>20634</v>
      </c>
      <c r="G152" s="201">
        <f t="shared" si="9"/>
        <v>48477</v>
      </c>
      <c r="H152" s="201">
        <f t="shared" si="9"/>
        <v>1364879.1649999998</v>
      </c>
      <c r="I152" s="201">
        <f t="shared" si="9"/>
        <v>682439.75</v>
      </c>
      <c r="J152" s="201">
        <f t="shared" si="9"/>
        <v>502480</v>
      </c>
      <c r="K152" s="201">
        <f t="shared" si="9"/>
        <v>1654433.9150000003</v>
      </c>
    </row>
    <row r="154" spans="1:11" ht="18" customHeight="1">
      <c r="A154" s="154" t="s">
        <v>168</v>
      </c>
      <c r="B154" s="150" t="s">
        <v>28</v>
      </c>
      <c r="F154" s="53">
        <v>3.0300000000000001E-2</v>
      </c>
    </row>
    <row r="155" spans="1:11" ht="18" customHeight="1">
      <c r="A155" s="154" t="s">
        <v>169</v>
      </c>
      <c r="B155" s="150" t="s">
        <v>72</v>
      </c>
      <c r="F155" s="53">
        <v>0.32790000000000002</v>
      </c>
      <c r="G155" s="150"/>
    </row>
    <row r="156" spans="1:11" ht="18" customHeight="1">
      <c r="G156" s="150"/>
    </row>
  </sheetData>
  <mergeCells count="34">
    <mergeCell ref="C10:G10"/>
    <mergeCell ref="C11:G11"/>
    <mergeCell ref="B13:H13"/>
    <mergeCell ref="B30:D30"/>
    <mergeCell ref="D2:H2"/>
    <mergeCell ref="C5:G5"/>
    <mergeCell ref="C6:G6"/>
    <mergeCell ref="C7:G7"/>
    <mergeCell ref="C9:G9"/>
    <mergeCell ref="B31:D31"/>
    <mergeCell ref="B34:D34"/>
    <mergeCell ref="B90:C90"/>
    <mergeCell ref="B44:D44"/>
    <mergeCell ref="B45:D45"/>
    <mergeCell ref="B46:D46"/>
    <mergeCell ref="B47:D47"/>
    <mergeCell ref="B52:C52"/>
    <mergeCell ref="B53:D53"/>
    <mergeCell ref="B55:D55"/>
    <mergeCell ref="B41:C41"/>
    <mergeCell ref="B56:D56"/>
    <mergeCell ref="B57:D57"/>
    <mergeCell ref="B59:D59"/>
    <mergeCell ref="B62:D62"/>
    <mergeCell ref="B106:D106"/>
    <mergeCell ref="B134:D134"/>
    <mergeCell ref="B135:D135"/>
    <mergeCell ref="B94:D94"/>
    <mergeCell ref="B95:D95"/>
    <mergeCell ref="B96:D96"/>
    <mergeCell ref="B103:C103"/>
    <mergeCell ref="B104:D104"/>
    <mergeCell ref="B105:D105"/>
    <mergeCell ref="B133:D133"/>
  </mergeCells>
  <pageMargins left="0.7" right="0.7" top="0.75" bottom="0.75" header="0.3" footer="0.3"/>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4">
    <tabColor theme="8"/>
    <pageSetUpPr fitToPage="1"/>
  </sheetPr>
  <dimension ref="A1:R163"/>
  <sheetViews>
    <sheetView showGridLines="0" topLeftCell="A28" zoomScale="80" zoomScaleNormal="80" zoomScaleSheetLayoutView="85" workbookViewId="0">
      <selection activeCell="F105" sqref="F105"/>
    </sheetView>
  </sheetViews>
  <sheetFormatPr defaultRowHeight="18" customHeight="1"/>
  <cols>
    <col min="1" max="1" width="8.28515625" style="7" customWidth="1"/>
    <col min="2" max="2" width="55.42578125" bestFit="1" customWidth="1"/>
    <col min="3" max="3" width="9.5703125" customWidth="1"/>
    <col min="5" max="5" width="12.42578125" customWidth="1"/>
    <col min="6" max="6" width="18.5703125" customWidth="1"/>
    <col min="7" max="7" width="23.5703125" customWidth="1"/>
    <col min="8" max="8" width="17.140625" customWidth="1"/>
    <col min="9" max="9" width="21.140625" customWidth="1"/>
    <col min="10" max="10" width="19.85546875" customWidth="1"/>
    <col min="11" max="11" width="17.5703125" customWidth="1"/>
    <col min="12" max="12" width="2.5703125" customWidth="1"/>
    <col min="13" max="13" width="12.5703125" customWidth="1"/>
    <col min="14" max="14" width="11.28515625" style="682" bestFit="1" customWidth="1"/>
  </cols>
  <sheetData>
    <row r="1" spans="1:14" ht="18" customHeight="1">
      <c r="C1" s="3"/>
      <c r="D1" s="2"/>
      <c r="E1" s="3"/>
      <c r="F1" s="3"/>
      <c r="G1" s="3"/>
      <c r="H1" s="3"/>
      <c r="I1" s="3"/>
      <c r="J1" s="3"/>
      <c r="K1" s="3"/>
    </row>
    <row r="2" spans="1:14" ht="18" customHeight="1">
      <c r="D2" s="940" t="s">
        <v>776</v>
      </c>
      <c r="E2" s="941"/>
      <c r="F2" s="941"/>
      <c r="G2" s="941"/>
      <c r="H2" s="941"/>
    </row>
    <row r="3" spans="1:14" ht="18" customHeight="1">
      <c r="B3" s="1" t="s">
        <v>0</v>
      </c>
    </row>
    <row r="5" spans="1:14" ht="18" customHeight="1">
      <c r="B5" s="345" t="s">
        <v>40</v>
      </c>
      <c r="C5" s="1049" t="s">
        <v>298</v>
      </c>
      <c r="D5" s="1050"/>
      <c r="E5" s="1050"/>
      <c r="F5" s="1050"/>
      <c r="G5" s="1051"/>
      <c r="H5" s="347"/>
      <c r="I5" s="347"/>
      <c r="J5" s="347"/>
      <c r="K5" s="347"/>
    </row>
    <row r="6" spans="1:14" ht="18" customHeight="1">
      <c r="B6" s="345" t="s">
        <v>3</v>
      </c>
      <c r="C6" s="1052" t="s">
        <v>593</v>
      </c>
      <c r="D6" s="1053"/>
      <c r="E6" s="1053"/>
      <c r="F6" s="1053"/>
      <c r="G6" s="1054"/>
      <c r="H6" s="347"/>
      <c r="I6" s="347"/>
      <c r="J6" s="347"/>
      <c r="K6" s="347"/>
    </row>
    <row r="7" spans="1:14" ht="18" customHeight="1">
      <c r="B7" s="345" t="s">
        <v>4</v>
      </c>
      <c r="C7" s="1055">
        <f>1711+34+31</f>
        <v>1776</v>
      </c>
      <c r="D7" s="1056"/>
      <c r="E7" s="1056"/>
      <c r="F7" s="1056"/>
      <c r="G7" s="1057"/>
      <c r="H7" s="347"/>
      <c r="I7" s="347"/>
      <c r="J7" s="347"/>
      <c r="K7" s="347"/>
      <c r="M7" s="257"/>
      <c r="N7" s="683"/>
    </row>
    <row r="8" spans="1:14" ht="18" customHeight="1">
      <c r="B8" s="347"/>
      <c r="C8" s="347"/>
      <c r="D8" s="347"/>
      <c r="E8" s="347"/>
      <c r="F8" s="347"/>
      <c r="G8" s="347"/>
      <c r="H8" s="347"/>
      <c r="I8" s="347"/>
      <c r="J8" s="347"/>
      <c r="K8" s="347"/>
    </row>
    <row r="9" spans="1:14" ht="18" customHeight="1">
      <c r="B9" s="345" t="s">
        <v>1</v>
      </c>
      <c r="C9" s="1049" t="s">
        <v>594</v>
      </c>
      <c r="D9" s="1050"/>
      <c r="E9" s="1050"/>
      <c r="F9" s="1050"/>
      <c r="G9" s="1051"/>
      <c r="H9" s="347"/>
      <c r="I9" s="347"/>
      <c r="J9" s="347"/>
      <c r="K9" s="347"/>
    </row>
    <row r="10" spans="1:14" ht="18" customHeight="1">
      <c r="B10" s="345" t="s">
        <v>2</v>
      </c>
      <c r="C10" s="1042" t="s">
        <v>595</v>
      </c>
      <c r="D10" s="1043"/>
      <c r="E10" s="1043"/>
      <c r="F10" s="1043"/>
      <c r="G10" s="1044"/>
      <c r="H10" s="347"/>
      <c r="I10" s="347"/>
      <c r="J10" s="347"/>
      <c r="K10" s="347"/>
    </row>
    <row r="11" spans="1:14" ht="18" customHeight="1">
      <c r="B11" s="345" t="s">
        <v>32</v>
      </c>
      <c r="C11" s="1042" t="s">
        <v>883</v>
      </c>
      <c r="D11" s="1043"/>
      <c r="E11" s="1043"/>
      <c r="F11" s="1043"/>
      <c r="G11" s="1044"/>
      <c r="H11" s="347"/>
      <c r="I11" s="347"/>
      <c r="J11" s="347"/>
      <c r="K11" s="347"/>
    </row>
    <row r="12" spans="1:14" ht="18" customHeight="1">
      <c r="B12" s="345"/>
      <c r="C12" s="345"/>
      <c r="D12" s="345"/>
      <c r="E12" s="345"/>
      <c r="F12" s="345"/>
      <c r="G12" s="345"/>
      <c r="H12" s="347"/>
      <c r="I12" s="347"/>
      <c r="J12" s="347"/>
      <c r="K12" s="347"/>
    </row>
    <row r="13" spans="1:14" ht="24.6" customHeight="1">
      <c r="B13" s="955"/>
      <c r="C13" s="1045"/>
      <c r="D13" s="1045"/>
      <c r="E13" s="1045"/>
      <c r="F13" s="1045"/>
      <c r="G13" s="1045"/>
      <c r="H13" s="1046"/>
      <c r="I13" s="684"/>
      <c r="J13" s="347"/>
      <c r="K13" s="347"/>
    </row>
    <row r="14" spans="1:14" ht="18" customHeight="1">
      <c r="B14" s="6"/>
      <c r="C14" s="347"/>
      <c r="D14" s="347"/>
      <c r="E14" s="347"/>
      <c r="F14" s="347"/>
      <c r="G14" s="347"/>
      <c r="H14" s="347"/>
      <c r="I14" s="347"/>
      <c r="J14" s="347"/>
      <c r="K14" s="347"/>
    </row>
    <row r="15" spans="1:14" ht="18" customHeight="1">
      <c r="B15" s="6"/>
      <c r="C15" s="347"/>
      <c r="D15" s="347"/>
      <c r="E15" s="347"/>
      <c r="F15" s="347"/>
      <c r="G15" s="347"/>
      <c r="H15" s="347"/>
      <c r="I15" s="347"/>
      <c r="J15" s="347"/>
      <c r="K15" s="347"/>
    </row>
    <row r="16" spans="1:14" ht="45" customHeight="1">
      <c r="A16" s="2" t="s">
        <v>181</v>
      </c>
      <c r="B16" s="684"/>
      <c r="C16" s="684"/>
      <c r="D16" s="684"/>
      <c r="E16" s="684"/>
      <c r="F16" s="685" t="s">
        <v>9</v>
      </c>
      <c r="G16" s="685" t="s">
        <v>37</v>
      </c>
      <c r="H16" s="685" t="s">
        <v>29</v>
      </c>
      <c r="I16" s="685" t="s">
        <v>30</v>
      </c>
      <c r="J16" s="685" t="s">
        <v>33</v>
      </c>
      <c r="K16" s="685" t="s">
        <v>34</v>
      </c>
    </row>
    <row r="17" spans="1:13" ht="18" customHeight="1">
      <c r="A17" s="5" t="s">
        <v>184</v>
      </c>
      <c r="B17" s="686" t="s">
        <v>182</v>
      </c>
      <c r="C17" s="347"/>
      <c r="D17" s="347"/>
      <c r="E17" s="347"/>
      <c r="F17" s="347"/>
      <c r="G17" s="347"/>
      <c r="H17" s="347"/>
      <c r="I17" s="347"/>
      <c r="J17" s="347"/>
      <c r="K17" s="347"/>
    </row>
    <row r="18" spans="1:13" ht="18" customHeight="1">
      <c r="A18" s="4" t="s">
        <v>185</v>
      </c>
      <c r="B18" s="687" t="s">
        <v>183</v>
      </c>
      <c r="C18" s="347"/>
      <c r="D18" s="347"/>
      <c r="E18" s="347"/>
      <c r="F18" s="43" t="s">
        <v>73</v>
      </c>
      <c r="G18" s="43" t="s">
        <v>73</v>
      </c>
      <c r="H18" s="287">
        <f>+[31]Sheet1!$H$27</f>
        <v>7253095.6238646954</v>
      </c>
      <c r="I18" s="44">
        <v>0</v>
      </c>
      <c r="J18" s="287">
        <f>+[31]Sheet1!$G$27</f>
        <v>6202303.6349099334</v>
      </c>
      <c r="K18" s="288">
        <f>(H18+I18)-J18</f>
        <v>1050791.988954762</v>
      </c>
    </row>
    <row r="19" spans="1:13" ht="45" customHeight="1">
      <c r="A19" s="2" t="s">
        <v>8</v>
      </c>
      <c r="B19" s="684"/>
      <c r="C19" s="684"/>
      <c r="D19" s="684"/>
      <c r="E19" s="684"/>
      <c r="F19" s="685" t="s">
        <v>9</v>
      </c>
      <c r="G19" s="685" t="s">
        <v>37</v>
      </c>
      <c r="H19" s="685" t="s">
        <v>29</v>
      </c>
      <c r="I19" s="685" t="s">
        <v>30</v>
      </c>
      <c r="J19" s="685" t="s">
        <v>33</v>
      </c>
      <c r="K19" s="685" t="s">
        <v>34</v>
      </c>
    </row>
    <row r="20" spans="1:13" ht="18" customHeight="1">
      <c r="A20" s="5" t="s">
        <v>74</v>
      </c>
      <c r="B20" s="686" t="s">
        <v>41</v>
      </c>
      <c r="C20" s="347"/>
      <c r="D20" s="347"/>
      <c r="E20" s="347"/>
      <c r="F20" s="347"/>
      <c r="G20" s="347"/>
      <c r="H20" s="347"/>
      <c r="I20" s="347"/>
      <c r="J20" s="347"/>
      <c r="K20" s="347"/>
    </row>
    <row r="21" spans="1:13" ht="18" customHeight="1">
      <c r="A21" s="4" t="s">
        <v>75</v>
      </c>
      <c r="B21" s="687" t="s">
        <v>42</v>
      </c>
      <c r="C21" s="347"/>
      <c r="D21" s="347"/>
      <c r="E21" s="347"/>
      <c r="F21" s="43">
        <v>4940</v>
      </c>
      <c r="G21" s="43">
        <v>15658</v>
      </c>
      <c r="H21" s="287">
        <v>374821</v>
      </c>
      <c r="I21" s="287">
        <f t="shared" ref="I21:I30" si="0">H21*F$121</f>
        <v>201688.14678002303</v>
      </c>
      <c r="J21" s="287">
        <v>88825</v>
      </c>
      <c r="K21" s="288">
        <f t="shared" ref="K21:K30" si="1">(H21+I21)-J21</f>
        <v>487684.146780023</v>
      </c>
      <c r="L21" s="289"/>
      <c r="M21" s="688"/>
    </row>
    <row r="22" spans="1:13" ht="18" customHeight="1">
      <c r="A22" s="4" t="s">
        <v>76</v>
      </c>
      <c r="B22" s="347" t="s">
        <v>6</v>
      </c>
      <c r="C22" s="347"/>
      <c r="D22" s="347"/>
      <c r="E22" s="347"/>
      <c r="F22" s="43">
        <v>99</v>
      </c>
      <c r="G22" s="43">
        <v>346</v>
      </c>
      <c r="H22" s="287">
        <v>7237</v>
      </c>
      <c r="I22" s="287">
        <f t="shared" si="0"/>
        <v>3894.1711330128956</v>
      </c>
      <c r="J22" s="287">
        <v>0</v>
      </c>
      <c r="K22" s="288">
        <f t="shared" si="1"/>
        <v>11131.171133012896</v>
      </c>
      <c r="L22" s="289"/>
      <c r="M22" s="289"/>
    </row>
    <row r="23" spans="1:13" ht="18" customHeight="1">
      <c r="A23" s="4" t="s">
        <v>77</v>
      </c>
      <c r="B23" s="347" t="s">
        <v>43</v>
      </c>
      <c r="C23" s="347"/>
      <c r="D23" s="347"/>
      <c r="E23" s="347"/>
      <c r="F23" s="43">
        <v>0</v>
      </c>
      <c r="G23" s="43">
        <v>0</v>
      </c>
      <c r="H23" s="287">
        <v>0</v>
      </c>
      <c r="I23" s="287">
        <f t="shared" si="0"/>
        <v>0</v>
      </c>
      <c r="J23" s="287">
        <v>0</v>
      </c>
      <c r="K23" s="288">
        <f t="shared" si="1"/>
        <v>0</v>
      </c>
      <c r="L23" s="289"/>
      <c r="M23" s="289"/>
    </row>
    <row r="24" spans="1:13" ht="18" customHeight="1">
      <c r="A24" s="4" t="s">
        <v>78</v>
      </c>
      <c r="B24" s="347" t="s">
        <v>44</v>
      </c>
      <c r="C24" s="347"/>
      <c r="D24" s="347"/>
      <c r="E24" s="347"/>
      <c r="F24" s="43">
        <v>1076.8</v>
      </c>
      <c r="G24" s="43">
        <v>2608</v>
      </c>
      <c r="H24" s="287">
        <v>164625</v>
      </c>
      <c r="I24" s="287">
        <f t="shared" si="0"/>
        <v>88583.380236596378</v>
      </c>
      <c r="J24" s="287">
        <v>12548</v>
      </c>
      <c r="K24" s="288">
        <f t="shared" si="1"/>
        <v>240660.38023659639</v>
      </c>
      <c r="L24" s="289"/>
      <c r="M24" s="289"/>
    </row>
    <row r="25" spans="1:13" ht="18" customHeight="1">
      <c r="A25" s="4" t="s">
        <v>79</v>
      </c>
      <c r="B25" s="347" t="s">
        <v>5</v>
      </c>
      <c r="C25" s="347"/>
      <c r="D25" s="347"/>
      <c r="E25" s="347"/>
      <c r="F25" s="43">
        <v>89</v>
      </c>
      <c r="G25" s="43">
        <v>244</v>
      </c>
      <c r="H25" s="287">
        <v>5348</v>
      </c>
      <c r="I25" s="287">
        <f t="shared" si="0"/>
        <v>2877.7155201537885</v>
      </c>
      <c r="J25" s="287">
        <v>0</v>
      </c>
      <c r="K25" s="288">
        <f t="shared" si="1"/>
        <v>8225.715520153788</v>
      </c>
      <c r="L25" s="289"/>
      <c r="M25" s="289"/>
    </row>
    <row r="26" spans="1:13" ht="18" customHeight="1">
      <c r="A26" s="4" t="s">
        <v>80</v>
      </c>
      <c r="B26" s="347" t="s">
        <v>45</v>
      </c>
      <c r="C26" s="347"/>
      <c r="D26" s="347"/>
      <c r="E26" s="347"/>
      <c r="F26" s="43">
        <v>0</v>
      </c>
      <c r="G26" s="43">
        <v>0</v>
      </c>
      <c r="H26" s="287">
        <v>0</v>
      </c>
      <c r="I26" s="287">
        <f t="shared" si="0"/>
        <v>0</v>
      </c>
      <c r="J26" s="287">
        <v>0</v>
      </c>
      <c r="K26" s="288">
        <f t="shared" si="1"/>
        <v>0</v>
      </c>
      <c r="L26" s="289"/>
      <c r="M26" s="289"/>
    </row>
    <row r="27" spans="1:13" ht="18" customHeight="1">
      <c r="A27" s="4" t="s">
        <v>81</v>
      </c>
      <c r="B27" s="347" t="s">
        <v>46</v>
      </c>
      <c r="C27" s="347"/>
      <c r="D27" s="347"/>
      <c r="E27" s="347"/>
      <c r="F27" s="43">
        <v>272</v>
      </c>
      <c r="G27" s="43">
        <v>1088</v>
      </c>
      <c r="H27" s="287">
        <v>112313</v>
      </c>
      <c r="I27" s="287">
        <f t="shared" si="0"/>
        <v>60434.716382765975</v>
      </c>
      <c r="J27" s="287">
        <v>0</v>
      </c>
      <c r="K27" s="288">
        <f t="shared" si="1"/>
        <v>172747.71638276597</v>
      </c>
      <c r="L27" s="289"/>
      <c r="M27" s="289"/>
    </row>
    <row r="28" spans="1:13" ht="18" customHeight="1">
      <c r="A28" s="4" t="s">
        <v>82</v>
      </c>
      <c r="B28" s="347" t="s">
        <v>47</v>
      </c>
      <c r="C28" s="347"/>
      <c r="D28" s="347"/>
      <c r="E28" s="347"/>
      <c r="F28" s="43">
        <v>0</v>
      </c>
      <c r="G28" s="43">
        <v>0</v>
      </c>
      <c r="H28" s="287">
        <v>0</v>
      </c>
      <c r="I28" s="287">
        <f t="shared" si="0"/>
        <v>0</v>
      </c>
      <c r="J28" s="287">
        <v>0</v>
      </c>
      <c r="K28" s="288">
        <f t="shared" si="1"/>
        <v>0</v>
      </c>
      <c r="L28" s="289"/>
      <c r="M28" s="289"/>
    </row>
    <row r="29" spans="1:13" ht="18" customHeight="1">
      <c r="A29" s="4" t="s">
        <v>83</v>
      </c>
      <c r="B29" s="347" t="s">
        <v>48</v>
      </c>
      <c r="C29" s="347"/>
      <c r="D29" s="347"/>
      <c r="E29" s="347"/>
      <c r="F29" s="43">
        <v>20102</v>
      </c>
      <c r="G29" s="43">
        <v>2274</v>
      </c>
      <c r="H29" s="287">
        <v>641932</v>
      </c>
      <c r="I29" s="287">
        <f t="shared" si="0"/>
        <v>345418.41422650742</v>
      </c>
      <c r="J29" s="287">
        <v>0</v>
      </c>
      <c r="K29" s="288">
        <f t="shared" si="1"/>
        <v>987350.41422650742</v>
      </c>
      <c r="L29" s="289"/>
      <c r="M29" s="289"/>
    </row>
    <row r="30" spans="1:13" ht="18" customHeight="1">
      <c r="A30" s="4" t="s">
        <v>84</v>
      </c>
      <c r="B30" s="1038" t="s">
        <v>596</v>
      </c>
      <c r="C30" s="1037"/>
      <c r="D30" s="1037"/>
      <c r="E30" s="347"/>
      <c r="F30" s="43">
        <v>1</v>
      </c>
      <c r="G30" s="43">
        <v>0</v>
      </c>
      <c r="H30" s="287">
        <v>1888</v>
      </c>
      <c r="I30" s="287">
        <f t="shared" si="0"/>
        <v>1015.9175209518236</v>
      </c>
      <c r="J30" s="287">
        <v>0</v>
      </c>
      <c r="K30" s="288">
        <f t="shared" si="1"/>
        <v>2903.9175209518235</v>
      </c>
      <c r="L30" s="289"/>
      <c r="M30" s="289"/>
    </row>
    <row r="31" spans="1:13" ht="18" customHeight="1">
      <c r="A31" s="4" t="s">
        <v>133</v>
      </c>
      <c r="B31" s="1037"/>
      <c r="C31" s="1037"/>
      <c r="D31" s="1037"/>
      <c r="E31" s="347"/>
      <c r="F31" s="341"/>
      <c r="G31" s="341"/>
      <c r="H31" s="689"/>
      <c r="I31" s="689"/>
      <c r="J31" s="689"/>
      <c r="K31" s="690"/>
      <c r="L31" s="289"/>
      <c r="M31" s="289"/>
    </row>
    <row r="32" spans="1:13" ht="18" customHeight="1">
      <c r="A32" s="4" t="s">
        <v>134</v>
      </c>
      <c r="B32" s="346"/>
      <c r="C32" s="346"/>
      <c r="D32" s="346"/>
      <c r="E32" s="347"/>
      <c r="F32" s="341"/>
      <c r="G32" s="691" t="s">
        <v>85</v>
      </c>
      <c r="H32" s="689"/>
      <c r="I32" s="689"/>
      <c r="J32" s="689"/>
      <c r="K32" s="690"/>
      <c r="L32" s="289"/>
      <c r="M32" s="289"/>
    </row>
    <row r="33" spans="1:13" ht="18" customHeight="1">
      <c r="A33" s="4" t="s">
        <v>135</v>
      </c>
      <c r="B33" s="346"/>
      <c r="C33" s="346"/>
      <c r="D33" s="346"/>
      <c r="E33" s="347"/>
      <c r="F33" s="341"/>
      <c r="G33" s="691" t="s">
        <v>85</v>
      </c>
      <c r="H33" s="689"/>
      <c r="I33" s="689"/>
      <c r="J33" s="689"/>
      <c r="K33" s="690"/>
      <c r="L33" s="289"/>
      <c r="M33" s="289"/>
    </row>
    <row r="34" spans="1:13" ht="18" customHeight="1">
      <c r="A34" s="4" t="s">
        <v>136</v>
      </c>
      <c r="B34" s="1039"/>
      <c r="C34" s="1039"/>
      <c r="D34" s="1039"/>
      <c r="E34" s="347"/>
      <c r="F34" s="341"/>
      <c r="G34" s="691" t="s">
        <v>85</v>
      </c>
      <c r="H34" s="689"/>
      <c r="I34" s="689"/>
      <c r="J34" s="689"/>
      <c r="K34" s="690"/>
      <c r="L34" s="289"/>
      <c r="M34" s="289"/>
    </row>
    <row r="35" spans="1:13" ht="18" customHeight="1">
      <c r="B35" s="347"/>
      <c r="C35" s="347"/>
      <c r="D35" s="347"/>
      <c r="E35" s="347"/>
      <c r="F35" s="347"/>
      <c r="G35" s="347"/>
      <c r="H35" s="692"/>
      <c r="I35" s="347"/>
      <c r="J35" s="347"/>
      <c r="K35" s="693"/>
      <c r="L35" s="9"/>
    </row>
    <row r="36" spans="1:13" ht="18" customHeight="1">
      <c r="A36" s="5" t="s">
        <v>137</v>
      </c>
      <c r="B36" s="686" t="s">
        <v>138</v>
      </c>
      <c r="C36" s="347"/>
      <c r="D36" s="347"/>
      <c r="E36" s="686" t="s">
        <v>7</v>
      </c>
      <c r="F36" s="694">
        <f t="shared" ref="F36:K36" si="2">SUM(F21:F34)</f>
        <v>26579.8</v>
      </c>
      <c r="G36" s="694">
        <f t="shared" si="2"/>
        <v>22218</v>
      </c>
      <c r="H36" s="694">
        <f t="shared" si="2"/>
        <v>1308164</v>
      </c>
      <c r="I36" s="288">
        <f t="shared" si="2"/>
        <v>703912.46180001134</v>
      </c>
      <c r="J36" s="288">
        <f t="shared" si="2"/>
        <v>101373</v>
      </c>
      <c r="K36" s="288">
        <f t="shared" si="2"/>
        <v>1910703.4618000111</v>
      </c>
    </row>
    <row r="37" spans="1:13" ht="18" customHeight="1">
      <c r="B37" s="686"/>
      <c r="C37" s="347"/>
      <c r="D37" s="347"/>
      <c r="E37" s="347"/>
      <c r="F37" s="695"/>
      <c r="G37" s="695"/>
      <c r="H37" s="696"/>
      <c r="I37" s="696"/>
      <c r="J37" s="696"/>
      <c r="K37" s="696"/>
      <c r="L37" s="9"/>
    </row>
    <row r="38" spans="1:13" ht="42.75" customHeight="1">
      <c r="B38" s="347"/>
      <c r="C38" s="347"/>
      <c r="D38" s="347"/>
      <c r="E38" s="347"/>
      <c r="F38" s="697" t="s">
        <v>9</v>
      </c>
      <c r="G38" s="697" t="s">
        <v>37</v>
      </c>
      <c r="H38" s="697" t="s">
        <v>29</v>
      </c>
      <c r="I38" s="697" t="s">
        <v>30</v>
      </c>
      <c r="J38" s="697" t="s">
        <v>33</v>
      </c>
      <c r="K38" s="697" t="s">
        <v>34</v>
      </c>
    </row>
    <row r="39" spans="1:13" ht="18.75" customHeight="1">
      <c r="A39" s="5" t="s">
        <v>86</v>
      </c>
      <c r="B39" s="686" t="s">
        <v>49</v>
      </c>
      <c r="C39" s="347"/>
      <c r="D39" s="347"/>
      <c r="E39" s="347"/>
      <c r="F39" s="347"/>
      <c r="G39" s="347"/>
      <c r="H39" s="692"/>
      <c r="I39" s="347"/>
      <c r="J39" s="347"/>
      <c r="K39" s="347"/>
    </row>
    <row r="40" spans="1:13" ht="18" customHeight="1">
      <c r="A40" s="4" t="s">
        <v>87</v>
      </c>
      <c r="B40" s="347" t="s">
        <v>31</v>
      </c>
      <c r="C40" s="347"/>
      <c r="D40" s="347"/>
      <c r="E40" s="347"/>
      <c r="F40" s="43">
        <v>748.5</v>
      </c>
      <c r="G40" s="43">
        <v>3867</v>
      </c>
      <c r="H40" s="287">
        <v>77303</v>
      </c>
      <c r="I40" s="287">
        <f>+H40*'[15]Indirect Cost Ratio'!$E$23</f>
        <v>18739.176363819704</v>
      </c>
      <c r="J40" s="287">
        <v>0</v>
      </c>
      <c r="K40" s="288">
        <f>(H40+I40)-J40</f>
        <v>96042.176363819701</v>
      </c>
      <c r="L40" s="289"/>
      <c r="M40" s="289"/>
    </row>
    <row r="41" spans="1:13" ht="18" customHeight="1">
      <c r="A41" s="4" t="s">
        <v>88</v>
      </c>
      <c r="B41" s="1040" t="s">
        <v>50</v>
      </c>
      <c r="C41" s="1041"/>
      <c r="D41" s="347"/>
      <c r="E41" s="347"/>
      <c r="F41" s="43">
        <v>17266</v>
      </c>
      <c r="G41" s="43">
        <v>244</v>
      </c>
      <c r="H41" s="287">
        <f>959781+('[16]Budget Sheet'!$B$61-'[17]Input Info'!$F$108)</f>
        <v>1792654.7847006563</v>
      </c>
      <c r="I41" s="287">
        <f>+H41*'[15]Indirect Cost Ratio'!$E$23</f>
        <v>434561.06709895917</v>
      </c>
      <c r="J41" s="287">
        <v>0</v>
      </c>
      <c r="K41" s="288">
        <f>(H41+I41)-J41</f>
        <v>2227215.8517996157</v>
      </c>
      <c r="L41" s="289"/>
      <c r="M41" s="289"/>
    </row>
    <row r="42" spans="1:13" ht="18" customHeight="1">
      <c r="A42" s="4" t="s">
        <v>89</v>
      </c>
      <c r="B42" s="687" t="s">
        <v>11</v>
      </c>
      <c r="C42" s="347"/>
      <c r="D42" s="347"/>
      <c r="E42" s="347"/>
      <c r="F42" s="43">
        <v>8263</v>
      </c>
      <c r="G42" s="43">
        <v>55</v>
      </c>
      <c r="H42" s="287">
        <v>458716</v>
      </c>
      <c r="I42" s="287">
        <f>+H42*'[15]Indirect Cost Ratio'!$E$23</f>
        <v>111198.27205808209</v>
      </c>
      <c r="J42" s="287">
        <v>12548</v>
      </c>
      <c r="K42" s="288">
        <f>(H42+I42)-J42</f>
        <v>557366.27205808205</v>
      </c>
      <c r="L42" s="289"/>
      <c r="M42" s="289"/>
    </row>
    <row r="43" spans="1:13" ht="18" customHeight="1">
      <c r="A43" s="4" t="s">
        <v>90</v>
      </c>
      <c r="B43" s="698" t="s">
        <v>10</v>
      </c>
      <c r="C43" s="21"/>
      <c r="D43" s="21"/>
      <c r="E43" s="347"/>
      <c r="F43" s="43">
        <v>48</v>
      </c>
      <c r="G43" s="43">
        <v>34</v>
      </c>
      <c r="H43" s="287">
        <v>3511</v>
      </c>
      <c r="I43" s="287">
        <v>0</v>
      </c>
      <c r="J43" s="287">
        <v>0</v>
      </c>
      <c r="K43" s="288">
        <f>(H43+I43)-J43</f>
        <v>3511</v>
      </c>
      <c r="L43" s="289"/>
      <c r="M43" s="289"/>
    </row>
    <row r="44" spans="1:13" ht="18" customHeight="1">
      <c r="A44" s="4" t="s">
        <v>91</v>
      </c>
      <c r="B44" s="1037" t="s">
        <v>339</v>
      </c>
      <c r="C44" s="1037"/>
      <c r="D44" s="1037"/>
      <c r="E44" s="347"/>
      <c r="F44" s="43">
        <v>12181</v>
      </c>
      <c r="G44" s="43">
        <v>1378</v>
      </c>
      <c r="H44" s="45">
        <v>575805</v>
      </c>
      <c r="I44" s="287">
        <f>+H44*'[15]Indirect Cost Ratio'!$E$23</f>
        <v>139582.05304023394</v>
      </c>
      <c r="J44" s="287">
        <v>0</v>
      </c>
      <c r="K44" s="45">
        <f>(H44+I44)-J44</f>
        <v>715387.05304023391</v>
      </c>
      <c r="L44" s="289"/>
      <c r="M44" s="289"/>
    </row>
    <row r="45" spans="1:13" ht="18" customHeight="1">
      <c r="A45" s="4" t="s">
        <v>139</v>
      </c>
      <c r="B45" s="1037"/>
      <c r="C45" s="1037"/>
      <c r="D45" s="1037"/>
      <c r="E45" s="347"/>
      <c r="F45" s="341"/>
      <c r="G45" s="341"/>
      <c r="H45" s="689"/>
      <c r="I45" s="689"/>
      <c r="J45" s="689"/>
      <c r="K45" s="690"/>
    </row>
    <row r="46" spans="1:13" ht="18" customHeight="1">
      <c r="A46" s="4" t="s">
        <v>140</v>
      </c>
      <c r="B46" s="1037"/>
      <c r="C46" s="1037"/>
      <c r="D46" s="1037"/>
      <c r="E46" s="347"/>
      <c r="F46" s="341"/>
      <c r="G46" s="341"/>
      <c r="H46" s="689"/>
      <c r="I46" s="689"/>
      <c r="J46" s="689"/>
      <c r="K46" s="690"/>
    </row>
    <row r="47" spans="1:13" ht="18" customHeight="1">
      <c r="A47" s="4" t="s">
        <v>141</v>
      </c>
      <c r="B47" s="1037"/>
      <c r="C47" s="1037"/>
      <c r="D47" s="1037"/>
      <c r="E47" s="347"/>
      <c r="F47" s="341"/>
      <c r="G47" s="341"/>
      <c r="H47" s="689"/>
      <c r="I47" s="689"/>
      <c r="J47" s="689"/>
      <c r="K47" s="690"/>
    </row>
    <row r="48" spans="1:13" ht="18" customHeight="1">
      <c r="B48" s="347"/>
      <c r="C48" s="347"/>
      <c r="D48" s="347"/>
      <c r="E48" s="347"/>
      <c r="F48" s="347"/>
      <c r="G48" s="347"/>
      <c r="H48" s="347"/>
      <c r="I48" s="347"/>
      <c r="J48" s="347"/>
      <c r="K48" s="347"/>
    </row>
    <row r="49" spans="1:18" ht="18" customHeight="1">
      <c r="A49" s="5" t="s">
        <v>142</v>
      </c>
      <c r="B49" s="686" t="s">
        <v>143</v>
      </c>
      <c r="C49" s="347"/>
      <c r="D49" s="347"/>
      <c r="E49" s="686" t="s">
        <v>7</v>
      </c>
      <c r="F49" s="699">
        <f t="shared" ref="F49:K49" si="3">SUM(F40:F47)</f>
        <v>38506.5</v>
      </c>
      <c r="G49" s="699">
        <f t="shared" si="3"/>
        <v>5578</v>
      </c>
      <c r="H49" s="288">
        <f t="shared" si="3"/>
        <v>2907989.7847006563</v>
      </c>
      <c r="I49" s="288">
        <f t="shared" si="3"/>
        <v>704080.56856109481</v>
      </c>
      <c r="J49" s="288">
        <f t="shared" si="3"/>
        <v>12548</v>
      </c>
      <c r="K49" s="288">
        <f t="shared" si="3"/>
        <v>3599522.3532617516</v>
      </c>
    </row>
    <row r="50" spans="1:18" ht="18" customHeight="1">
      <c r="B50" s="347"/>
      <c r="C50" s="347"/>
      <c r="D50" s="347"/>
      <c r="E50" s="347"/>
      <c r="F50" s="347"/>
      <c r="G50" s="700"/>
      <c r="H50" s="700"/>
      <c r="I50" s="700"/>
      <c r="J50" s="700"/>
      <c r="K50" s="700"/>
    </row>
    <row r="51" spans="1:18" ht="42.75" customHeight="1">
      <c r="B51" s="347"/>
      <c r="C51" s="347"/>
      <c r="D51" s="347"/>
      <c r="E51" s="347"/>
      <c r="F51" s="685" t="s">
        <v>9</v>
      </c>
      <c r="G51" s="685" t="s">
        <v>37</v>
      </c>
      <c r="H51" s="685" t="s">
        <v>29</v>
      </c>
      <c r="I51" s="685" t="s">
        <v>30</v>
      </c>
      <c r="J51" s="685" t="s">
        <v>33</v>
      </c>
      <c r="K51" s="685" t="s">
        <v>34</v>
      </c>
    </row>
    <row r="52" spans="1:18" ht="18" customHeight="1">
      <c r="A52" s="5" t="s">
        <v>92</v>
      </c>
      <c r="B52" s="1047" t="s">
        <v>38</v>
      </c>
      <c r="C52" s="1048"/>
      <c r="D52" s="347"/>
      <c r="E52" s="347"/>
      <c r="F52" s="347"/>
      <c r="G52" s="347"/>
      <c r="H52" s="347"/>
      <c r="I52" s="347"/>
      <c r="J52" s="347"/>
      <c r="K52" s="347"/>
    </row>
    <row r="53" spans="1:18" ht="18" customHeight="1">
      <c r="A53" s="4" t="s">
        <v>51</v>
      </c>
      <c r="B53" s="1037" t="s">
        <v>597</v>
      </c>
      <c r="C53" s="1037"/>
      <c r="D53" s="1037"/>
      <c r="E53" s="347"/>
      <c r="F53" s="43">
        <v>0</v>
      </c>
      <c r="G53" s="43">
        <v>0</v>
      </c>
      <c r="H53" s="287">
        <f>+'[18]RCE calc'!$E$52</f>
        <v>519730</v>
      </c>
      <c r="I53" s="44">
        <f>+H53*'[15]Indirect Cost Ratio'!$E$23</f>
        <v>125988.79903196532</v>
      </c>
      <c r="J53" s="287">
        <f>+'[18]RCE calc'!$F$52</f>
        <v>401290.56</v>
      </c>
      <c r="K53" s="288">
        <f t="shared" ref="K53:K69" si="4">(H53+I53)-J53</f>
        <v>244428.23903196532</v>
      </c>
      <c r="L53" s="289"/>
      <c r="M53" s="701"/>
      <c r="R53" s="257"/>
    </row>
    <row r="54" spans="1:18" ht="18" customHeight="1">
      <c r="A54" s="4" t="s">
        <v>93</v>
      </c>
      <c r="B54" s="702" t="s">
        <v>598</v>
      </c>
      <c r="C54" s="702"/>
      <c r="D54" s="702"/>
      <c r="E54" s="347"/>
      <c r="F54" s="43">
        <v>0</v>
      </c>
      <c r="G54" s="43">
        <v>0</v>
      </c>
      <c r="H54" s="287">
        <f>+[19]Statement!$I$26</f>
        <v>218924.9</v>
      </c>
      <c r="I54" s="44">
        <v>0</v>
      </c>
      <c r="J54" s="287">
        <v>0</v>
      </c>
      <c r="K54" s="288">
        <f t="shared" si="4"/>
        <v>218924.9</v>
      </c>
      <c r="L54" s="289"/>
      <c r="M54" s="701"/>
    </row>
    <row r="55" spans="1:18" ht="18" customHeight="1">
      <c r="A55" s="4" t="s">
        <v>94</v>
      </c>
      <c r="B55" s="1037" t="s">
        <v>599</v>
      </c>
      <c r="C55" s="1037"/>
      <c r="D55" s="1037"/>
      <c r="E55" s="347"/>
      <c r="F55" s="43">
        <v>1703</v>
      </c>
      <c r="G55" s="43">
        <v>10355</v>
      </c>
      <c r="H55" s="287">
        <f>+[20]Statement!$I$26</f>
        <v>142339.68000000002</v>
      </c>
      <c r="I55" s="44">
        <f>H55*F$121</f>
        <v>76591.829893366463</v>
      </c>
      <c r="J55" s="287">
        <f>+[20]Statement!$I$19</f>
        <v>26245.89</v>
      </c>
      <c r="K55" s="288">
        <f t="shared" si="4"/>
        <v>192685.61989336647</v>
      </c>
      <c r="L55" s="289"/>
      <c r="M55" s="701"/>
    </row>
    <row r="56" spans="1:18" ht="18" customHeight="1">
      <c r="A56" s="4" t="s">
        <v>95</v>
      </c>
      <c r="B56" s="1037" t="s">
        <v>600</v>
      </c>
      <c r="C56" s="1037"/>
      <c r="D56" s="1037"/>
      <c r="E56" s="347"/>
      <c r="F56" s="43">
        <v>0</v>
      </c>
      <c r="G56" s="43">
        <v>0</v>
      </c>
      <c r="H56" s="287">
        <f>+'[21]Monthly Comparison'!$H$7</f>
        <v>236600</v>
      </c>
      <c r="I56" s="44">
        <v>0</v>
      </c>
      <c r="J56" s="287">
        <v>0</v>
      </c>
      <c r="K56" s="288">
        <f t="shared" si="4"/>
        <v>236600</v>
      </c>
      <c r="L56" s="289"/>
      <c r="M56" s="701"/>
    </row>
    <row r="57" spans="1:18" ht="18" customHeight="1">
      <c r="A57" s="4" t="s">
        <v>96</v>
      </c>
      <c r="B57" s="1037" t="s">
        <v>601</v>
      </c>
      <c r="C57" s="1037"/>
      <c r="D57" s="1037"/>
      <c r="E57" s="347"/>
      <c r="F57" s="43">
        <v>0</v>
      </c>
      <c r="G57" s="43">
        <v>0</v>
      </c>
      <c r="H57" s="287">
        <f>+IFERROR(VLOOKUP(B57,[22]Rollups!$J$12:$K$25,2,FALSE),0)</f>
        <v>244450</v>
      </c>
      <c r="I57" s="44">
        <v>0</v>
      </c>
      <c r="J57" s="287">
        <v>0</v>
      </c>
      <c r="K57" s="288">
        <f t="shared" si="4"/>
        <v>244450</v>
      </c>
      <c r="L57" s="289"/>
      <c r="M57" s="701"/>
    </row>
    <row r="58" spans="1:18" ht="18" customHeight="1">
      <c r="A58" s="4" t="s">
        <v>97</v>
      </c>
      <c r="B58" s="702" t="s">
        <v>602</v>
      </c>
      <c r="C58" s="702"/>
      <c r="D58" s="702"/>
      <c r="E58" s="347"/>
      <c r="F58" s="43">
        <v>0</v>
      </c>
      <c r="G58" s="43">
        <v>0</v>
      </c>
      <c r="H58" s="287">
        <f>+'[23]BHU Breakdown'!$P$18</f>
        <v>229600</v>
      </c>
      <c r="I58" s="44">
        <v>0</v>
      </c>
      <c r="J58" s="287">
        <v>0</v>
      </c>
      <c r="K58" s="288">
        <f t="shared" si="4"/>
        <v>229600</v>
      </c>
      <c r="L58" s="289"/>
      <c r="M58" s="701"/>
    </row>
    <row r="59" spans="1:18" ht="18" customHeight="1">
      <c r="A59" s="4" t="s">
        <v>98</v>
      </c>
      <c r="B59" s="1037" t="s">
        <v>603</v>
      </c>
      <c r="C59" s="1037"/>
      <c r="D59" s="1037"/>
      <c r="E59" s="347"/>
      <c r="F59" s="43">
        <v>0</v>
      </c>
      <c r="G59" s="43">
        <v>0</v>
      </c>
      <c r="H59" s="287">
        <f>+'[21]Monthly Comparison'!$H$9+'[21]Monthly Comparison'!$H$10</f>
        <v>374818.39</v>
      </c>
      <c r="I59" s="44">
        <v>0</v>
      </c>
      <c r="J59" s="287">
        <v>0</v>
      </c>
      <c r="K59" s="288">
        <f t="shared" si="4"/>
        <v>374818.39</v>
      </c>
      <c r="L59" s="289"/>
      <c r="M59" s="701"/>
    </row>
    <row r="60" spans="1:18" ht="18" customHeight="1">
      <c r="A60" s="4" t="s">
        <v>99</v>
      </c>
      <c r="B60" s="702" t="s">
        <v>604</v>
      </c>
      <c r="C60" s="702"/>
      <c r="D60" s="702"/>
      <c r="E60" s="347"/>
      <c r="F60" s="43">
        <v>0</v>
      </c>
      <c r="G60" s="43">
        <v>0</v>
      </c>
      <c r="H60" s="287">
        <v>437710</v>
      </c>
      <c r="I60" s="44">
        <v>0</v>
      </c>
      <c r="J60" s="287">
        <v>0</v>
      </c>
      <c r="K60" s="288">
        <f t="shared" si="4"/>
        <v>437710</v>
      </c>
      <c r="L60" s="289"/>
      <c r="M60" s="701"/>
    </row>
    <row r="61" spans="1:18" ht="18" customHeight="1">
      <c r="A61" s="4" t="s">
        <v>884</v>
      </c>
      <c r="B61" s="703" t="s">
        <v>885</v>
      </c>
      <c r="C61" s="702"/>
      <c r="D61" s="702"/>
      <c r="E61" s="347"/>
      <c r="F61" s="43">
        <v>0</v>
      </c>
      <c r="G61" s="43">
        <v>0</v>
      </c>
      <c r="H61" s="287">
        <f>+'[21]Monthly Comparison'!$H$20</f>
        <v>54600</v>
      </c>
      <c r="I61" s="44">
        <v>0</v>
      </c>
      <c r="J61" s="287">
        <v>0</v>
      </c>
      <c r="K61" s="288">
        <f>(H61+I61)-J61</f>
        <v>54600</v>
      </c>
      <c r="L61" s="289"/>
      <c r="M61" s="701"/>
    </row>
    <row r="62" spans="1:18" ht="18" customHeight="1">
      <c r="A62" s="4" t="s">
        <v>100</v>
      </c>
      <c r="B62" s="702" t="s">
        <v>605</v>
      </c>
      <c r="C62" s="702"/>
      <c r="D62" s="702"/>
      <c r="E62" s="347"/>
      <c r="F62" s="43">
        <v>0</v>
      </c>
      <c r="G62" s="43">
        <v>0</v>
      </c>
      <c r="H62" s="287">
        <f>+'[21]Monthly Comparison'!$H$19</f>
        <v>365004</v>
      </c>
      <c r="I62" s="44">
        <v>0</v>
      </c>
      <c r="J62" s="287">
        <v>0</v>
      </c>
      <c r="K62" s="288">
        <f t="shared" si="4"/>
        <v>365004</v>
      </c>
      <c r="L62" s="289"/>
      <c r="M62" s="701"/>
    </row>
    <row r="63" spans="1:18" ht="18" customHeight="1">
      <c r="A63" s="4" t="s">
        <v>101</v>
      </c>
      <c r="B63" s="703" t="s">
        <v>886</v>
      </c>
      <c r="C63" s="702"/>
      <c r="D63" s="702"/>
      <c r="E63" s="347"/>
      <c r="F63" s="43">
        <v>0</v>
      </c>
      <c r="G63" s="43">
        <v>0</v>
      </c>
      <c r="H63" s="287">
        <f>+'[21]Monthly Comparison'!$H$12</f>
        <v>24700</v>
      </c>
      <c r="I63" s="44">
        <v>0</v>
      </c>
      <c r="J63" s="287">
        <v>0</v>
      </c>
      <c r="K63" s="288">
        <f t="shared" si="4"/>
        <v>24700</v>
      </c>
      <c r="L63" s="289"/>
      <c r="M63" s="701"/>
    </row>
    <row r="64" spans="1:18" ht="18" customHeight="1">
      <c r="A64" s="4" t="s">
        <v>357</v>
      </c>
      <c r="B64" s="702" t="s">
        <v>887</v>
      </c>
      <c r="C64" s="702"/>
      <c r="D64" s="702"/>
      <c r="E64" s="347"/>
      <c r="F64" s="43">
        <v>0</v>
      </c>
      <c r="G64" s="43">
        <v>0</v>
      </c>
      <c r="H64" s="287">
        <f>+IFERROR(VLOOKUP(B64,[22]Rollups!$J$12:$K$25,2,FALSE),0)</f>
        <v>0</v>
      </c>
      <c r="I64" s="44">
        <v>0</v>
      </c>
      <c r="J64" s="287">
        <v>0</v>
      </c>
      <c r="K64" s="288">
        <f t="shared" si="4"/>
        <v>0</v>
      </c>
      <c r="L64" s="289"/>
      <c r="M64" s="701"/>
    </row>
    <row r="65" spans="1:13" ht="18" customHeight="1">
      <c r="A65" s="4" t="s">
        <v>796</v>
      </c>
      <c r="B65" s="702" t="s">
        <v>888</v>
      </c>
      <c r="C65" s="702"/>
      <c r="D65" s="702"/>
      <c r="E65" s="347"/>
      <c r="F65" s="43">
        <v>0</v>
      </c>
      <c r="G65" s="43">
        <v>0</v>
      </c>
      <c r="H65" s="287">
        <f>+'[21]Monthly Comparison'!$H$8</f>
        <v>33000</v>
      </c>
      <c r="I65" s="44">
        <v>0</v>
      </c>
      <c r="J65" s="287">
        <v>0</v>
      </c>
      <c r="K65" s="288">
        <f t="shared" si="4"/>
        <v>33000</v>
      </c>
      <c r="L65" s="289"/>
      <c r="M65" s="701"/>
    </row>
    <row r="66" spans="1:13" ht="18" customHeight="1">
      <c r="A66" s="4" t="s">
        <v>889</v>
      </c>
      <c r="B66" s="702" t="s">
        <v>890</v>
      </c>
      <c r="C66" s="702"/>
      <c r="D66" s="702"/>
      <c r="E66" s="347"/>
      <c r="F66" s="43">
        <v>0</v>
      </c>
      <c r="G66" s="43">
        <v>0</v>
      </c>
      <c r="H66" s="287">
        <f>+IFERROR(VLOOKUP(B66,[22]Rollups!$J$12:$K$25,2,FALSE),0)</f>
        <v>225996</v>
      </c>
      <c r="I66" s="44">
        <v>0</v>
      </c>
      <c r="J66" s="287">
        <v>0</v>
      </c>
      <c r="K66" s="288">
        <f t="shared" si="4"/>
        <v>225996</v>
      </c>
      <c r="L66" s="289"/>
      <c r="M66" s="701"/>
    </row>
    <row r="67" spans="1:13" ht="18" customHeight="1">
      <c r="A67" s="4" t="s">
        <v>891</v>
      </c>
      <c r="B67" s="703" t="s">
        <v>892</v>
      </c>
      <c r="C67" s="702"/>
      <c r="D67" s="702"/>
      <c r="E67" s="347"/>
      <c r="F67" s="43">
        <v>0</v>
      </c>
      <c r="G67" s="43">
        <v>0</v>
      </c>
      <c r="H67" s="287">
        <v>4777179.3499999996</v>
      </c>
      <c r="I67" s="44">
        <v>0</v>
      </c>
      <c r="J67" s="287">
        <v>0</v>
      </c>
      <c r="K67" s="288">
        <f t="shared" si="4"/>
        <v>4777179.3499999996</v>
      </c>
      <c r="L67" s="289"/>
      <c r="M67" s="701"/>
    </row>
    <row r="68" spans="1:13" ht="18" customHeight="1">
      <c r="A68" s="345" t="s">
        <v>893</v>
      </c>
      <c r="B68" s="703" t="s">
        <v>894</v>
      </c>
      <c r="C68" s="702"/>
      <c r="D68" s="702"/>
      <c r="E68" s="347"/>
      <c r="F68" s="43">
        <v>0</v>
      </c>
      <c r="G68" s="43">
        <v>0</v>
      </c>
      <c r="H68" s="287">
        <f>+'[22]CO Line Item Detail'!$U$922</f>
        <v>233539</v>
      </c>
      <c r="I68" s="44">
        <v>0</v>
      </c>
      <c r="J68" s="287">
        <v>0</v>
      </c>
      <c r="K68" s="288">
        <f t="shared" si="4"/>
        <v>233539</v>
      </c>
      <c r="L68" s="289"/>
      <c r="M68" s="701"/>
    </row>
    <row r="69" spans="1:13" ht="18" customHeight="1">
      <c r="A69" s="4" t="s">
        <v>895</v>
      </c>
      <c r="B69" s="1038" t="s">
        <v>896</v>
      </c>
      <c r="C69" s="1037"/>
      <c r="D69" s="1037"/>
      <c r="E69" s="347"/>
      <c r="F69" s="43">
        <v>0</v>
      </c>
      <c r="G69" s="43">
        <v>0</v>
      </c>
      <c r="H69" s="287">
        <f>+'[22]CO Line Item Detail'!$U$921+'[22]CO Line Item Detail'!$U$870</f>
        <v>423958</v>
      </c>
      <c r="I69" s="44">
        <v>0</v>
      </c>
      <c r="J69" s="287">
        <f>-'[32]CO Line Item Detail'!$T$19</f>
        <v>287887.38</v>
      </c>
      <c r="K69" s="288">
        <f t="shared" si="4"/>
        <v>136070.62</v>
      </c>
      <c r="L69" s="289"/>
      <c r="M69" s="701"/>
    </row>
    <row r="70" spans="1:13" ht="18" customHeight="1">
      <c r="A70" s="4"/>
      <c r="B70" s="347"/>
      <c r="C70" s="347"/>
      <c r="D70" s="347"/>
      <c r="E70" s="347"/>
      <c r="F70" s="347"/>
      <c r="G70" s="347"/>
      <c r="H70" s="347"/>
      <c r="I70" s="704"/>
      <c r="J70" s="347"/>
      <c r="K70" s="347"/>
    </row>
    <row r="71" spans="1:13" ht="18" customHeight="1">
      <c r="A71" s="4" t="s">
        <v>144</v>
      </c>
      <c r="B71" s="686" t="s">
        <v>145</v>
      </c>
      <c r="C71" s="347"/>
      <c r="D71" s="347"/>
      <c r="E71" s="686" t="s">
        <v>7</v>
      </c>
      <c r="F71" s="694">
        <f t="shared" ref="F71:K71" si="5">SUM(F53:F69)</f>
        <v>1703</v>
      </c>
      <c r="G71" s="694">
        <f t="shared" si="5"/>
        <v>10355</v>
      </c>
      <c r="H71" s="288">
        <f t="shared" si="5"/>
        <v>8542149.3200000003</v>
      </c>
      <c r="I71" s="288">
        <f t="shared" si="5"/>
        <v>202580.62892533178</v>
      </c>
      <c r="J71" s="288">
        <f t="shared" si="5"/>
        <v>715423.83000000007</v>
      </c>
      <c r="K71" s="288">
        <f t="shared" si="5"/>
        <v>8029306.1189253321</v>
      </c>
    </row>
    <row r="72" spans="1:13" ht="18" customHeight="1">
      <c r="B72" s="347"/>
      <c r="C72" s="347"/>
      <c r="D72" s="347"/>
      <c r="E72" s="347"/>
      <c r="F72" s="700"/>
      <c r="G72" s="700"/>
      <c r="H72" s="700"/>
      <c r="I72" s="700"/>
      <c r="J72" s="700"/>
      <c r="K72" s="700"/>
    </row>
    <row r="73" spans="1:13" ht="42.75" customHeight="1">
      <c r="B73" s="347"/>
      <c r="C73" s="347"/>
      <c r="D73" s="347"/>
      <c r="E73" s="347"/>
      <c r="F73" s="697" t="s">
        <v>9</v>
      </c>
      <c r="G73" s="697" t="s">
        <v>37</v>
      </c>
      <c r="H73" s="697" t="s">
        <v>29</v>
      </c>
      <c r="I73" s="697" t="s">
        <v>30</v>
      </c>
      <c r="J73" s="697" t="s">
        <v>33</v>
      </c>
      <c r="K73" s="697" t="s">
        <v>34</v>
      </c>
    </row>
    <row r="74" spans="1:13" ht="18" customHeight="1">
      <c r="A74" s="5" t="s">
        <v>102</v>
      </c>
      <c r="B74" s="686" t="s">
        <v>12</v>
      </c>
      <c r="C74" s="347"/>
      <c r="D74" s="347"/>
      <c r="E74" s="347"/>
      <c r="F74" s="21"/>
      <c r="G74" s="21"/>
      <c r="H74" s="21"/>
      <c r="I74" s="705"/>
      <c r="J74" s="21"/>
      <c r="K74" s="690"/>
    </row>
    <row r="75" spans="1:13" ht="18" customHeight="1">
      <c r="A75" s="4" t="s">
        <v>103</v>
      </c>
      <c r="B75" s="347" t="s">
        <v>52</v>
      </c>
      <c r="C75" s="347"/>
      <c r="D75" s="347"/>
      <c r="E75" s="347"/>
      <c r="F75" s="706">
        <v>0</v>
      </c>
      <c r="G75" s="707">
        <v>0</v>
      </c>
      <c r="H75" s="45">
        <f>+[24]Pivot!$J$14</f>
        <v>4091382.53</v>
      </c>
      <c r="I75" s="287">
        <v>0</v>
      </c>
      <c r="J75" s="45">
        <f>+H75</f>
        <v>4091382.53</v>
      </c>
      <c r="K75" s="288">
        <f>(H75+I75)-J75</f>
        <v>0</v>
      </c>
      <c r="M75" s="708"/>
    </row>
    <row r="76" spans="1:13" ht="18" customHeight="1">
      <c r="A76" s="4" t="s">
        <v>104</v>
      </c>
      <c r="B76" s="687" t="s">
        <v>53</v>
      </c>
      <c r="C76" s="347"/>
      <c r="D76" s="347"/>
      <c r="E76" s="347"/>
      <c r="F76" s="707">
        <v>0</v>
      </c>
      <c r="G76" s="707">
        <v>0</v>
      </c>
      <c r="H76" s="707">
        <v>0</v>
      </c>
      <c r="I76" s="287">
        <v>0</v>
      </c>
      <c r="J76" s="707">
        <v>0</v>
      </c>
      <c r="K76" s="288">
        <f>(H76+I76)-J76</f>
        <v>0</v>
      </c>
      <c r="M76" s="1"/>
    </row>
    <row r="77" spans="1:13" ht="18" customHeight="1">
      <c r="A77" s="4" t="s">
        <v>178</v>
      </c>
      <c r="B77" s="702"/>
      <c r="C77" s="702"/>
      <c r="D77" s="702"/>
      <c r="E77" s="709"/>
      <c r="F77" s="341"/>
      <c r="G77" s="341"/>
      <c r="H77" s="689"/>
      <c r="I77" s="689"/>
      <c r="J77" s="689"/>
      <c r="K77" s="690"/>
    </row>
    <row r="78" spans="1:13" ht="18" customHeight="1">
      <c r="A78" s="4" t="s">
        <v>179</v>
      </c>
      <c r="B78" s="702"/>
      <c r="C78" s="702"/>
      <c r="D78" s="702"/>
      <c r="E78" s="709"/>
      <c r="F78" s="341"/>
      <c r="G78" s="341"/>
      <c r="H78" s="689"/>
      <c r="I78" s="689"/>
      <c r="J78" s="689"/>
      <c r="K78" s="690"/>
    </row>
    <row r="79" spans="1:13" ht="18" customHeight="1">
      <c r="A79" s="4" t="s">
        <v>180</v>
      </c>
      <c r="B79" s="702"/>
      <c r="C79" s="702"/>
      <c r="D79" s="702"/>
      <c r="E79" s="709"/>
      <c r="F79" s="341"/>
      <c r="G79" s="341"/>
      <c r="H79" s="689"/>
      <c r="I79" s="689"/>
      <c r="J79" s="689"/>
      <c r="K79" s="690"/>
    </row>
    <row r="80" spans="1:13" ht="18" customHeight="1">
      <c r="A80" s="4"/>
      <c r="B80" s="687"/>
      <c r="C80" s="347"/>
      <c r="D80" s="347"/>
      <c r="E80" s="686"/>
      <c r="F80" s="341"/>
      <c r="G80" s="341"/>
      <c r="H80" s="689"/>
      <c r="I80" s="705"/>
      <c r="J80" s="689"/>
      <c r="K80" s="690"/>
    </row>
    <row r="81" spans="1:13" ht="18" customHeight="1">
      <c r="A81" s="5" t="s">
        <v>146</v>
      </c>
      <c r="B81" s="686" t="s">
        <v>147</v>
      </c>
      <c r="C81" s="347"/>
      <c r="D81" s="347"/>
      <c r="E81" s="686" t="s">
        <v>7</v>
      </c>
      <c r="F81" s="710">
        <f t="shared" ref="F81:K81" si="6">SUM(F75:F79)</f>
        <v>0</v>
      </c>
      <c r="G81" s="710">
        <f t="shared" si="6"/>
        <v>0</v>
      </c>
      <c r="H81" s="288">
        <f t="shared" si="6"/>
        <v>4091382.53</v>
      </c>
      <c r="I81" s="711">
        <f t="shared" si="6"/>
        <v>0</v>
      </c>
      <c r="J81" s="45">
        <f t="shared" si="6"/>
        <v>4091382.53</v>
      </c>
      <c r="K81" s="45">
        <f t="shared" si="6"/>
        <v>0</v>
      </c>
    </row>
    <row r="82" spans="1:13" ht="42.75" customHeight="1">
      <c r="B82" s="347"/>
      <c r="C82" s="347"/>
      <c r="D82" s="347"/>
      <c r="E82" s="347"/>
      <c r="F82" s="685" t="s">
        <v>9</v>
      </c>
      <c r="G82" s="685" t="s">
        <v>37</v>
      </c>
      <c r="H82" s="685" t="s">
        <v>29</v>
      </c>
      <c r="I82" s="685" t="s">
        <v>30</v>
      </c>
      <c r="J82" s="685" t="s">
        <v>33</v>
      </c>
      <c r="K82" s="685" t="s">
        <v>34</v>
      </c>
    </row>
    <row r="83" spans="1:13" ht="18" customHeight="1">
      <c r="A83" s="5" t="s">
        <v>105</v>
      </c>
      <c r="B83" s="686" t="s">
        <v>106</v>
      </c>
      <c r="C83" s="347"/>
      <c r="D83" s="347"/>
      <c r="E83" s="347"/>
      <c r="F83" s="347"/>
      <c r="G83" s="347"/>
      <c r="H83" s="347"/>
      <c r="I83" s="347"/>
      <c r="J83" s="347"/>
      <c r="K83" s="347"/>
    </row>
    <row r="84" spans="1:13" ht="18" customHeight="1">
      <c r="A84" s="4" t="s">
        <v>107</v>
      </c>
      <c r="B84" s="687" t="s">
        <v>54</v>
      </c>
      <c r="C84" s="347"/>
      <c r="D84" s="347"/>
      <c r="E84" s="347"/>
      <c r="F84" s="43">
        <v>0</v>
      </c>
      <c r="G84" s="43">
        <v>0</v>
      </c>
      <c r="H84" s="712">
        <f>323728+14325</f>
        <v>338053</v>
      </c>
      <c r="I84" s="44">
        <v>0</v>
      </c>
      <c r="J84" s="287">
        <v>0</v>
      </c>
      <c r="K84" s="288">
        <f>(H84+I84)-J84</f>
        <v>338053</v>
      </c>
      <c r="M84" s="701"/>
    </row>
    <row r="85" spans="1:13" ht="18" customHeight="1">
      <c r="A85" s="4" t="s">
        <v>108</v>
      </c>
      <c r="B85" s="687" t="s">
        <v>55</v>
      </c>
      <c r="C85" s="347"/>
      <c r="D85" s="347"/>
      <c r="E85" s="347"/>
      <c r="F85" s="43">
        <v>0</v>
      </c>
      <c r="G85" s="43">
        <v>0</v>
      </c>
      <c r="H85" s="287">
        <v>0</v>
      </c>
      <c r="I85" s="44">
        <v>0</v>
      </c>
      <c r="J85" s="287">
        <v>0</v>
      </c>
      <c r="K85" s="288">
        <f>(H85+I85)-J85</f>
        <v>0</v>
      </c>
      <c r="M85" s="701"/>
    </row>
    <row r="86" spans="1:13" ht="18" customHeight="1">
      <c r="A86" s="4" t="s">
        <v>109</v>
      </c>
      <c r="B86" s="687" t="s">
        <v>13</v>
      </c>
      <c r="C86" s="347"/>
      <c r="D86" s="347"/>
      <c r="E86" s="347"/>
      <c r="F86" s="43">
        <v>54</v>
      </c>
      <c r="G86" s="43">
        <v>410</v>
      </c>
      <c r="H86" s="287">
        <v>459176</v>
      </c>
      <c r="I86" s="44">
        <v>0</v>
      </c>
      <c r="J86" s="287">
        <v>0</v>
      </c>
      <c r="K86" s="288">
        <f>(H86+I86)-J86</f>
        <v>459176</v>
      </c>
      <c r="M86" s="701"/>
    </row>
    <row r="87" spans="1:13" ht="18" customHeight="1">
      <c r="A87" s="4" t="s">
        <v>110</v>
      </c>
      <c r="B87" s="687" t="s">
        <v>56</v>
      </c>
      <c r="C87" s="347"/>
      <c r="D87" s="347"/>
      <c r="E87" s="347"/>
      <c r="F87" s="43">
        <v>365</v>
      </c>
      <c r="G87" s="43">
        <v>1418</v>
      </c>
      <c r="H87" s="287">
        <v>17375</v>
      </c>
      <c r="I87" s="44">
        <f>+H87*'[15]Indirect Cost Ratio'!$E$23</f>
        <v>4211.9088434002224</v>
      </c>
      <c r="J87" s="287">
        <v>0</v>
      </c>
      <c r="K87" s="288">
        <f>(H87+I87)-J87</f>
        <v>21586.908843400222</v>
      </c>
      <c r="L87" s="289"/>
      <c r="M87" s="701"/>
    </row>
    <row r="88" spans="1:13" ht="18" customHeight="1">
      <c r="A88" s="4"/>
      <c r="B88" s="347"/>
      <c r="C88" s="347"/>
      <c r="D88" s="347"/>
      <c r="E88" s="347"/>
      <c r="F88" s="347"/>
      <c r="G88" s="347"/>
      <c r="H88" s="347"/>
      <c r="I88" s="347"/>
      <c r="J88" s="347"/>
      <c r="K88" s="35"/>
    </row>
    <row r="89" spans="1:13" ht="18" customHeight="1">
      <c r="A89" s="4" t="s">
        <v>148</v>
      </c>
      <c r="B89" s="686" t="s">
        <v>149</v>
      </c>
      <c r="C89" s="347"/>
      <c r="D89" s="347"/>
      <c r="E89" s="686" t="s">
        <v>7</v>
      </c>
      <c r="F89" s="713">
        <f t="shared" ref="F89:K89" si="7">SUM(F84:F87)</f>
        <v>419</v>
      </c>
      <c r="G89" s="710">
        <f t="shared" si="7"/>
        <v>1828</v>
      </c>
      <c r="H89" s="45">
        <f t="shared" si="7"/>
        <v>814604</v>
      </c>
      <c r="I89" s="45">
        <f t="shared" si="7"/>
        <v>4211.9088434002224</v>
      </c>
      <c r="J89" s="45">
        <f t="shared" si="7"/>
        <v>0</v>
      </c>
      <c r="K89" s="45">
        <f t="shared" si="7"/>
        <v>818815.90884340019</v>
      </c>
    </row>
    <row r="90" spans="1:13" ht="18" customHeight="1">
      <c r="A90" s="4"/>
      <c r="B90" s="347"/>
      <c r="C90" s="347"/>
      <c r="D90" s="347"/>
      <c r="E90" s="347"/>
      <c r="F90" s="700"/>
      <c r="G90" s="700"/>
      <c r="H90" s="700"/>
      <c r="I90" s="700"/>
      <c r="J90" s="700"/>
      <c r="K90" s="700"/>
    </row>
    <row r="91" spans="1:13" ht="42.75" customHeight="1">
      <c r="B91" s="347"/>
      <c r="C91" s="347"/>
      <c r="D91" s="347"/>
      <c r="E91" s="347"/>
      <c r="F91" s="685" t="s">
        <v>9</v>
      </c>
      <c r="G91" s="685" t="s">
        <v>37</v>
      </c>
      <c r="H91" s="685" t="s">
        <v>29</v>
      </c>
      <c r="I91" s="685" t="s">
        <v>30</v>
      </c>
      <c r="J91" s="685" t="s">
        <v>33</v>
      </c>
      <c r="K91" s="685" t="s">
        <v>34</v>
      </c>
    </row>
    <row r="92" spans="1:13" ht="18" customHeight="1">
      <c r="A92" s="5" t="s">
        <v>111</v>
      </c>
      <c r="B92" s="686" t="s">
        <v>57</v>
      </c>
      <c r="C92" s="347"/>
      <c r="D92" s="347"/>
      <c r="E92" s="347"/>
      <c r="F92" s="347"/>
      <c r="G92" s="347"/>
      <c r="H92" s="347"/>
      <c r="I92" s="347"/>
      <c r="J92" s="347"/>
      <c r="K92" s="347"/>
    </row>
    <row r="93" spans="1:13" ht="18" customHeight="1">
      <c r="A93" s="4" t="s">
        <v>112</v>
      </c>
      <c r="B93" s="687" t="s">
        <v>113</v>
      </c>
      <c r="C93" s="347"/>
      <c r="D93" s="347"/>
      <c r="E93" s="347"/>
      <c r="F93" s="43">
        <v>0</v>
      </c>
      <c r="G93" s="43">
        <v>0</v>
      </c>
      <c r="H93" s="287">
        <v>0</v>
      </c>
      <c r="I93" s="287">
        <f>H93*F$121</f>
        <v>0</v>
      </c>
      <c r="J93" s="287">
        <v>0</v>
      </c>
      <c r="K93" s="288">
        <f t="shared" ref="K93:K100" si="8">(H93+I93)-J93</f>
        <v>0</v>
      </c>
    </row>
    <row r="94" spans="1:13" ht="18" customHeight="1">
      <c r="A94" s="4" t="s">
        <v>114</v>
      </c>
      <c r="B94" s="687" t="s">
        <v>14</v>
      </c>
      <c r="C94" s="347"/>
      <c r="D94" s="347"/>
      <c r="E94" s="347"/>
      <c r="F94" s="43">
        <v>51</v>
      </c>
      <c r="G94" s="43">
        <v>232</v>
      </c>
      <c r="H94" s="287">
        <v>4261</v>
      </c>
      <c r="I94" s="287">
        <v>0</v>
      </c>
      <c r="J94" s="287">
        <v>0</v>
      </c>
      <c r="K94" s="288">
        <f t="shared" si="8"/>
        <v>4261</v>
      </c>
    </row>
    <row r="95" spans="1:13" ht="18" customHeight="1">
      <c r="A95" s="4" t="s">
        <v>115</v>
      </c>
      <c r="B95" s="687" t="s">
        <v>116</v>
      </c>
      <c r="C95" s="347"/>
      <c r="D95" s="347"/>
      <c r="E95" s="347"/>
      <c r="F95" s="43">
        <v>469.5</v>
      </c>
      <c r="G95" s="43">
        <v>10639</v>
      </c>
      <c r="H95" s="287">
        <v>267146</v>
      </c>
      <c r="I95" s="287">
        <f>H95*F$121</f>
        <v>143749.10066323934</v>
      </c>
      <c r="J95" s="287">
        <v>12548</v>
      </c>
      <c r="K95" s="288">
        <f t="shared" si="8"/>
        <v>398347.10066323937</v>
      </c>
      <c r="L95" s="289"/>
      <c r="M95" s="688"/>
    </row>
    <row r="96" spans="1:13" ht="18" customHeight="1">
      <c r="A96" s="4" t="s">
        <v>117</v>
      </c>
      <c r="B96" s="687" t="s">
        <v>58</v>
      </c>
      <c r="C96" s="347"/>
      <c r="D96" s="347"/>
      <c r="E96" s="347"/>
      <c r="F96" s="43">
        <v>0</v>
      </c>
      <c r="G96" s="43">
        <v>0</v>
      </c>
      <c r="H96" s="287">
        <v>65000</v>
      </c>
      <c r="I96" s="287">
        <v>0</v>
      </c>
      <c r="J96" s="287">
        <v>0</v>
      </c>
      <c r="K96" s="288">
        <f t="shared" si="8"/>
        <v>65000</v>
      </c>
    </row>
    <row r="97" spans="1:13" ht="18" customHeight="1">
      <c r="A97" s="4" t="s">
        <v>118</v>
      </c>
      <c r="B97" s="1040" t="s">
        <v>59</v>
      </c>
      <c r="C97" s="1041"/>
      <c r="D97" s="347"/>
      <c r="E97" s="347"/>
      <c r="F97" s="43">
        <v>9</v>
      </c>
      <c r="G97" s="43">
        <v>27</v>
      </c>
      <c r="H97" s="287">
        <v>285</v>
      </c>
      <c r="I97" s="287">
        <f>H97*F$121</f>
        <v>153.35619357588439</v>
      </c>
      <c r="J97" s="287">
        <v>0</v>
      </c>
      <c r="K97" s="288">
        <f t="shared" si="8"/>
        <v>438.35619357588439</v>
      </c>
      <c r="L97" s="289"/>
      <c r="M97" s="688"/>
    </row>
    <row r="98" spans="1:13" ht="18" customHeight="1">
      <c r="A98" s="4" t="s">
        <v>119</v>
      </c>
      <c r="B98" s="687" t="s">
        <v>60</v>
      </c>
      <c r="C98" s="347"/>
      <c r="D98" s="347"/>
      <c r="E98" s="347"/>
      <c r="F98" s="43">
        <v>1089.5</v>
      </c>
      <c r="G98" s="43">
        <v>1082</v>
      </c>
      <c r="H98" s="287">
        <v>107786</v>
      </c>
      <c r="I98" s="287">
        <f>H98*F$121</f>
        <v>57998.774318492193</v>
      </c>
      <c r="J98" s="287">
        <v>12548</v>
      </c>
      <c r="K98" s="288">
        <f t="shared" si="8"/>
        <v>153236.77431849219</v>
      </c>
      <c r="L98" s="289"/>
      <c r="M98" s="688"/>
    </row>
    <row r="99" spans="1:13" ht="18" customHeight="1">
      <c r="A99" s="4" t="s">
        <v>120</v>
      </c>
      <c r="B99" s="687" t="s">
        <v>121</v>
      </c>
      <c r="C99" s="347"/>
      <c r="D99" s="347"/>
      <c r="E99" s="347"/>
      <c r="F99" s="43">
        <v>48</v>
      </c>
      <c r="G99" s="43">
        <v>0</v>
      </c>
      <c r="H99" s="287">
        <v>5174</v>
      </c>
      <c r="I99" s="287">
        <f>H99*F$121</f>
        <v>2784.0875282864063</v>
      </c>
      <c r="J99" s="287">
        <v>0</v>
      </c>
      <c r="K99" s="288">
        <f t="shared" si="8"/>
        <v>7958.0875282864063</v>
      </c>
      <c r="L99" s="289"/>
      <c r="M99" s="289"/>
    </row>
    <row r="100" spans="1:13" ht="18" customHeight="1">
      <c r="A100" s="4" t="s">
        <v>122</v>
      </c>
      <c r="B100" s="687" t="s">
        <v>123</v>
      </c>
      <c r="C100" s="347"/>
      <c r="D100" s="347"/>
      <c r="E100" s="347"/>
      <c r="F100" s="43">
        <v>1631</v>
      </c>
      <c r="G100" s="43">
        <v>75281</v>
      </c>
      <c r="H100" s="287">
        <v>150322</v>
      </c>
      <c r="I100" s="287">
        <f>H100*F$121</f>
        <v>80887.051686716106</v>
      </c>
      <c r="J100" s="287">
        <v>0</v>
      </c>
      <c r="K100" s="288">
        <f t="shared" si="8"/>
        <v>231209.05168671609</v>
      </c>
      <c r="L100" s="289"/>
      <c r="M100" s="289"/>
    </row>
    <row r="101" spans="1:13" ht="18" customHeight="1">
      <c r="A101" s="4" t="s">
        <v>124</v>
      </c>
      <c r="B101" s="1037"/>
      <c r="C101" s="1037"/>
      <c r="D101" s="1037"/>
      <c r="E101" s="21"/>
      <c r="F101" s="341"/>
      <c r="G101" s="341"/>
      <c r="H101" s="689"/>
      <c r="I101" s="689"/>
      <c r="J101" s="689"/>
      <c r="K101" s="690"/>
    </row>
    <row r="102" spans="1:13" ht="18" customHeight="1">
      <c r="A102" s="4" t="s">
        <v>125</v>
      </c>
      <c r="B102" s="1037"/>
      <c r="C102" s="1037"/>
      <c r="D102" s="1037"/>
      <c r="E102" s="21"/>
      <c r="F102" s="341"/>
      <c r="G102" s="341"/>
      <c r="H102" s="689"/>
      <c r="I102" s="689"/>
      <c r="J102" s="689"/>
      <c r="K102" s="690"/>
    </row>
    <row r="103" spans="1:13" ht="18" customHeight="1">
      <c r="A103" s="4" t="s">
        <v>126</v>
      </c>
      <c r="B103" s="1037"/>
      <c r="C103" s="1037"/>
      <c r="D103" s="1037"/>
      <c r="E103" s="21"/>
      <c r="F103" s="341"/>
      <c r="G103" s="341"/>
      <c r="H103" s="689" t="s">
        <v>85</v>
      </c>
      <c r="I103" s="689"/>
      <c r="J103" s="689"/>
      <c r="K103" s="690"/>
    </row>
    <row r="104" spans="1:13" ht="18" customHeight="1">
      <c r="A104" s="4"/>
      <c r="B104" s="687"/>
      <c r="C104" s="347"/>
      <c r="D104" s="347"/>
      <c r="E104" s="347"/>
      <c r="F104" s="347"/>
      <c r="G104" s="347"/>
      <c r="H104" s="347"/>
      <c r="I104" s="347"/>
      <c r="J104" s="347"/>
      <c r="K104" s="347"/>
    </row>
    <row r="105" spans="1:13" ht="18" customHeight="1">
      <c r="A105" s="5" t="s">
        <v>150</v>
      </c>
      <c r="B105" s="686" t="s">
        <v>151</v>
      </c>
      <c r="C105" s="347"/>
      <c r="D105" s="347"/>
      <c r="E105" s="686" t="s">
        <v>7</v>
      </c>
      <c r="F105" s="694">
        <f t="shared" ref="F105:K105" si="9">SUM(F93:F103)</f>
        <v>3298</v>
      </c>
      <c r="G105" s="694">
        <f t="shared" si="9"/>
        <v>87261</v>
      </c>
      <c r="H105" s="45">
        <f t="shared" si="9"/>
        <v>599974</v>
      </c>
      <c r="I105" s="45">
        <f t="shared" si="9"/>
        <v>285572.37039030995</v>
      </c>
      <c r="J105" s="45">
        <f t="shared" si="9"/>
        <v>25096</v>
      </c>
      <c r="K105" s="45">
        <f t="shared" si="9"/>
        <v>860450.37039030995</v>
      </c>
    </row>
    <row r="106" spans="1:13" ht="18" customHeight="1">
      <c r="B106" s="686"/>
      <c r="C106" s="347"/>
      <c r="D106" s="347"/>
      <c r="E106" s="347"/>
      <c r="F106" s="700"/>
      <c r="G106" s="700"/>
      <c r="H106" s="700"/>
      <c r="I106" s="700"/>
      <c r="J106" s="700"/>
      <c r="K106" s="700"/>
    </row>
    <row r="107" spans="1:13" ht="42.75" customHeight="1">
      <c r="B107" s="347"/>
      <c r="C107" s="347"/>
      <c r="D107" s="347"/>
      <c r="E107" s="347"/>
      <c r="F107" s="685" t="s">
        <v>9</v>
      </c>
      <c r="G107" s="685" t="s">
        <v>37</v>
      </c>
      <c r="H107" s="685" t="s">
        <v>29</v>
      </c>
      <c r="I107" s="685" t="s">
        <v>30</v>
      </c>
      <c r="J107" s="685" t="s">
        <v>33</v>
      </c>
      <c r="K107" s="685" t="s">
        <v>34</v>
      </c>
    </row>
    <row r="108" spans="1:13" ht="18" customHeight="1">
      <c r="A108" s="5" t="s">
        <v>130</v>
      </c>
      <c r="B108" s="686" t="s">
        <v>63</v>
      </c>
      <c r="C108" s="347"/>
      <c r="D108" s="347"/>
      <c r="E108" s="347"/>
      <c r="F108" s="347"/>
      <c r="G108" s="347"/>
      <c r="H108" s="347"/>
      <c r="I108" s="347"/>
      <c r="J108" s="347"/>
      <c r="K108" s="347"/>
    </row>
    <row r="109" spans="1:13" ht="18" customHeight="1">
      <c r="A109" s="4" t="s">
        <v>131</v>
      </c>
      <c r="B109" s="687" t="s">
        <v>152</v>
      </c>
      <c r="C109" s="347"/>
      <c r="D109" s="347"/>
      <c r="E109" s="347"/>
      <c r="F109" s="43">
        <f>637+(2093.43*0.1)</f>
        <v>846.34299999999996</v>
      </c>
      <c r="G109" s="43">
        <v>1</v>
      </c>
      <c r="H109" s="712">
        <f>124261+(5.71428571428571)*365*0.1*48.77</f>
        <v>134433.02857142856</v>
      </c>
      <c r="I109" s="287">
        <f>H109*F$121</f>
        <v>72337.324745938226</v>
      </c>
      <c r="J109" s="287">
        <v>37644</v>
      </c>
      <c r="K109" s="288">
        <f>(H109+I109)-J109</f>
        <v>169126.3533173668</v>
      </c>
      <c r="L109" s="289"/>
      <c r="M109" s="714"/>
    </row>
    <row r="110" spans="1:13" ht="18" customHeight="1">
      <c r="A110" s="4" t="s">
        <v>132</v>
      </c>
      <c r="B110" s="1040" t="s">
        <v>606</v>
      </c>
      <c r="C110" s="1040"/>
      <c r="D110" s="347"/>
      <c r="E110" s="347"/>
      <c r="F110" s="43">
        <v>0</v>
      </c>
      <c r="G110" s="43">
        <v>28</v>
      </c>
      <c r="H110" s="287">
        <v>31375</v>
      </c>
      <c r="I110" s="287">
        <f>H110*F$121</f>
        <v>16882.633591029378</v>
      </c>
      <c r="J110" s="287">
        <v>12548</v>
      </c>
      <c r="K110" s="288">
        <f>(H110+I110)-J110</f>
        <v>35709.633591029378</v>
      </c>
      <c r="L110" s="289"/>
      <c r="M110" s="289"/>
    </row>
    <row r="111" spans="1:13" ht="18" customHeight="1">
      <c r="A111" s="4" t="s">
        <v>128</v>
      </c>
      <c r="B111" s="1038"/>
      <c r="C111" s="1038"/>
      <c r="D111" s="1038"/>
      <c r="E111" s="21"/>
      <c r="F111" s="341"/>
      <c r="G111" s="341"/>
      <c r="H111" s="689"/>
      <c r="I111" s="689"/>
      <c r="J111" s="689"/>
      <c r="K111" s="690"/>
    </row>
    <row r="112" spans="1:13" ht="18" customHeight="1">
      <c r="A112" s="4" t="s">
        <v>127</v>
      </c>
      <c r="B112" s="1037"/>
      <c r="C112" s="1037"/>
      <c r="D112" s="1037"/>
      <c r="E112" s="21"/>
      <c r="F112" s="341"/>
      <c r="G112" s="341"/>
      <c r="H112" s="689"/>
      <c r="I112" s="689"/>
      <c r="J112" s="689"/>
      <c r="K112" s="690"/>
    </row>
    <row r="113" spans="1:14" ht="18" customHeight="1">
      <c r="A113" s="4" t="s">
        <v>129</v>
      </c>
      <c r="B113" s="1037"/>
      <c r="C113" s="1037"/>
      <c r="D113" s="1037"/>
      <c r="E113" s="21"/>
      <c r="F113" s="341"/>
      <c r="G113" s="341"/>
      <c r="H113" s="689"/>
      <c r="I113" s="689"/>
      <c r="J113" s="689"/>
      <c r="K113" s="690"/>
    </row>
    <row r="114" spans="1:14" ht="18" customHeight="1">
      <c r="B114" s="686"/>
      <c r="C114" s="347"/>
      <c r="D114" s="347"/>
      <c r="E114" s="347"/>
      <c r="F114" s="347"/>
      <c r="G114" s="347"/>
      <c r="H114" s="347"/>
      <c r="I114" s="347"/>
      <c r="J114" s="347"/>
      <c r="K114" s="347"/>
    </row>
    <row r="115" spans="1:14" s="9" customFormat="1" ht="18" customHeight="1">
      <c r="A115" s="5" t="s">
        <v>153</v>
      </c>
      <c r="B115" s="709" t="s">
        <v>154</v>
      </c>
      <c r="C115" s="347"/>
      <c r="D115" s="347"/>
      <c r="E115" s="686" t="s">
        <v>7</v>
      </c>
      <c r="F115" s="694">
        <f t="shared" ref="F115:K115" si="10">SUM(F109:F113)</f>
        <v>846.34299999999996</v>
      </c>
      <c r="G115" s="694">
        <f t="shared" si="10"/>
        <v>29</v>
      </c>
      <c r="H115" s="288">
        <f t="shared" si="10"/>
        <v>165808.02857142856</v>
      </c>
      <c r="I115" s="288">
        <f t="shared" si="10"/>
        <v>89219.958336967597</v>
      </c>
      <c r="J115" s="288">
        <f t="shared" si="10"/>
        <v>50192</v>
      </c>
      <c r="K115" s="288">
        <f t="shared" si="10"/>
        <v>204835.98690839618</v>
      </c>
      <c r="N115" s="682"/>
    </row>
    <row r="116" spans="1:14" s="9" customFormat="1" ht="18" customHeight="1">
      <c r="A116" s="715"/>
      <c r="B116" s="709"/>
      <c r="C116" s="21"/>
      <c r="D116" s="21"/>
      <c r="E116" s="21"/>
      <c r="F116" s="700"/>
      <c r="G116" s="700"/>
      <c r="H116" s="700"/>
      <c r="I116" s="700"/>
      <c r="J116" s="700"/>
      <c r="K116" s="700"/>
      <c r="N116" s="682"/>
    </row>
    <row r="117" spans="1:14" s="9" customFormat="1" ht="18" customHeight="1">
      <c r="A117" s="5" t="s">
        <v>156</v>
      </c>
      <c r="B117" s="686" t="s">
        <v>39</v>
      </c>
      <c r="C117" s="347"/>
      <c r="D117" s="347"/>
      <c r="E117" s="347"/>
      <c r="F117" s="347"/>
      <c r="G117" s="347"/>
      <c r="H117" s="347"/>
      <c r="I117" s="347"/>
      <c r="J117" s="347"/>
      <c r="K117" s="347"/>
      <c r="N117" s="682"/>
    </row>
    <row r="118" spans="1:14" ht="18" customHeight="1">
      <c r="A118" s="5" t="s">
        <v>155</v>
      </c>
      <c r="B118" s="686" t="s">
        <v>164</v>
      </c>
      <c r="C118" s="347"/>
      <c r="D118" s="347"/>
      <c r="E118" s="686" t="s">
        <v>7</v>
      </c>
      <c r="F118" s="287">
        <f>+[25]Suburban!$D$14</f>
        <v>4093000</v>
      </c>
      <c r="G118" s="347"/>
      <c r="H118" s="347"/>
      <c r="I118" s="347"/>
      <c r="J118" s="347"/>
      <c r="K118" s="347"/>
    </row>
    <row r="119" spans="1:14" ht="18" customHeight="1">
      <c r="B119" s="686"/>
      <c r="C119" s="347"/>
      <c r="D119" s="347"/>
      <c r="E119" s="686"/>
      <c r="F119" s="21"/>
      <c r="G119" s="347"/>
      <c r="H119" s="347"/>
      <c r="I119" s="347"/>
      <c r="J119" s="347"/>
      <c r="K119" s="347"/>
    </row>
    <row r="120" spans="1:14" ht="18" customHeight="1">
      <c r="A120" s="5"/>
      <c r="B120" s="686" t="s">
        <v>15</v>
      </c>
      <c r="C120" s="347"/>
      <c r="D120" s="347"/>
      <c r="E120" s="347"/>
      <c r="F120" s="347"/>
      <c r="G120" s="347"/>
      <c r="H120" s="347"/>
      <c r="I120" s="347"/>
      <c r="J120" s="347"/>
      <c r="K120" s="347"/>
    </row>
    <row r="121" spans="1:14" ht="18" customHeight="1">
      <c r="A121" s="4" t="s">
        <v>171</v>
      </c>
      <c r="B121" s="687" t="s">
        <v>35</v>
      </c>
      <c r="C121" s="347"/>
      <c r="D121" s="347"/>
      <c r="E121" s="347"/>
      <c r="F121" s="716">
        <f>+'[15]Indirect Cost Ratio'!C23</f>
        <v>0.53809190728380485</v>
      </c>
      <c r="G121" s="347"/>
      <c r="H121" s="347"/>
      <c r="I121" s="347"/>
      <c r="J121" s="347"/>
      <c r="K121" s="347"/>
    </row>
    <row r="122" spans="1:14" ht="18" customHeight="1">
      <c r="A122" s="4"/>
      <c r="B122" s="686"/>
      <c r="C122" s="347"/>
      <c r="D122" s="347"/>
      <c r="E122" s="347"/>
      <c r="F122" s="347"/>
      <c r="G122" s="347"/>
      <c r="H122" s="347"/>
      <c r="I122" s="347"/>
      <c r="J122" s="347"/>
      <c r="K122" s="347"/>
    </row>
    <row r="123" spans="1:14" ht="18" customHeight="1">
      <c r="A123" s="4" t="s">
        <v>170</v>
      </c>
      <c r="B123" s="686" t="s">
        <v>16</v>
      </c>
      <c r="C123" s="347"/>
      <c r="D123" s="347"/>
      <c r="E123" s="347"/>
      <c r="F123" s="347"/>
      <c r="G123" s="347"/>
      <c r="H123" s="347"/>
      <c r="I123" s="347"/>
      <c r="J123" s="347"/>
      <c r="K123" s="347"/>
    </row>
    <row r="124" spans="1:14" ht="18" customHeight="1">
      <c r="A124" s="4" t="s">
        <v>172</v>
      </c>
      <c r="B124" s="687" t="s">
        <v>17</v>
      </c>
      <c r="C124" s="347"/>
      <c r="D124" s="347"/>
      <c r="E124" s="347"/>
      <c r="F124" s="287">
        <f>+[25]Suburban!$D$19</f>
        <v>250848000</v>
      </c>
      <c r="G124" s="347"/>
      <c r="H124" s="347"/>
      <c r="I124" s="347"/>
      <c r="J124" s="347"/>
      <c r="K124" s="347"/>
    </row>
    <row r="125" spans="1:14" ht="18" customHeight="1">
      <c r="A125" s="4" t="s">
        <v>173</v>
      </c>
      <c r="B125" s="347" t="s">
        <v>18</v>
      </c>
      <c r="C125" s="347"/>
      <c r="D125" s="347"/>
      <c r="E125" s="347"/>
      <c r="F125" s="287">
        <f>+[25]Suburban!$D$24</f>
        <v>24257000</v>
      </c>
      <c r="G125" s="347"/>
      <c r="H125" s="347"/>
      <c r="I125" s="347"/>
      <c r="J125" s="347"/>
      <c r="K125" s="347"/>
    </row>
    <row r="126" spans="1:14" ht="18" customHeight="1">
      <c r="A126" s="4" t="s">
        <v>174</v>
      </c>
      <c r="B126" s="686" t="s">
        <v>19</v>
      </c>
      <c r="C126" s="347"/>
      <c r="D126" s="347"/>
      <c r="E126" s="347"/>
      <c r="F126" s="45">
        <f>SUM(F124:F125)</f>
        <v>275105000</v>
      </c>
      <c r="G126" s="687"/>
      <c r="H126" s="347"/>
      <c r="I126" s="347"/>
      <c r="J126" s="347"/>
      <c r="K126" s="347"/>
    </row>
    <row r="127" spans="1:14" ht="18" customHeight="1">
      <c r="A127" s="4"/>
      <c r="B127" s="686"/>
      <c r="C127" s="347"/>
      <c r="D127" s="347"/>
      <c r="E127" s="347"/>
      <c r="F127" s="347"/>
      <c r="G127" s="347"/>
      <c r="H127" s="347"/>
      <c r="I127" s="347"/>
      <c r="J127" s="347"/>
      <c r="K127" s="347"/>
    </row>
    <row r="128" spans="1:14" ht="18" customHeight="1">
      <c r="A128" s="4" t="s">
        <v>167</v>
      </c>
      <c r="B128" s="686" t="s">
        <v>36</v>
      </c>
      <c r="C128" s="347"/>
      <c r="D128" s="347"/>
      <c r="E128" s="347"/>
      <c r="F128" s="287">
        <f>+[25]Suburban!$D$30</f>
        <v>263831000</v>
      </c>
      <c r="G128" s="717"/>
      <c r="H128" s="347"/>
      <c r="I128" s="347"/>
      <c r="J128" s="347"/>
      <c r="K128" s="347"/>
    </row>
    <row r="129" spans="1:13" ht="18" customHeight="1">
      <c r="A129" s="4"/>
      <c r="B129" s="347"/>
      <c r="C129" s="347"/>
      <c r="D129" s="347"/>
      <c r="E129" s="347"/>
      <c r="F129" s="347"/>
      <c r="G129" s="347"/>
      <c r="H129" s="347"/>
      <c r="I129" s="347"/>
      <c r="J129" s="347"/>
      <c r="K129" s="347"/>
    </row>
    <row r="130" spans="1:13" ht="18" customHeight="1">
      <c r="A130" s="4" t="s">
        <v>175</v>
      </c>
      <c r="B130" s="686" t="s">
        <v>20</v>
      </c>
      <c r="C130" s="347"/>
      <c r="D130" s="347"/>
      <c r="E130" s="347"/>
      <c r="F130" s="287">
        <f>+F126-F128</f>
        <v>11274000</v>
      </c>
      <c r="G130" s="347"/>
      <c r="H130" s="347"/>
      <c r="I130" s="347"/>
      <c r="J130" s="347"/>
      <c r="K130" s="347"/>
    </row>
    <row r="131" spans="1:13" ht="18" customHeight="1">
      <c r="A131" s="4"/>
      <c r="B131" s="347"/>
      <c r="C131" s="347"/>
      <c r="D131" s="347"/>
      <c r="E131" s="347"/>
      <c r="F131" s="347"/>
      <c r="G131" s="347"/>
      <c r="H131" s="347"/>
      <c r="I131" s="347"/>
      <c r="J131" s="347"/>
      <c r="K131" s="347"/>
    </row>
    <row r="132" spans="1:13" ht="18" customHeight="1">
      <c r="A132" s="4" t="s">
        <v>176</v>
      </c>
      <c r="B132" s="686" t="s">
        <v>21</v>
      </c>
      <c r="C132" s="347"/>
      <c r="D132" s="347"/>
      <c r="E132" s="347"/>
      <c r="F132" s="287">
        <f>+[25]Suburban!$D$36</f>
        <v>-1460000</v>
      </c>
      <c r="G132" s="347"/>
      <c r="H132" s="347"/>
      <c r="I132" s="347"/>
      <c r="J132" s="347"/>
      <c r="K132" s="347"/>
    </row>
    <row r="133" spans="1:13" ht="18" customHeight="1">
      <c r="A133" s="4"/>
      <c r="B133" s="347"/>
      <c r="C133" s="347"/>
      <c r="D133" s="347"/>
      <c r="E133" s="347"/>
      <c r="F133" s="347"/>
      <c r="G133" s="347"/>
      <c r="H133" s="347"/>
      <c r="I133" s="347"/>
      <c r="J133" s="347"/>
      <c r="K133" s="347"/>
    </row>
    <row r="134" spans="1:13" ht="18" customHeight="1">
      <c r="A134" s="4" t="s">
        <v>177</v>
      </c>
      <c r="B134" s="686" t="s">
        <v>22</v>
      </c>
      <c r="C134" s="347"/>
      <c r="D134" s="347"/>
      <c r="E134" s="347"/>
      <c r="F134" s="287">
        <f>+F130+F132</f>
        <v>9814000</v>
      </c>
      <c r="G134" s="347"/>
      <c r="H134" s="347"/>
      <c r="I134" s="347"/>
      <c r="J134" s="347"/>
      <c r="K134" s="347"/>
    </row>
    <row r="135" spans="1:13" ht="18" customHeight="1">
      <c r="A135" s="4"/>
      <c r="B135" s="347"/>
      <c r="C135" s="347"/>
      <c r="D135" s="347"/>
      <c r="E135" s="347"/>
      <c r="F135" s="347"/>
      <c r="G135" s="347"/>
      <c r="H135" s="347"/>
      <c r="I135" s="347"/>
      <c r="J135" s="347"/>
      <c r="K135" s="347"/>
    </row>
    <row r="136" spans="1:13" ht="42.75" customHeight="1">
      <c r="B136" s="347"/>
      <c r="C136" s="347"/>
      <c r="D136" s="347"/>
      <c r="E136" s="347"/>
      <c r="F136" s="685" t="s">
        <v>9</v>
      </c>
      <c r="G136" s="685" t="s">
        <v>37</v>
      </c>
      <c r="H136" s="685" t="s">
        <v>29</v>
      </c>
      <c r="I136" s="685" t="s">
        <v>30</v>
      </c>
      <c r="J136" s="685" t="s">
        <v>33</v>
      </c>
      <c r="K136" s="685" t="s">
        <v>34</v>
      </c>
    </row>
    <row r="137" spans="1:13" ht="18" customHeight="1">
      <c r="A137" s="5" t="s">
        <v>157</v>
      </c>
      <c r="B137" s="686" t="s">
        <v>23</v>
      </c>
      <c r="C137" s="347"/>
      <c r="D137" s="347"/>
      <c r="E137" s="347"/>
      <c r="F137" s="347"/>
      <c r="G137" s="347"/>
      <c r="H137" s="347"/>
      <c r="I137" s="347"/>
      <c r="J137" s="347"/>
      <c r="K137" s="347"/>
    </row>
    <row r="138" spans="1:13" ht="18" customHeight="1">
      <c r="A138" s="4" t="s">
        <v>158</v>
      </c>
      <c r="B138" s="347" t="s">
        <v>24</v>
      </c>
      <c r="C138" s="347"/>
      <c r="D138" s="347"/>
      <c r="E138" s="347"/>
      <c r="F138" s="43">
        <v>0</v>
      </c>
      <c r="G138" s="43">
        <v>0</v>
      </c>
      <c r="H138" s="287">
        <v>261300</v>
      </c>
      <c r="I138" s="287">
        <f>H138*F$121</f>
        <v>140603.41537325821</v>
      </c>
      <c r="J138" s="287">
        <v>0</v>
      </c>
      <c r="K138" s="288">
        <f>(H138+I138)-J138</f>
        <v>401903.41537325818</v>
      </c>
      <c r="L138" s="289"/>
      <c r="M138" s="714"/>
    </row>
    <row r="139" spans="1:13" ht="18" customHeight="1">
      <c r="A139" s="4" t="s">
        <v>159</v>
      </c>
      <c r="B139" s="347" t="s">
        <v>25</v>
      </c>
      <c r="C139" s="347"/>
      <c r="D139" s="347"/>
      <c r="E139" s="347"/>
      <c r="F139" s="43">
        <v>0</v>
      </c>
      <c r="G139" s="43">
        <v>8</v>
      </c>
      <c r="H139" s="287">
        <v>56174</v>
      </c>
      <c r="I139" s="287">
        <f>H139*F$121</f>
        <v>30226.774799760453</v>
      </c>
      <c r="J139" s="287">
        <v>0</v>
      </c>
      <c r="K139" s="288">
        <f>(H139+I139)-J139</f>
        <v>86400.77479976046</v>
      </c>
      <c r="L139" s="289"/>
      <c r="M139" s="289"/>
    </row>
    <row r="140" spans="1:13" ht="18" customHeight="1">
      <c r="A140" s="4" t="s">
        <v>160</v>
      </c>
      <c r="B140" s="1038" t="s">
        <v>607</v>
      </c>
      <c r="C140" s="1038"/>
      <c r="D140" s="1038"/>
      <c r="E140" s="347"/>
      <c r="F140" s="43">
        <v>0</v>
      </c>
      <c r="G140" s="43">
        <v>0</v>
      </c>
      <c r="H140" s="287">
        <v>317474</v>
      </c>
      <c r="I140" s="287">
        <v>0</v>
      </c>
      <c r="J140" s="287">
        <v>0</v>
      </c>
      <c r="K140" s="288">
        <f>(H140+I140)-J140</f>
        <v>317474</v>
      </c>
      <c r="M140" s="714"/>
    </row>
    <row r="141" spans="1:13" ht="18" customHeight="1">
      <c r="A141" s="4" t="s">
        <v>161</v>
      </c>
      <c r="B141" s="1039"/>
      <c r="C141" s="1039"/>
      <c r="D141" s="1039"/>
      <c r="E141" s="21"/>
      <c r="F141" s="341"/>
      <c r="G141" s="341"/>
      <c r="H141" s="689"/>
      <c r="I141" s="689"/>
      <c r="J141" s="689"/>
      <c r="K141" s="690"/>
    </row>
    <row r="142" spans="1:13" ht="18" customHeight="1">
      <c r="A142" s="4" t="s">
        <v>162</v>
      </c>
      <c r="B142" s="1039"/>
      <c r="C142" s="1039"/>
      <c r="D142" s="1039"/>
      <c r="E142" s="21"/>
      <c r="F142" s="341"/>
      <c r="G142" s="341"/>
      <c r="H142" s="689"/>
      <c r="I142" s="689"/>
      <c r="J142" s="689"/>
      <c r="K142" s="690"/>
    </row>
    <row r="143" spans="1:13" ht="18" customHeight="1">
      <c r="A143" s="5"/>
      <c r="B143" s="347"/>
      <c r="C143" s="347"/>
      <c r="D143" s="347"/>
      <c r="E143" s="347"/>
      <c r="F143" s="347"/>
      <c r="G143" s="347"/>
      <c r="H143" s="692"/>
      <c r="I143" s="347"/>
      <c r="J143" s="347"/>
      <c r="K143" s="347"/>
    </row>
    <row r="144" spans="1:13" ht="18" customHeight="1">
      <c r="A144" s="5" t="s">
        <v>163</v>
      </c>
      <c r="B144" s="686" t="s">
        <v>27</v>
      </c>
      <c r="C144" s="347"/>
      <c r="D144" s="347"/>
      <c r="E144" s="347"/>
      <c r="F144" s="694">
        <f t="shared" ref="F144:K144" si="11">SUM(F138:F142)</f>
        <v>0</v>
      </c>
      <c r="G144" s="694">
        <f t="shared" si="11"/>
        <v>8</v>
      </c>
      <c r="H144" s="288">
        <f t="shared" si="11"/>
        <v>634948</v>
      </c>
      <c r="I144" s="288">
        <f t="shared" si="11"/>
        <v>170830.19017301867</v>
      </c>
      <c r="J144" s="288">
        <f t="shared" si="11"/>
        <v>0</v>
      </c>
      <c r="K144" s="288">
        <f t="shared" si="11"/>
        <v>805778.19017301861</v>
      </c>
    </row>
    <row r="145" spans="1:13" ht="18" customHeight="1">
      <c r="A145"/>
      <c r="B145" s="347"/>
      <c r="C145" s="347"/>
      <c r="D145" s="347"/>
      <c r="E145" s="347"/>
      <c r="F145" s="347"/>
      <c r="G145" s="347"/>
      <c r="H145" s="347"/>
      <c r="I145" s="347"/>
      <c r="J145" s="347"/>
      <c r="K145" s="347"/>
    </row>
    <row r="146" spans="1:13" ht="42.75" customHeight="1">
      <c r="B146" s="347"/>
      <c r="C146" s="347"/>
      <c r="D146" s="347"/>
      <c r="E146" s="347"/>
      <c r="F146" s="685" t="s">
        <v>9</v>
      </c>
      <c r="G146" s="685" t="s">
        <v>37</v>
      </c>
      <c r="H146" s="685" t="s">
        <v>29</v>
      </c>
      <c r="I146" s="685" t="s">
        <v>30</v>
      </c>
      <c r="J146" s="685" t="s">
        <v>33</v>
      </c>
      <c r="K146" s="685" t="s">
        <v>34</v>
      </c>
    </row>
    <row r="147" spans="1:13" ht="18" customHeight="1">
      <c r="A147" s="5" t="s">
        <v>166</v>
      </c>
      <c r="B147" s="686" t="s">
        <v>26</v>
      </c>
      <c r="C147" s="347"/>
      <c r="D147" s="347"/>
      <c r="E147" s="347"/>
      <c r="F147" s="347"/>
      <c r="G147" s="347"/>
      <c r="H147" s="347"/>
      <c r="I147" s="347"/>
      <c r="J147" s="347"/>
      <c r="K147" s="347"/>
    </row>
    <row r="148" spans="1:13" ht="18" customHeight="1">
      <c r="A148" s="4" t="s">
        <v>137</v>
      </c>
      <c r="B148" s="686" t="s">
        <v>64</v>
      </c>
      <c r="C148" s="347"/>
      <c r="D148" s="347"/>
      <c r="E148" s="347"/>
      <c r="F148" s="718">
        <f t="shared" ref="F148:K148" si="12">F36</f>
        <v>26579.8</v>
      </c>
      <c r="G148" s="718">
        <f t="shared" si="12"/>
        <v>22218</v>
      </c>
      <c r="H148" s="718">
        <f t="shared" si="12"/>
        <v>1308164</v>
      </c>
      <c r="I148" s="718">
        <f t="shared" si="12"/>
        <v>703912.46180001134</v>
      </c>
      <c r="J148" s="718">
        <f t="shared" si="12"/>
        <v>101373</v>
      </c>
      <c r="K148" s="718">
        <f t="shared" si="12"/>
        <v>1910703.4618000111</v>
      </c>
      <c r="L148" s="289"/>
      <c r="M148" s="289"/>
    </row>
    <row r="149" spans="1:13" ht="18" customHeight="1">
      <c r="A149" s="4" t="s">
        <v>142</v>
      </c>
      <c r="B149" s="686" t="s">
        <v>65</v>
      </c>
      <c r="C149" s="347"/>
      <c r="D149" s="347"/>
      <c r="E149" s="347"/>
      <c r="F149" s="718">
        <f t="shared" ref="F149:K149" si="13">F49</f>
        <v>38506.5</v>
      </c>
      <c r="G149" s="718">
        <f t="shared" si="13"/>
        <v>5578</v>
      </c>
      <c r="H149" s="718">
        <f t="shared" si="13"/>
        <v>2907989.7847006563</v>
      </c>
      <c r="I149" s="718">
        <f t="shared" si="13"/>
        <v>704080.56856109481</v>
      </c>
      <c r="J149" s="718">
        <f t="shared" si="13"/>
        <v>12548</v>
      </c>
      <c r="K149" s="718">
        <f t="shared" si="13"/>
        <v>3599522.3532617516</v>
      </c>
    </row>
    <row r="150" spans="1:13" ht="18" customHeight="1">
      <c r="A150" s="4" t="s">
        <v>144</v>
      </c>
      <c r="B150" s="686" t="s">
        <v>66</v>
      </c>
      <c r="C150" s="347"/>
      <c r="D150" s="347"/>
      <c r="E150" s="347"/>
      <c r="F150" s="718">
        <f t="shared" ref="F150:K150" si="14">F71</f>
        <v>1703</v>
      </c>
      <c r="G150" s="718">
        <f t="shared" si="14"/>
        <v>10355</v>
      </c>
      <c r="H150" s="718">
        <f t="shared" si="14"/>
        <v>8542149.3200000003</v>
      </c>
      <c r="I150" s="718">
        <f t="shared" si="14"/>
        <v>202580.62892533178</v>
      </c>
      <c r="J150" s="718">
        <f t="shared" si="14"/>
        <v>715423.83000000007</v>
      </c>
      <c r="K150" s="718">
        <f t="shared" si="14"/>
        <v>8029306.1189253321</v>
      </c>
    </row>
    <row r="151" spans="1:13" ht="18" customHeight="1">
      <c r="A151" s="4" t="s">
        <v>146</v>
      </c>
      <c r="B151" s="686" t="s">
        <v>67</v>
      </c>
      <c r="C151" s="347"/>
      <c r="D151" s="347"/>
      <c r="E151" s="347"/>
      <c r="F151" s="718">
        <f t="shared" ref="F151:K151" si="15">F81</f>
        <v>0</v>
      </c>
      <c r="G151" s="718">
        <f t="shared" si="15"/>
        <v>0</v>
      </c>
      <c r="H151" s="718">
        <f t="shared" si="15"/>
        <v>4091382.53</v>
      </c>
      <c r="I151" s="718">
        <f t="shared" si="15"/>
        <v>0</v>
      </c>
      <c r="J151" s="718">
        <f t="shared" si="15"/>
        <v>4091382.53</v>
      </c>
      <c r="K151" s="718">
        <f t="shared" si="15"/>
        <v>0</v>
      </c>
    </row>
    <row r="152" spans="1:13" ht="18" customHeight="1">
      <c r="A152" s="4" t="s">
        <v>148</v>
      </c>
      <c r="B152" s="686" t="s">
        <v>68</v>
      </c>
      <c r="C152" s="347"/>
      <c r="D152" s="347"/>
      <c r="E152" s="347"/>
      <c r="F152" s="718">
        <f t="shared" ref="F152:K152" si="16">F89</f>
        <v>419</v>
      </c>
      <c r="G152" s="718">
        <f t="shared" si="16"/>
        <v>1828</v>
      </c>
      <c r="H152" s="718">
        <f t="shared" si="16"/>
        <v>814604</v>
      </c>
      <c r="I152" s="718">
        <f t="shared" si="16"/>
        <v>4211.9088434002224</v>
      </c>
      <c r="J152" s="718">
        <f t="shared" si="16"/>
        <v>0</v>
      </c>
      <c r="K152" s="718">
        <f t="shared" si="16"/>
        <v>818815.90884340019</v>
      </c>
    </row>
    <row r="153" spans="1:13" ht="18" customHeight="1">
      <c r="A153" s="4" t="s">
        <v>150</v>
      </c>
      <c r="B153" s="686" t="s">
        <v>69</v>
      </c>
      <c r="C153" s="347"/>
      <c r="D153" s="347"/>
      <c r="E153" s="347"/>
      <c r="F153" s="718">
        <f t="shared" ref="F153:K153" si="17">F105</f>
        <v>3298</v>
      </c>
      <c r="G153" s="718">
        <f t="shared" si="17"/>
        <v>87261</v>
      </c>
      <c r="H153" s="718">
        <f t="shared" si="17"/>
        <v>599974</v>
      </c>
      <c r="I153" s="718">
        <f t="shared" si="17"/>
        <v>285572.37039030995</v>
      </c>
      <c r="J153" s="718">
        <f t="shared" si="17"/>
        <v>25096</v>
      </c>
      <c r="K153" s="718">
        <f t="shared" si="17"/>
        <v>860450.37039030995</v>
      </c>
    </row>
    <row r="154" spans="1:13" ht="18" customHeight="1">
      <c r="A154" s="4" t="s">
        <v>153</v>
      </c>
      <c r="B154" s="686" t="s">
        <v>61</v>
      </c>
      <c r="C154" s="347"/>
      <c r="D154" s="347"/>
      <c r="E154" s="347"/>
      <c r="F154" s="694">
        <f t="shared" ref="F154:K154" si="18">F115</f>
        <v>846.34299999999996</v>
      </c>
      <c r="G154" s="694">
        <f t="shared" si="18"/>
        <v>29</v>
      </c>
      <c r="H154" s="694">
        <f t="shared" si="18"/>
        <v>165808.02857142856</v>
      </c>
      <c r="I154" s="694">
        <f t="shared" si="18"/>
        <v>89219.958336967597</v>
      </c>
      <c r="J154" s="694">
        <f t="shared" si="18"/>
        <v>50192</v>
      </c>
      <c r="K154" s="694">
        <f t="shared" si="18"/>
        <v>204835.98690839618</v>
      </c>
    </row>
    <row r="155" spans="1:13" ht="18" customHeight="1">
      <c r="A155" s="4" t="s">
        <v>155</v>
      </c>
      <c r="B155" s="686" t="s">
        <v>70</v>
      </c>
      <c r="C155" s="347"/>
      <c r="D155" s="347"/>
      <c r="E155" s="347"/>
      <c r="F155" s="718" t="s">
        <v>73</v>
      </c>
      <c r="G155" s="718" t="s">
        <v>73</v>
      </c>
      <c r="H155" s="719" t="s">
        <v>73</v>
      </c>
      <c r="I155" s="719" t="s">
        <v>73</v>
      </c>
      <c r="J155" s="719" t="s">
        <v>73</v>
      </c>
      <c r="K155" s="719">
        <f>F118</f>
        <v>4093000</v>
      </c>
    </row>
    <row r="156" spans="1:13" ht="18" customHeight="1">
      <c r="A156" s="4" t="s">
        <v>163</v>
      </c>
      <c r="B156" s="686" t="s">
        <v>71</v>
      </c>
      <c r="C156" s="347"/>
      <c r="D156" s="347"/>
      <c r="E156" s="347"/>
      <c r="F156" s="694">
        <f t="shared" ref="F156:K156" si="19">F144</f>
        <v>0</v>
      </c>
      <c r="G156" s="694">
        <f t="shared" si="19"/>
        <v>8</v>
      </c>
      <c r="H156" s="694">
        <f t="shared" si="19"/>
        <v>634948</v>
      </c>
      <c r="I156" s="694">
        <f t="shared" si="19"/>
        <v>170830.19017301867</v>
      </c>
      <c r="J156" s="694">
        <f t="shared" si="19"/>
        <v>0</v>
      </c>
      <c r="K156" s="694">
        <f t="shared" si="19"/>
        <v>805778.19017301861</v>
      </c>
    </row>
    <row r="157" spans="1:13" ht="18" customHeight="1">
      <c r="A157" s="4" t="s">
        <v>185</v>
      </c>
      <c r="B157" s="686" t="s">
        <v>183</v>
      </c>
      <c r="C157" s="347"/>
      <c r="D157" s="347"/>
      <c r="E157" s="347"/>
      <c r="F157" s="718" t="s">
        <v>73</v>
      </c>
      <c r="G157" s="718" t="s">
        <v>73</v>
      </c>
      <c r="H157" s="694">
        <f>H18</f>
        <v>7253095.6238646954</v>
      </c>
      <c r="I157" s="694">
        <f>I18</f>
        <v>0</v>
      </c>
      <c r="J157" s="694">
        <f>J18</f>
        <v>6202303.6349099334</v>
      </c>
      <c r="K157" s="694">
        <f>K18</f>
        <v>1050791.988954762</v>
      </c>
    </row>
    <row r="158" spans="1:13" ht="18" customHeight="1">
      <c r="B158" s="686"/>
      <c r="C158" s="347"/>
      <c r="D158" s="347"/>
      <c r="E158" s="347"/>
      <c r="F158" s="700"/>
      <c r="G158" s="700"/>
      <c r="H158" s="700"/>
      <c r="I158" s="700"/>
      <c r="J158" s="700"/>
      <c r="K158" s="700"/>
    </row>
    <row r="159" spans="1:13" ht="18" customHeight="1">
      <c r="A159" s="5" t="s">
        <v>165</v>
      </c>
      <c r="B159" s="686" t="s">
        <v>26</v>
      </c>
      <c r="C159" s="347"/>
      <c r="D159" s="347"/>
      <c r="E159" s="347"/>
      <c r="F159" s="694">
        <f t="shared" ref="F159:K159" si="20">SUM(F148:F157)</f>
        <v>71352.642999999996</v>
      </c>
      <c r="G159" s="694">
        <f t="shared" si="20"/>
        <v>127277</v>
      </c>
      <c r="H159" s="288">
        <f t="shared" si="20"/>
        <v>26318115.287136778</v>
      </c>
      <c r="I159" s="288">
        <f t="shared" si="20"/>
        <v>2160408.0870301342</v>
      </c>
      <c r="J159" s="288">
        <f t="shared" si="20"/>
        <v>11198318.994909933</v>
      </c>
      <c r="K159" s="288">
        <f t="shared" si="20"/>
        <v>21373204.379256986</v>
      </c>
    </row>
    <row r="160" spans="1:13" ht="18" customHeight="1">
      <c r="B160" s="347"/>
      <c r="C160" s="347"/>
      <c r="D160" s="347"/>
      <c r="E160" s="347"/>
      <c r="F160" s="347"/>
      <c r="G160" s="347"/>
      <c r="H160" s="347"/>
      <c r="I160" s="347"/>
      <c r="J160" s="347"/>
      <c r="K160" s="347"/>
    </row>
    <row r="161" spans="1:11" ht="18" customHeight="1">
      <c r="A161" s="5" t="s">
        <v>168</v>
      </c>
      <c r="B161" s="686" t="s">
        <v>28</v>
      </c>
      <c r="C161" s="347"/>
      <c r="D161" s="347"/>
      <c r="E161" s="347"/>
      <c r="F161" s="720">
        <f>K159/F128</f>
        <v>8.1010966790320271E-2</v>
      </c>
      <c r="G161" s="347"/>
      <c r="H161" s="692"/>
      <c r="I161" s="347"/>
      <c r="J161" s="347"/>
      <c r="K161" s="347"/>
    </row>
    <row r="162" spans="1:11" ht="18" customHeight="1">
      <c r="A162" s="5" t="s">
        <v>169</v>
      </c>
      <c r="B162" s="686" t="s">
        <v>72</v>
      </c>
      <c r="C162" s="347"/>
      <c r="D162" s="347"/>
      <c r="E162" s="347"/>
      <c r="F162" s="720">
        <f>K159/F134</f>
        <v>2.1778280394596479</v>
      </c>
      <c r="G162" s="686"/>
      <c r="H162" s="347"/>
      <c r="I162" s="347"/>
      <c r="J162" s="347"/>
      <c r="K162" s="347"/>
    </row>
    <row r="163" spans="1:11" ht="18" customHeight="1">
      <c r="G163" s="1"/>
    </row>
  </sheetData>
  <mergeCells count="34">
    <mergeCell ref="B41:C41"/>
    <mergeCell ref="D2:H2"/>
    <mergeCell ref="C5:G5"/>
    <mergeCell ref="C6:G6"/>
    <mergeCell ref="C7:G7"/>
    <mergeCell ref="C9:G9"/>
    <mergeCell ref="C10:G10"/>
    <mergeCell ref="C11:G11"/>
    <mergeCell ref="B13:H13"/>
    <mergeCell ref="B30:D30"/>
    <mergeCell ref="B31:D31"/>
    <mergeCell ref="B34:D34"/>
    <mergeCell ref="B97:C97"/>
    <mergeCell ref="B44:D44"/>
    <mergeCell ref="B45:D45"/>
    <mergeCell ref="B46:D46"/>
    <mergeCell ref="B47:D47"/>
    <mergeCell ref="B52:C52"/>
    <mergeCell ref="B53:D53"/>
    <mergeCell ref="B55:D55"/>
    <mergeCell ref="B56:D56"/>
    <mergeCell ref="B57:D57"/>
    <mergeCell ref="B59:D59"/>
    <mergeCell ref="B69:D69"/>
    <mergeCell ref="B113:D113"/>
    <mergeCell ref="B140:D140"/>
    <mergeCell ref="B141:D141"/>
    <mergeCell ref="B142:D142"/>
    <mergeCell ref="B101:D101"/>
    <mergeCell ref="B102:D102"/>
    <mergeCell ref="B103:D103"/>
    <mergeCell ref="B110:C110"/>
    <mergeCell ref="B111:D111"/>
    <mergeCell ref="B112:D112"/>
  </mergeCells>
  <printOptions headings="1" gridLines="1"/>
  <pageMargins left="0.17" right="0.16" top="0.35" bottom="0.32" header="0.17" footer="0.17"/>
  <pageSetup scale="64" fitToHeight="4" orientation="landscape" r:id="rId1"/>
  <headerFooter alignWithMargins="0">
    <oddFooter>&amp;L&amp;Z&amp;F.xls&amp;C&amp;P of &amp;N&amp;R&amp;D</oddFooter>
  </headerFooter>
  <rowBreaks count="3" manualBreakCount="3">
    <brk id="37" max="10" man="1"/>
    <brk id="90" max="10" man="1"/>
    <brk id="135" max="10" man="1"/>
  </rowBreaks>
  <legacy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theme="8"/>
  </sheetPr>
  <dimension ref="A1:K157"/>
  <sheetViews>
    <sheetView showGridLines="0" topLeftCell="A31" zoomScale="80" zoomScaleNormal="80" zoomScaleSheetLayoutView="80" workbookViewId="0">
      <selection activeCell="F65" sqref="F65"/>
    </sheetView>
  </sheetViews>
  <sheetFormatPr defaultColWidth="8.85546875" defaultRowHeight="18" customHeight="1"/>
  <cols>
    <col min="1" max="1" width="8.28515625" style="202" customWidth="1"/>
    <col min="2" max="2" width="55.42578125" style="203" bestFit="1" customWidth="1"/>
    <col min="3" max="3" width="7" style="203" customWidth="1"/>
    <col min="4" max="4" width="2.7109375" style="203" customWidth="1"/>
    <col min="5" max="5" width="10.28515625" style="203" customWidth="1"/>
    <col min="6" max="6" width="18.42578125" style="203" customWidth="1"/>
    <col min="7" max="7" width="23.42578125" style="203" customWidth="1"/>
    <col min="8" max="8" width="17.140625" style="203" customWidth="1"/>
    <col min="9" max="9" width="21.140625" style="203" customWidth="1"/>
    <col min="10" max="10" width="19.85546875" style="203" customWidth="1"/>
    <col min="11" max="11" width="17.42578125" style="203" customWidth="1"/>
    <col min="12" max="16384" width="8.85546875" style="203"/>
  </cols>
  <sheetData>
    <row r="1" spans="1:11" ht="18" customHeight="1">
      <c r="C1" s="204"/>
      <c r="D1" s="205"/>
      <c r="E1" s="204"/>
      <c r="F1" s="204"/>
      <c r="G1" s="204"/>
      <c r="H1" s="204"/>
      <c r="I1" s="204"/>
      <c r="J1" s="204"/>
      <c r="K1" s="204"/>
    </row>
    <row r="2" spans="1:11" ht="18" customHeight="1">
      <c r="D2" s="206" t="s">
        <v>776</v>
      </c>
      <c r="E2" s="207"/>
      <c r="F2" s="207"/>
      <c r="G2" s="207"/>
      <c r="H2" s="207"/>
    </row>
    <row r="3" spans="1:11" ht="18" customHeight="1">
      <c r="B3" s="208" t="s">
        <v>0</v>
      </c>
    </row>
    <row r="5" spans="1:11" ht="18" customHeight="1">
      <c r="B5" s="209" t="s">
        <v>40</v>
      </c>
      <c r="C5" s="1071" t="s">
        <v>299</v>
      </c>
      <c r="D5" s="1072"/>
      <c r="E5" s="1072"/>
      <c r="F5" s="1072"/>
      <c r="G5" s="1073"/>
    </row>
    <row r="6" spans="1:11" ht="18" customHeight="1">
      <c r="B6" s="209" t="s">
        <v>3</v>
      </c>
      <c r="C6" s="1074">
        <v>23</v>
      </c>
      <c r="D6" s="1075"/>
      <c r="E6" s="1075"/>
      <c r="F6" s="1075"/>
      <c r="G6" s="1076"/>
    </row>
    <row r="7" spans="1:11" ht="18" customHeight="1">
      <c r="B7" s="209" t="s">
        <v>4</v>
      </c>
      <c r="C7" s="1077"/>
      <c r="D7" s="1078"/>
      <c r="E7" s="1078"/>
      <c r="F7" s="1078"/>
      <c r="G7" s="1079"/>
    </row>
    <row r="9" spans="1:11" ht="18" customHeight="1">
      <c r="B9" s="209" t="s">
        <v>1</v>
      </c>
      <c r="C9" s="1071" t="s">
        <v>342</v>
      </c>
      <c r="D9" s="1072"/>
      <c r="E9" s="1072"/>
      <c r="F9" s="1072"/>
      <c r="G9" s="1073"/>
    </row>
    <row r="10" spans="1:11" ht="18" customHeight="1">
      <c r="B10" s="209" t="s">
        <v>2</v>
      </c>
      <c r="C10" s="1080" t="s">
        <v>343</v>
      </c>
      <c r="D10" s="1081"/>
      <c r="E10" s="1081"/>
      <c r="F10" s="1081"/>
      <c r="G10" s="1082"/>
    </row>
    <row r="11" spans="1:11" ht="18" customHeight="1">
      <c r="B11" s="209" t="s">
        <v>32</v>
      </c>
      <c r="C11" s="1069" t="s">
        <v>344</v>
      </c>
      <c r="D11" s="1070"/>
      <c r="E11" s="1070"/>
      <c r="F11" s="1070"/>
      <c r="G11" s="1070"/>
    </row>
    <row r="12" spans="1:11" ht="18" customHeight="1">
      <c r="B12" s="209"/>
      <c r="C12" s="209"/>
      <c r="D12" s="209"/>
      <c r="E12" s="209"/>
      <c r="F12" s="209"/>
      <c r="G12" s="209"/>
    </row>
    <row r="13" spans="1:11" ht="24.6" customHeight="1">
      <c r="B13" s="1062"/>
      <c r="C13" s="1063"/>
      <c r="D13" s="1063"/>
      <c r="E13" s="1063"/>
      <c r="F13" s="1063"/>
      <c r="G13" s="1063"/>
      <c r="H13" s="1061"/>
      <c r="I13" s="204"/>
    </row>
    <row r="14" spans="1:11" ht="18" customHeight="1">
      <c r="B14" s="210"/>
    </row>
    <row r="15" spans="1:11" ht="18" customHeight="1">
      <c r="B15" s="210"/>
    </row>
    <row r="16" spans="1:11" ht="45" customHeight="1">
      <c r="A16" s="205" t="s">
        <v>181</v>
      </c>
      <c r="B16" s="204"/>
      <c r="C16" s="204"/>
      <c r="D16" s="204"/>
      <c r="E16" s="204"/>
      <c r="F16" s="211" t="s">
        <v>9</v>
      </c>
      <c r="G16" s="211" t="s">
        <v>37</v>
      </c>
      <c r="H16" s="211" t="s">
        <v>29</v>
      </c>
      <c r="I16" s="211" t="s">
        <v>30</v>
      </c>
      <c r="J16" s="211" t="s">
        <v>33</v>
      </c>
      <c r="K16" s="211" t="s">
        <v>34</v>
      </c>
    </row>
    <row r="17" spans="1:11" ht="18" customHeight="1">
      <c r="A17" s="212" t="s">
        <v>184</v>
      </c>
      <c r="B17" s="208" t="s">
        <v>182</v>
      </c>
    </row>
    <row r="18" spans="1:11" ht="18" customHeight="1">
      <c r="A18" s="209" t="s">
        <v>185</v>
      </c>
      <c r="B18" s="203" t="s">
        <v>183</v>
      </c>
      <c r="F18" s="213" t="s">
        <v>73</v>
      </c>
      <c r="G18" s="213" t="s">
        <v>73</v>
      </c>
      <c r="H18" s="219">
        <v>13891673</v>
      </c>
      <c r="I18" s="214">
        <v>0</v>
      </c>
      <c r="J18" s="219">
        <v>11879117</v>
      </c>
      <c r="K18" s="222">
        <f>(H18+I18)-J18</f>
        <v>2012556</v>
      </c>
    </row>
    <row r="19" spans="1:11" ht="45" customHeight="1">
      <c r="A19" s="205" t="s">
        <v>8</v>
      </c>
      <c r="B19" s="204"/>
      <c r="C19" s="204"/>
      <c r="D19" s="204"/>
      <c r="E19" s="204"/>
      <c r="F19" s="211" t="s">
        <v>9</v>
      </c>
      <c r="G19" s="211" t="s">
        <v>37</v>
      </c>
      <c r="H19" s="211" t="s">
        <v>29</v>
      </c>
      <c r="I19" s="211" t="s">
        <v>30</v>
      </c>
      <c r="J19" s="211" t="s">
        <v>33</v>
      </c>
      <c r="K19" s="211" t="s">
        <v>34</v>
      </c>
    </row>
    <row r="20" spans="1:11" ht="18" customHeight="1">
      <c r="A20" s="212" t="s">
        <v>74</v>
      </c>
      <c r="B20" s="208" t="s">
        <v>41</v>
      </c>
    </row>
    <row r="21" spans="1:11" ht="18" customHeight="1">
      <c r="A21" s="209" t="s">
        <v>75</v>
      </c>
      <c r="B21" s="203" t="s">
        <v>42</v>
      </c>
      <c r="F21" s="213">
        <v>4232</v>
      </c>
      <c r="G21" s="213">
        <v>19862</v>
      </c>
      <c r="H21" s="219">
        <v>633588</v>
      </c>
      <c r="I21" s="214">
        <f t="shared" ref="I21:I29" si="0">H21*F$115</f>
        <v>335294.7696</v>
      </c>
      <c r="J21" s="219"/>
      <c r="K21" s="222">
        <f t="shared" ref="K21:K29" si="1">(H21+I21)-J21</f>
        <v>968882.7696</v>
      </c>
    </row>
    <row r="22" spans="1:11" ht="18" customHeight="1">
      <c r="A22" s="209" t="s">
        <v>76</v>
      </c>
      <c r="B22" s="203" t="s">
        <v>6</v>
      </c>
      <c r="F22" s="213">
        <v>2029</v>
      </c>
      <c r="G22" s="213">
        <v>3100</v>
      </c>
      <c r="H22" s="219">
        <v>89317</v>
      </c>
      <c r="I22" s="214">
        <f t="shared" si="0"/>
        <v>47266.556400000001</v>
      </c>
      <c r="J22" s="219"/>
      <c r="K22" s="222">
        <f t="shared" si="1"/>
        <v>136583.5564</v>
      </c>
    </row>
    <row r="23" spans="1:11" ht="18" customHeight="1">
      <c r="A23" s="209" t="s">
        <v>77</v>
      </c>
      <c r="B23" s="203" t="s">
        <v>43</v>
      </c>
      <c r="F23" s="213">
        <v>3054</v>
      </c>
      <c r="G23" s="213">
        <v>6204</v>
      </c>
      <c r="H23" s="219">
        <v>179204</v>
      </c>
      <c r="I23" s="214">
        <f t="shared" si="0"/>
        <v>94834.756800000003</v>
      </c>
      <c r="J23" s="219">
        <v>39000</v>
      </c>
      <c r="K23" s="222">
        <f t="shared" si="1"/>
        <v>235038.75679999997</v>
      </c>
    </row>
    <row r="24" spans="1:11" ht="18" customHeight="1">
      <c r="A24" s="209" t="s">
        <v>78</v>
      </c>
      <c r="B24" s="203" t="s">
        <v>44</v>
      </c>
      <c r="F24" s="213">
        <v>620</v>
      </c>
      <c r="G24" s="213">
        <v>4479</v>
      </c>
      <c r="H24" s="219">
        <v>46654</v>
      </c>
      <c r="I24" s="214">
        <f t="shared" si="0"/>
        <v>24689.2968</v>
      </c>
      <c r="J24" s="219"/>
      <c r="K24" s="222">
        <f t="shared" si="1"/>
        <v>71343.296799999996</v>
      </c>
    </row>
    <row r="25" spans="1:11" ht="18" customHeight="1">
      <c r="A25" s="209" t="s">
        <v>79</v>
      </c>
      <c r="B25" s="203" t="s">
        <v>5</v>
      </c>
      <c r="F25" s="213">
        <v>8493</v>
      </c>
      <c r="G25" s="213">
        <v>9248</v>
      </c>
      <c r="H25" s="219">
        <v>220841</v>
      </c>
      <c r="I25" s="214">
        <f t="shared" si="0"/>
        <v>116869.0572</v>
      </c>
      <c r="J25" s="219"/>
      <c r="K25" s="222">
        <f t="shared" si="1"/>
        <v>337710.05719999998</v>
      </c>
    </row>
    <row r="26" spans="1:11" ht="18" customHeight="1">
      <c r="A26" s="209" t="s">
        <v>80</v>
      </c>
      <c r="B26" s="203" t="s">
        <v>45</v>
      </c>
      <c r="F26" s="213">
        <v>638</v>
      </c>
      <c r="G26" s="213">
        <v>610</v>
      </c>
      <c r="H26" s="219">
        <v>44084</v>
      </c>
      <c r="I26" s="214">
        <f t="shared" si="0"/>
        <v>23329.252799999998</v>
      </c>
      <c r="J26" s="219"/>
      <c r="K26" s="222">
        <f t="shared" si="1"/>
        <v>67413.252800000002</v>
      </c>
    </row>
    <row r="27" spans="1:11" ht="18" customHeight="1">
      <c r="A27" s="209" t="s">
        <v>83</v>
      </c>
      <c r="B27" s="203" t="s">
        <v>48</v>
      </c>
      <c r="F27" s="213">
        <v>32122</v>
      </c>
      <c r="G27" s="213">
        <v>21835</v>
      </c>
      <c r="H27" s="219">
        <v>1270759</v>
      </c>
      <c r="I27" s="214">
        <f t="shared" si="0"/>
        <v>672485.66280000005</v>
      </c>
      <c r="J27" s="219">
        <v>153516</v>
      </c>
      <c r="K27" s="222">
        <f t="shared" si="1"/>
        <v>1789728.6628</v>
      </c>
    </row>
    <row r="28" spans="1:11" ht="18" customHeight="1">
      <c r="A28" s="209" t="s">
        <v>84</v>
      </c>
      <c r="B28" s="1058" t="s">
        <v>345</v>
      </c>
      <c r="C28" s="1059"/>
      <c r="D28" s="1060"/>
      <c r="F28" s="213"/>
      <c r="G28" s="213">
        <v>560</v>
      </c>
      <c r="H28" s="219">
        <v>23507</v>
      </c>
      <c r="I28" s="214">
        <f t="shared" si="0"/>
        <v>12439.904399999999</v>
      </c>
      <c r="J28" s="219"/>
      <c r="K28" s="222">
        <f t="shared" si="1"/>
        <v>35946.904399999999</v>
      </c>
    </row>
    <row r="29" spans="1:11" ht="18" customHeight="1">
      <c r="A29" s="209" t="s">
        <v>133</v>
      </c>
      <c r="B29" s="1064" t="s">
        <v>346</v>
      </c>
      <c r="C29" s="1065"/>
      <c r="D29" s="1066"/>
      <c r="F29" s="234"/>
      <c r="G29" s="234"/>
      <c r="H29" s="575">
        <v>44131</v>
      </c>
      <c r="I29" s="768">
        <f t="shared" si="0"/>
        <v>23354.125199999999</v>
      </c>
      <c r="J29" s="575"/>
      <c r="K29" s="254">
        <f t="shared" si="1"/>
        <v>67485.125199999995</v>
      </c>
    </row>
    <row r="30" spans="1:11" ht="18" customHeight="1">
      <c r="A30" s="770"/>
      <c r="B30" s="765"/>
      <c r="C30" s="765"/>
      <c r="D30" s="765"/>
      <c r="E30" s="771"/>
      <c r="F30" s="766"/>
      <c r="G30" s="766"/>
      <c r="H30" s="767"/>
      <c r="I30" s="767"/>
      <c r="J30" s="767"/>
      <c r="K30" s="772"/>
    </row>
    <row r="31" spans="1:11" ht="18" customHeight="1">
      <c r="A31" s="770"/>
      <c r="B31" s="765"/>
      <c r="C31" s="765"/>
      <c r="D31" s="765"/>
      <c r="E31" s="771"/>
      <c r="F31" s="766"/>
      <c r="G31" s="766"/>
      <c r="H31" s="767"/>
      <c r="I31" s="767"/>
      <c r="J31" s="767"/>
      <c r="K31" s="772"/>
    </row>
    <row r="32" spans="1:11" ht="18" customHeight="1">
      <c r="A32" s="770"/>
      <c r="B32" s="765"/>
      <c r="C32" s="765"/>
      <c r="D32" s="765"/>
      <c r="E32" s="771"/>
      <c r="F32" s="766"/>
      <c r="G32" s="766"/>
      <c r="H32" s="767"/>
      <c r="I32" s="767"/>
      <c r="J32" s="767"/>
      <c r="K32" s="772"/>
    </row>
    <row r="33" spans="1:11" ht="18" customHeight="1">
      <c r="A33" s="770"/>
      <c r="B33" s="765"/>
      <c r="C33" s="765"/>
      <c r="D33" s="765"/>
      <c r="E33" s="771"/>
      <c r="F33" s="766"/>
      <c r="G33" s="766"/>
      <c r="H33" s="767"/>
      <c r="I33" s="767"/>
      <c r="J33" s="767"/>
      <c r="K33" s="772"/>
    </row>
    <row r="34" spans="1:11" ht="18" customHeight="1">
      <c r="A34" s="770"/>
      <c r="B34" s="765"/>
      <c r="C34" s="765"/>
      <c r="D34" s="765"/>
      <c r="E34" s="771"/>
      <c r="F34" s="766"/>
      <c r="G34" s="766"/>
      <c r="H34" s="767"/>
      <c r="I34" s="767"/>
      <c r="J34" s="767"/>
      <c r="K34" s="772"/>
    </row>
    <row r="35" spans="1:11" ht="18" customHeight="1">
      <c r="K35" s="769"/>
    </row>
    <row r="36" spans="1:11" ht="18" customHeight="1">
      <c r="A36" s="212" t="s">
        <v>137</v>
      </c>
      <c r="B36" s="208" t="s">
        <v>138</v>
      </c>
      <c r="E36" s="208" t="s">
        <v>7</v>
      </c>
      <c r="F36" s="215">
        <f t="shared" ref="F36:K36" si="2">SUM(F21:F29)</f>
        <v>51188</v>
      </c>
      <c r="G36" s="215">
        <f t="shared" si="2"/>
        <v>65898</v>
      </c>
      <c r="H36" s="215">
        <f t="shared" si="2"/>
        <v>2552085</v>
      </c>
      <c r="I36" s="222">
        <f t="shared" si="2"/>
        <v>1350563.382</v>
      </c>
      <c r="J36" s="222">
        <f t="shared" si="2"/>
        <v>192516</v>
      </c>
      <c r="K36" s="222">
        <f t="shared" si="2"/>
        <v>3710132.3819999998</v>
      </c>
    </row>
    <row r="37" spans="1:11" ht="18" customHeight="1" thickBot="1">
      <c r="B37" s="208"/>
      <c r="F37" s="216"/>
      <c r="G37" s="216"/>
      <c r="H37" s="217"/>
      <c r="I37" s="217"/>
      <c r="J37" s="217"/>
      <c r="K37" s="218"/>
    </row>
    <row r="38" spans="1:11" ht="42.75" customHeight="1">
      <c r="F38" s="211" t="s">
        <v>9</v>
      </c>
      <c r="G38" s="211" t="s">
        <v>37</v>
      </c>
      <c r="H38" s="211" t="s">
        <v>29</v>
      </c>
      <c r="I38" s="211" t="s">
        <v>30</v>
      </c>
      <c r="J38" s="211" t="s">
        <v>33</v>
      </c>
      <c r="K38" s="211" t="s">
        <v>34</v>
      </c>
    </row>
    <row r="39" spans="1:11" ht="18.75" customHeight="1">
      <c r="A39" s="212" t="s">
        <v>86</v>
      </c>
      <c r="B39" s="208" t="s">
        <v>49</v>
      </c>
    </row>
    <row r="40" spans="1:11" ht="18" customHeight="1">
      <c r="A40" s="209" t="s">
        <v>87</v>
      </c>
      <c r="B40" s="203" t="s">
        <v>31</v>
      </c>
      <c r="F40" s="213">
        <v>14715</v>
      </c>
      <c r="G40" s="213">
        <v>5219</v>
      </c>
      <c r="H40" s="219">
        <v>1315454</v>
      </c>
      <c r="I40" s="214">
        <v>0</v>
      </c>
      <c r="J40" s="219"/>
      <c r="K40" s="222">
        <f>(H40+I40)-J40</f>
        <v>1315454</v>
      </c>
    </row>
    <row r="41" spans="1:11" ht="18" customHeight="1">
      <c r="A41" s="209" t="s">
        <v>88</v>
      </c>
      <c r="B41" s="1061" t="s">
        <v>50</v>
      </c>
      <c r="C41" s="1061"/>
      <c r="F41" s="213">
        <v>117506</v>
      </c>
      <c r="G41" s="213">
        <v>896</v>
      </c>
      <c r="H41" s="219">
        <v>4112710</v>
      </c>
      <c r="I41" s="214">
        <v>0</v>
      </c>
      <c r="J41" s="219"/>
      <c r="K41" s="222">
        <f>(H41+I41)-J41</f>
        <v>4112710</v>
      </c>
    </row>
    <row r="42" spans="1:11" ht="18" customHeight="1">
      <c r="A42" s="209" t="s">
        <v>89</v>
      </c>
      <c r="B42" s="203" t="s">
        <v>11</v>
      </c>
      <c r="F42" s="213">
        <v>6334</v>
      </c>
      <c r="G42" s="213">
        <v>67</v>
      </c>
      <c r="H42" s="219">
        <v>188075</v>
      </c>
      <c r="I42" s="214">
        <v>0</v>
      </c>
      <c r="J42" s="219"/>
      <c r="K42" s="222">
        <f>(H42+I42)-J42</f>
        <v>188075</v>
      </c>
    </row>
    <row r="43" spans="1:11" ht="18" customHeight="1">
      <c r="A43" s="209" t="s">
        <v>90</v>
      </c>
      <c r="B43" s="220" t="s">
        <v>10</v>
      </c>
      <c r="C43" s="220"/>
      <c r="D43" s="220"/>
      <c r="F43" s="213">
        <v>225</v>
      </c>
      <c r="G43" s="213">
        <v>873</v>
      </c>
      <c r="H43" s="219">
        <v>9000</v>
      </c>
      <c r="I43" s="214">
        <v>0</v>
      </c>
      <c r="J43" s="219"/>
      <c r="K43" s="222">
        <f>(H43+I43)-J43</f>
        <v>9000</v>
      </c>
    </row>
    <row r="44" spans="1:11" ht="18" customHeight="1">
      <c r="A44" s="209"/>
      <c r="B44" s="220"/>
      <c r="C44" s="220"/>
      <c r="D44" s="220"/>
      <c r="F44" s="763"/>
      <c r="G44" s="763"/>
      <c r="H44" s="764"/>
      <c r="I44" s="764"/>
      <c r="J44" s="764"/>
      <c r="K44" s="773"/>
    </row>
    <row r="45" spans="1:11" ht="18" customHeight="1">
      <c r="A45" s="209"/>
      <c r="B45" s="220"/>
      <c r="C45" s="220"/>
      <c r="D45" s="220"/>
      <c r="F45" s="763"/>
      <c r="G45" s="763"/>
      <c r="H45" s="764"/>
      <c r="I45" s="764"/>
      <c r="J45" s="764"/>
      <c r="K45" s="773"/>
    </row>
    <row r="46" spans="1:11" ht="18" customHeight="1">
      <c r="A46" s="209"/>
      <c r="B46" s="220"/>
      <c r="C46" s="220"/>
      <c r="D46" s="220"/>
      <c r="F46" s="763"/>
      <c r="G46" s="763"/>
      <c r="H46" s="764"/>
      <c r="I46" s="764"/>
      <c r="J46" s="764"/>
      <c r="K46" s="773"/>
    </row>
    <row r="47" spans="1:11" ht="18" customHeight="1">
      <c r="A47" s="209"/>
      <c r="B47" s="220"/>
      <c r="C47" s="220"/>
      <c r="D47" s="220"/>
      <c r="F47" s="763"/>
      <c r="G47" s="763"/>
      <c r="H47" s="764"/>
      <c r="I47" s="764"/>
      <c r="J47" s="764"/>
      <c r="K47" s="773"/>
    </row>
    <row r="49" spans="1:11" ht="18" customHeight="1">
      <c r="A49" s="212" t="s">
        <v>142</v>
      </c>
      <c r="B49" s="208" t="s">
        <v>143</v>
      </c>
      <c r="E49" s="208" t="s">
        <v>7</v>
      </c>
      <c r="F49" s="221">
        <f t="shared" ref="F49:K49" si="3">SUM(F40:F43)</f>
        <v>138780</v>
      </c>
      <c r="G49" s="221">
        <f t="shared" si="3"/>
        <v>7055</v>
      </c>
      <c r="H49" s="222">
        <f t="shared" si="3"/>
        <v>5625239</v>
      </c>
      <c r="I49" s="222">
        <f t="shared" si="3"/>
        <v>0</v>
      </c>
      <c r="J49" s="222">
        <f t="shared" si="3"/>
        <v>0</v>
      </c>
      <c r="K49" s="222">
        <f t="shared" si="3"/>
        <v>5625239</v>
      </c>
    </row>
    <row r="50" spans="1:11" ht="18" customHeight="1" thickBot="1">
      <c r="G50" s="223"/>
      <c r="H50" s="223"/>
      <c r="I50" s="223"/>
      <c r="J50" s="223"/>
      <c r="K50" s="223"/>
    </row>
    <row r="51" spans="1:11" ht="42.75" customHeight="1">
      <c r="F51" s="211" t="s">
        <v>9</v>
      </c>
      <c r="G51" s="211" t="s">
        <v>37</v>
      </c>
      <c r="H51" s="211" t="s">
        <v>29</v>
      </c>
      <c r="I51" s="211" t="s">
        <v>30</v>
      </c>
      <c r="J51" s="211" t="s">
        <v>33</v>
      </c>
      <c r="K51" s="211" t="s">
        <v>34</v>
      </c>
    </row>
    <row r="52" spans="1:11" ht="18" customHeight="1">
      <c r="A52" s="212" t="s">
        <v>92</v>
      </c>
      <c r="B52" s="1067" t="s">
        <v>38</v>
      </c>
      <c r="C52" s="1068"/>
    </row>
    <row r="53" spans="1:11" ht="18" customHeight="1">
      <c r="A53" s="209" t="s">
        <v>51</v>
      </c>
      <c r="B53" s="1058" t="s">
        <v>347</v>
      </c>
      <c r="C53" s="1059"/>
      <c r="D53" s="1060"/>
      <c r="F53" s="213"/>
      <c r="G53" s="213"/>
      <c r="H53" s="219"/>
      <c r="I53" s="214">
        <v>0</v>
      </c>
      <c r="J53" s="219"/>
      <c r="K53" s="222">
        <f t="shared" ref="K53:K62" si="4">(H53+I53)-J53</f>
        <v>0</v>
      </c>
    </row>
    <row r="54" spans="1:11" ht="18" customHeight="1">
      <c r="A54" s="209" t="s">
        <v>93</v>
      </c>
      <c r="B54" s="399" t="s">
        <v>348</v>
      </c>
      <c r="C54" s="400"/>
      <c r="D54" s="401"/>
      <c r="F54" s="213"/>
      <c r="G54" s="213">
        <v>2995</v>
      </c>
      <c r="H54" s="219">
        <v>350789</v>
      </c>
      <c r="I54" s="214">
        <v>0</v>
      </c>
      <c r="J54" s="219"/>
      <c r="K54" s="222">
        <f t="shared" si="4"/>
        <v>350789</v>
      </c>
    </row>
    <row r="55" spans="1:11" ht="18" customHeight="1">
      <c r="A55" s="209" t="s">
        <v>94</v>
      </c>
      <c r="B55" s="1058" t="s">
        <v>349</v>
      </c>
      <c r="C55" s="1059"/>
      <c r="D55" s="1060"/>
      <c r="F55" s="213"/>
      <c r="G55" s="213">
        <v>7898</v>
      </c>
      <c r="H55" s="219">
        <v>564609</v>
      </c>
      <c r="I55" s="214">
        <v>0</v>
      </c>
      <c r="J55" s="219"/>
      <c r="K55" s="222">
        <f t="shared" si="4"/>
        <v>564609</v>
      </c>
    </row>
    <row r="56" spans="1:11" ht="18" customHeight="1">
      <c r="A56" s="209" t="s">
        <v>95</v>
      </c>
      <c r="B56" s="1058" t="s">
        <v>350</v>
      </c>
      <c r="C56" s="1059"/>
      <c r="D56" s="1060"/>
      <c r="F56" s="213"/>
      <c r="G56" s="213"/>
      <c r="H56" s="219">
        <v>560543</v>
      </c>
      <c r="I56" s="214">
        <v>0</v>
      </c>
      <c r="J56" s="219"/>
      <c r="K56" s="222">
        <f t="shared" si="4"/>
        <v>560543</v>
      </c>
    </row>
    <row r="57" spans="1:11" ht="18" customHeight="1">
      <c r="A57" s="209" t="s">
        <v>96</v>
      </c>
      <c r="B57" s="1058" t="s">
        <v>351</v>
      </c>
      <c r="C57" s="1059"/>
      <c r="D57" s="1060"/>
      <c r="F57" s="213">
        <v>2619</v>
      </c>
      <c r="G57" s="213"/>
      <c r="H57" s="219">
        <v>133646</v>
      </c>
      <c r="I57" s="214">
        <v>0</v>
      </c>
      <c r="J57" s="219"/>
      <c r="K57" s="222">
        <f t="shared" si="4"/>
        <v>133646</v>
      </c>
    </row>
    <row r="58" spans="1:11" ht="18" customHeight="1">
      <c r="A58" s="209" t="s">
        <v>97</v>
      </c>
      <c r="B58" s="399" t="s">
        <v>352</v>
      </c>
      <c r="C58" s="400"/>
      <c r="D58" s="401"/>
      <c r="F58" s="213">
        <v>4160</v>
      </c>
      <c r="G58" s="213">
        <v>4650</v>
      </c>
      <c r="H58" s="219">
        <v>175568</v>
      </c>
      <c r="I58" s="214">
        <f>H58*F$115</f>
        <v>92910.585600000006</v>
      </c>
      <c r="J58" s="219"/>
      <c r="K58" s="222">
        <f t="shared" si="4"/>
        <v>268478.58559999999</v>
      </c>
    </row>
    <row r="59" spans="1:11" ht="18" customHeight="1">
      <c r="A59" s="209" t="s">
        <v>98</v>
      </c>
      <c r="B59" s="1058" t="s">
        <v>353</v>
      </c>
      <c r="C59" s="1059"/>
      <c r="D59" s="1060"/>
      <c r="F59" s="213"/>
      <c r="G59" s="213">
        <v>1469</v>
      </c>
      <c r="H59" s="219">
        <v>475900</v>
      </c>
      <c r="I59" s="214">
        <v>0</v>
      </c>
      <c r="J59" s="219"/>
      <c r="K59" s="222">
        <f t="shared" si="4"/>
        <v>475900</v>
      </c>
    </row>
    <row r="60" spans="1:11" ht="18" customHeight="1">
      <c r="A60" s="209" t="s">
        <v>99</v>
      </c>
      <c r="B60" s="399" t="s">
        <v>354</v>
      </c>
      <c r="C60" s="400"/>
      <c r="D60" s="401"/>
      <c r="F60" s="213">
        <v>2420</v>
      </c>
      <c r="G60" s="213">
        <v>1020</v>
      </c>
      <c r="H60" s="219">
        <v>496313</v>
      </c>
      <c r="I60" s="214">
        <v>0</v>
      </c>
      <c r="J60" s="219"/>
      <c r="K60" s="222">
        <f t="shared" si="4"/>
        <v>496313</v>
      </c>
    </row>
    <row r="61" spans="1:11" ht="18" customHeight="1">
      <c r="A61" s="209" t="s">
        <v>100</v>
      </c>
      <c r="B61" s="399" t="s">
        <v>355</v>
      </c>
      <c r="C61" s="400"/>
      <c r="D61" s="401"/>
      <c r="F61" s="213"/>
      <c r="G61" s="213"/>
      <c r="H61" s="219">
        <v>46620</v>
      </c>
      <c r="I61" s="214">
        <v>0</v>
      </c>
      <c r="J61" s="219"/>
      <c r="K61" s="222">
        <f t="shared" si="4"/>
        <v>46620</v>
      </c>
    </row>
    <row r="62" spans="1:11" ht="18" customHeight="1">
      <c r="A62" s="209" t="s">
        <v>101</v>
      </c>
      <c r="B62" s="1058" t="s">
        <v>356</v>
      </c>
      <c r="C62" s="1059"/>
      <c r="D62" s="1060"/>
      <c r="F62" s="213"/>
      <c r="G62" s="213"/>
      <c r="H62" s="219">
        <v>351082</v>
      </c>
      <c r="I62" s="214">
        <v>0</v>
      </c>
      <c r="J62" s="219"/>
      <c r="K62" s="222">
        <f t="shared" si="4"/>
        <v>351082</v>
      </c>
    </row>
    <row r="63" spans="1:11" ht="18" customHeight="1">
      <c r="A63" s="209" t="s">
        <v>357</v>
      </c>
      <c r="B63" s="224" t="s">
        <v>358</v>
      </c>
      <c r="C63" s="225"/>
      <c r="D63" s="226"/>
      <c r="F63" s="227"/>
      <c r="G63" s="227"/>
      <c r="H63" s="569">
        <v>16294488</v>
      </c>
      <c r="I63" s="570">
        <v>0</v>
      </c>
      <c r="J63" s="227"/>
      <c r="K63" s="571">
        <f>(H63+I63)-J63</f>
        <v>16294488</v>
      </c>
    </row>
    <row r="64" spans="1:11" ht="18" customHeight="1">
      <c r="A64" s="209" t="s">
        <v>796</v>
      </c>
      <c r="B64" s="224" t="s">
        <v>797</v>
      </c>
      <c r="C64" s="225"/>
      <c r="D64" s="226"/>
      <c r="F64" s="227">
        <v>11648</v>
      </c>
      <c r="G64" s="572"/>
      <c r="H64" s="569">
        <v>3062415</v>
      </c>
      <c r="I64" s="570">
        <v>0</v>
      </c>
      <c r="J64" s="227"/>
      <c r="K64" s="571">
        <f>(H64+I64)-J64</f>
        <v>3062415</v>
      </c>
    </row>
    <row r="65" spans="1:11" ht="18" customHeight="1">
      <c r="A65" s="209" t="s">
        <v>144</v>
      </c>
      <c r="B65" s="208" t="s">
        <v>145</v>
      </c>
      <c r="E65" s="208" t="s">
        <v>7</v>
      </c>
      <c r="F65" s="215">
        <f>SUM(F53:F63)</f>
        <v>9199</v>
      </c>
      <c r="G65" s="215">
        <f>SUM(G53:G63)</f>
        <v>18032</v>
      </c>
      <c r="H65" s="222">
        <f>SUM(H53:H64)</f>
        <v>22511973</v>
      </c>
      <c r="I65" s="222">
        <f>SUM(I53:I64)</f>
        <v>92910.585600000006</v>
      </c>
      <c r="J65" s="222">
        <f>SUM(J53:J63)</f>
        <v>0</v>
      </c>
      <c r="K65" s="222">
        <f>SUM(K53:K64)</f>
        <v>22604883.5856</v>
      </c>
    </row>
    <row r="66" spans="1:11" ht="18" customHeight="1">
      <c r="F66" s="229"/>
      <c r="G66" s="229"/>
      <c r="H66" s="229"/>
      <c r="I66" s="229"/>
      <c r="J66" s="229"/>
      <c r="K66" s="229"/>
    </row>
    <row r="67" spans="1:11" ht="42.75" customHeight="1">
      <c r="F67" s="230" t="s">
        <v>9</v>
      </c>
      <c r="G67" s="230" t="s">
        <v>37</v>
      </c>
      <c r="H67" s="230" t="s">
        <v>29</v>
      </c>
      <c r="I67" s="230" t="s">
        <v>30</v>
      </c>
      <c r="J67" s="230" t="s">
        <v>33</v>
      </c>
      <c r="K67" s="230" t="s">
        <v>34</v>
      </c>
    </row>
    <row r="68" spans="1:11" ht="18" customHeight="1">
      <c r="A68" s="212" t="s">
        <v>102</v>
      </c>
      <c r="B68" s="208" t="s">
        <v>12</v>
      </c>
      <c r="F68" s="231"/>
      <c r="G68" s="231"/>
      <c r="H68" s="231"/>
      <c r="I68" s="228"/>
      <c r="J68" s="231"/>
      <c r="K68" s="232"/>
    </row>
    <row r="69" spans="1:11" ht="18" customHeight="1">
      <c r="A69" s="209" t="s">
        <v>103</v>
      </c>
      <c r="B69" s="203" t="s">
        <v>52</v>
      </c>
      <c r="F69" s="213"/>
      <c r="G69" s="233"/>
      <c r="H69" s="573">
        <v>558157</v>
      </c>
      <c r="I69" s="214"/>
      <c r="J69" s="574"/>
      <c r="K69" s="222">
        <f>(H69+I69)-J69</f>
        <v>558157</v>
      </c>
    </row>
    <row r="70" spans="1:11" ht="18" customHeight="1">
      <c r="A70" s="209" t="s">
        <v>104</v>
      </c>
      <c r="B70" s="203" t="s">
        <v>53</v>
      </c>
      <c r="F70" s="233">
        <v>288</v>
      </c>
      <c r="G70" s="233">
        <v>46</v>
      </c>
      <c r="H70" s="574">
        <v>12260</v>
      </c>
      <c r="I70" s="214">
        <v>0</v>
      </c>
      <c r="J70" s="233"/>
      <c r="K70" s="222">
        <f>(H70+I70)-J70</f>
        <v>12260</v>
      </c>
    </row>
    <row r="71" spans="1:11" ht="18" customHeight="1">
      <c r="A71" s="209" t="s">
        <v>178</v>
      </c>
      <c r="B71" s="399"/>
      <c r="C71" s="400"/>
      <c r="D71" s="401"/>
      <c r="E71" s="208"/>
      <c r="F71" s="234"/>
      <c r="G71" s="234"/>
      <c r="H71" s="575"/>
      <c r="I71" s="214">
        <v>0</v>
      </c>
      <c r="J71" s="575"/>
      <c r="K71" s="222">
        <f>(H71+I71)-J71</f>
        <v>0</v>
      </c>
    </row>
    <row r="72" spans="1:11" ht="18" customHeight="1">
      <c r="A72" s="209" t="s">
        <v>179</v>
      </c>
      <c r="B72" s="399"/>
      <c r="C72" s="400"/>
      <c r="D72" s="401"/>
      <c r="E72" s="208"/>
      <c r="F72" s="234"/>
      <c r="G72" s="234"/>
      <c r="H72" s="575"/>
      <c r="I72" s="214">
        <v>0</v>
      </c>
      <c r="J72" s="575"/>
      <c r="K72" s="222">
        <f>(H72+I72)-J72</f>
        <v>0</v>
      </c>
    </row>
    <row r="73" spans="1:11" ht="18" customHeight="1">
      <c r="A73" s="209" t="s">
        <v>180</v>
      </c>
      <c r="B73" s="235"/>
      <c r="C73" s="236"/>
      <c r="D73" s="237"/>
      <c r="E73" s="208"/>
      <c r="F73" s="213"/>
      <c r="G73" s="213"/>
      <c r="H73" s="219"/>
      <c r="I73" s="214">
        <v>0</v>
      </c>
      <c r="J73" s="219"/>
      <c r="K73" s="222">
        <f>(H73+I73)-J73</f>
        <v>0</v>
      </c>
    </row>
    <row r="74" spans="1:11" ht="18" customHeight="1">
      <c r="A74" s="209"/>
      <c r="E74" s="208"/>
      <c r="F74" s="238"/>
      <c r="G74" s="238"/>
      <c r="H74" s="239"/>
      <c r="I74" s="228"/>
      <c r="J74" s="239"/>
      <c r="K74" s="232"/>
    </row>
    <row r="75" spans="1:11" ht="18" customHeight="1">
      <c r="A75" s="212" t="s">
        <v>146</v>
      </c>
      <c r="B75" s="208" t="s">
        <v>147</v>
      </c>
      <c r="E75" s="208" t="s">
        <v>7</v>
      </c>
      <c r="F75" s="240">
        <f t="shared" ref="F75:K75" si="5">SUM(F69:F73)</f>
        <v>288</v>
      </c>
      <c r="G75" s="240">
        <f t="shared" si="5"/>
        <v>46</v>
      </c>
      <c r="H75" s="240">
        <f t="shared" si="5"/>
        <v>570417</v>
      </c>
      <c r="I75" s="241">
        <f t="shared" si="5"/>
        <v>0</v>
      </c>
      <c r="J75" s="240">
        <f t="shared" si="5"/>
        <v>0</v>
      </c>
      <c r="K75" s="242">
        <f t="shared" si="5"/>
        <v>570417</v>
      </c>
    </row>
    <row r="76" spans="1:11" ht="42.75" customHeight="1">
      <c r="F76" s="211" t="s">
        <v>9</v>
      </c>
      <c r="G76" s="211" t="s">
        <v>37</v>
      </c>
      <c r="H76" s="211" t="s">
        <v>29</v>
      </c>
      <c r="I76" s="211" t="s">
        <v>30</v>
      </c>
      <c r="J76" s="211" t="s">
        <v>33</v>
      </c>
      <c r="K76" s="211" t="s">
        <v>34</v>
      </c>
    </row>
    <row r="77" spans="1:11" ht="18" customHeight="1">
      <c r="A77" s="212" t="s">
        <v>105</v>
      </c>
      <c r="B77" s="208" t="s">
        <v>106</v>
      </c>
    </row>
    <row r="78" spans="1:11" ht="18" customHeight="1">
      <c r="A78" s="209" t="s">
        <v>107</v>
      </c>
      <c r="B78" s="203" t="s">
        <v>54</v>
      </c>
      <c r="F78" s="213"/>
      <c r="G78" s="213"/>
      <c r="H78" s="219">
        <v>144036</v>
      </c>
      <c r="I78" s="214">
        <v>0</v>
      </c>
      <c r="J78" s="219"/>
      <c r="K78" s="222">
        <f>(H78+I78)-J78</f>
        <v>144036</v>
      </c>
    </row>
    <row r="79" spans="1:11" ht="18" customHeight="1">
      <c r="A79" s="209" t="s">
        <v>108</v>
      </c>
      <c r="B79" s="203" t="s">
        <v>55</v>
      </c>
      <c r="F79" s="213"/>
      <c r="G79" s="213"/>
      <c r="H79" s="219"/>
      <c r="I79" s="214">
        <v>0</v>
      </c>
      <c r="J79" s="219"/>
      <c r="K79" s="222">
        <f>(H79+I79)-J79</f>
        <v>0</v>
      </c>
    </row>
    <row r="80" spans="1:11" ht="18" customHeight="1">
      <c r="A80" s="209" t="s">
        <v>109</v>
      </c>
      <c r="B80" s="203" t="s">
        <v>13</v>
      </c>
      <c r="F80" s="213">
        <v>1800</v>
      </c>
      <c r="G80" s="213">
        <v>1694</v>
      </c>
      <c r="H80" s="219">
        <v>725767</v>
      </c>
      <c r="I80" s="214">
        <v>0</v>
      </c>
      <c r="J80" s="219"/>
      <c r="K80" s="222">
        <f>(H80+I80)-J80</f>
        <v>725767</v>
      </c>
    </row>
    <row r="81" spans="1:11" ht="18" customHeight="1">
      <c r="A81" s="209" t="s">
        <v>110</v>
      </c>
      <c r="B81" s="203" t="s">
        <v>56</v>
      </c>
      <c r="F81" s="213">
        <v>2099</v>
      </c>
      <c r="G81" s="213">
        <v>2000</v>
      </c>
      <c r="H81" s="219">
        <v>83525</v>
      </c>
      <c r="I81" s="214">
        <v>0</v>
      </c>
      <c r="J81" s="219"/>
      <c r="K81" s="222">
        <f>(H81+I81)-J81</f>
        <v>83525</v>
      </c>
    </row>
    <row r="82" spans="1:11" ht="18" customHeight="1">
      <c r="A82" s="209"/>
      <c r="K82" s="576"/>
    </row>
    <row r="83" spans="1:11" ht="18" customHeight="1">
      <c r="A83" s="209" t="s">
        <v>148</v>
      </c>
      <c r="B83" s="208" t="s">
        <v>149</v>
      </c>
      <c r="E83" s="208" t="s">
        <v>7</v>
      </c>
      <c r="F83" s="240">
        <f t="shared" ref="F83:K83" si="6">SUM(F78:F81)</f>
        <v>3899</v>
      </c>
      <c r="G83" s="240">
        <f t="shared" si="6"/>
        <v>3694</v>
      </c>
      <c r="H83" s="242">
        <f t="shared" si="6"/>
        <v>953328</v>
      </c>
      <c r="I83" s="242">
        <f t="shared" si="6"/>
        <v>0</v>
      </c>
      <c r="J83" s="242">
        <f t="shared" si="6"/>
        <v>0</v>
      </c>
      <c r="K83" s="242">
        <f t="shared" si="6"/>
        <v>953328</v>
      </c>
    </row>
    <row r="84" spans="1:11" ht="18" customHeight="1" thickBot="1">
      <c r="A84" s="209"/>
      <c r="F84" s="223"/>
      <c r="G84" s="223"/>
      <c r="H84" s="223"/>
      <c r="I84" s="223"/>
      <c r="J84" s="223"/>
      <c r="K84" s="223"/>
    </row>
    <row r="85" spans="1:11" ht="42.75" customHeight="1">
      <c r="F85" s="211" t="s">
        <v>9</v>
      </c>
      <c r="G85" s="211" t="s">
        <v>37</v>
      </c>
      <c r="H85" s="211" t="s">
        <v>29</v>
      </c>
      <c r="I85" s="211" t="s">
        <v>30</v>
      </c>
      <c r="J85" s="211" t="s">
        <v>33</v>
      </c>
      <c r="K85" s="211" t="s">
        <v>34</v>
      </c>
    </row>
    <row r="86" spans="1:11" ht="18" customHeight="1">
      <c r="A86" s="212" t="s">
        <v>111</v>
      </c>
      <c r="B86" s="208" t="s">
        <v>57</v>
      </c>
    </row>
    <row r="87" spans="1:11" ht="18" customHeight="1">
      <c r="A87" s="209" t="s">
        <v>112</v>
      </c>
      <c r="B87" s="203" t="s">
        <v>113</v>
      </c>
      <c r="F87" s="213"/>
      <c r="G87" s="213"/>
      <c r="H87" s="219"/>
      <c r="I87" s="214">
        <f t="shared" ref="I87:I97" si="7">H87*F$115</f>
        <v>0</v>
      </c>
      <c r="J87" s="219"/>
      <c r="K87" s="222">
        <f t="shared" ref="K87:K97" si="8">(H87+I87)-J87</f>
        <v>0</v>
      </c>
    </row>
    <row r="88" spans="1:11" ht="18" customHeight="1">
      <c r="A88" s="209" t="s">
        <v>114</v>
      </c>
      <c r="B88" s="203" t="s">
        <v>14</v>
      </c>
      <c r="F88" s="213">
        <v>306</v>
      </c>
      <c r="G88" s="213">
        <v>690</v>
      </c>
      <c r="H88" s="219">
        <v>12096</v>
      </c>
      <c r="I88" s="214">
        <f t="shared" si="7"/>
        <v>6401.2031999999999</v>
      </c>
      <c r="J88" s="219"/>
      <c r="K88" s="222">
        <f t="shared" si="8"/>
        <v>18497.2032</v>
      </c>
    </row>
    <row r="89" spans="1:11" ht="18" customHeight="1">
      <c r="A89" s="209" t="s">
        <v>115</v>
      </c>
      <c r="B89" s="203" t="s">
        <v>116</v>
      </c>
      <c r="F89" s="213">
        <v>1084</v>
      </c>
      <c r="G89" s="213">
        <v>1688</v>
      </c>
      <c r="H89" s="219">
        <v>45440</v>
      </c>
      <c r="I89" s="214">
        <f t="shared" si="7"/>
        <v>24046.848000000002</v>
      </c>
      <c r="J89" s="219"/>
      <c r="K89" s="222">
        <f t="shared" si="8"/>
        <v>69486.847999999998</v>
      </c>
    </row>
    <row r="90" spans="1:11" ht="18" customHeight="1">
      <c r="A90" s="209" t="s">
        <v>117</v>
      </c>
      <c r="B90" s="203" t="s">
        <v>58</v>
      </c>
      <c r="F90" s="213">
        <v>354</v>
      </c>
      <c r="G90" s="213">
        <v>53</v>
      </c>
      <c r="H90" s="219">
        <v>29798</v>
      </c>
      <c r="I90" s="214">
        <f t="shared" si="7"/>
        <v>15769.1016</v>
      </c>
      <c r="J90" s="219"/>
      <c r="K90" s="222">
        <f t="shared" si="8"/>
        <v>45567.101600000002</v>
      </c>
    </row>
    <row r="91" spans="1:11" ht="18" customHeight="1">
      <c r="A91" s="209" t="s">
        <v>118</v>
      </c>
      <c r="B91" s="1061" t="s">
        <v>59</v>
      </c>
      <c r="C91" s="1061"/>
      <c r="F91" s="213">
        <v>3343</v>
      </c>
      <c r="G91" s="213">
        <v>1324</v>
      </c>
      <c r="H91" s="219">
        <v>124648</v>
      </c>
      <c r="I91" s="214">
        <f t="shared" si="7"/>
        <v>65963.721600000004</v>
      </c>
      <c r="J91" s="219"/>
      <c r="K91" s="222">
        <f t="shared" si="8"/>
        <v>190611.72159999999</v>
      </c>
    </row>
    <row r="92" spans="1:11" ht="18" customHeight="1">
      <c r="A92" s="209" t="s">
        <v>119</v>
      </c>
      <c r="B92" s="203" t="s">
        <v>60</v>
      </c>
      <c r="F92" s="213">
        <v>2284</v>
      </c>
      <c r="G92" s="213">
        <v>1343</v>
      </c>
      <c r="H92" s="219">
        <v>515570</v>
      </c>
      <c r="I92" s="214">
        <f t="shared" si="7"/>
        <v>272839.64400000003</v>
      </c>
      <c r="J92" s="219"/>
      <c r="K92" s="222">
        <f t="shared" si="8"/>
        <v>788409.64400000009</v>
      </c>
    </row>
    <row r="93" spans="1:11" ht="18" customHeight="1">
      <c r="A93" s="209" t="s">
        <v>120</v>
      </c>
      <c r="B93" s="203" t="s">
        <v>121</v>
      </c>
      <c r="F93" s="243">
        <v>615</v>
      </c>
      <c r="G93" s="243">
        <v>996</v>
      </c>
      <c r="H93" s="244">
        <v>36082</v>
      </c>
      <c r="I93" s="214">
        <f t="shared" si="7"/>
        <v>19094.594400000002</v>
      </c>
      <c r="J93" s="244"/>
      <c r="K93" s="222">
        <f t="shared" si="8"/>
        <v>55176.594400000002</v>
      </c>
    </row>
    <row r="94" spans="1:11" ht="18" customHeight="1">
      <c r="A94" s="209" t="s">
        <v>122</v>
      </c>
      <c r="B94" s="203" t="s">
        <v>123</v>
      </c>
      <c r="F94" s="213">
        <v>1416</v>
      </c>
      <c r="G94" s="213">
        <v>494</v>
      </c>
      <c r="H94" s="219">
        <v>109256</v>
      </c>
      <c r="I94" s="214">
        <f t="shared" si="7"/>
        <v>57818.275200000004</v>
      </c>
      <c r="J94" s="219"/>
      <c r="K94" s="222">
        <f t="shared" si="8"/>
        <v>167074.2752</v>
      </c>
    </row>
    <row r="95" spans="1:11" ht="18" customHeight="1">
      <c r="A95" s="209" t="s">
        <v>124</v>
      </c>
      <c r="B95" s="1058" t="s">
        <v>359</v>
      </c>
      <c r="C95" s="1059"/>
      <c r="D95" s="1060"/>
      <c r="F95" s="213">
        <v>770</v>
      </c>
      <c r="G95" s="213">
        <v>17528</v>
      </c>
      <c r="H95" s="219">
        <v>102840</v>
      </c>
      <c r="I95" s="214">
        <f t="shared" si="7"/>
        <v>54422.928</v>
      </c>
      <c r="J95" s="219"/>
      <c r="K95" s="222">
        <f t="shared" si="8"/>
        <v>157262.92800000001</v>
      </c>
    </row>
    <row r="96" spans="1:11" ht="18" customHeight="1">
      <c r="A96" s="209" t="s">
        <v>125</v>
      </c>
      <c r="B96" s="1058" t="s">
        <v>360</v>
      </c>
      <c r="C96" s="1059"/>
      <c r="D96" s="1060"/>
      <c r="F96" s="213">
        <v>199</v>
      </c>
      <c r="G96" s="213">
        <v>78</v>
      </c>
      <c r="H96" s="219">
        <v>11412</v>
      </c>
      <c r="I96" s="214">
        <f t="shared" si="7"/>
        <v>6039.2304000000004</v>
      </c>
      <c r="J96" s="219"/>
      <c r="K96" s="222">
        <f t="shared" si="8"/>
        <v>17451.2304</v>
      </c>
    </row>
    <row r="97" spans="1:11" ht="18" customHeight="1">
      <c r="A97" s="209" t="s">
        <v>126</v>
      </c>
      <c r="B97" s="1058"/>
      <c r="C97" s="1059"/>
      <c r="D97" s="1060"/>
      <c r="F97" s="213"/>
      <c r="G97" s="213"/>
      <c r="H97" s="219"/>
      <c r="I97" s="214">
        <f t="shared" si="7"/>
        <v>0</v>
      </c>
      <c r="J97" s="219"/>
      <c r="K97" s="222">
        <f t="shared" si="8"/>
        <v>0</v>
      </c>
    </row>
    <row r="98" spans="1:11" ht="18" customHeight="1">
      <c r="A98" s="209"/>
    </row>
    <row r="99" spans="1:11" ht="18" customHeight="1">
      <c r="A99" s="212" t="s">
        <v>150</v>
      </c>
      <c r="B99" s="208" t="s">
        <v>151</v>
      </c>
      <c r="E99" s="208" t="s">
        <v>7</v>
      </c>
      <c r="F99" s="215">
        <f t="shared" ref="F99:K99" si="9">SUM(F87:F97)</f>
        <v>10371</v>
      </c>
      <c r="G99" s="215">
        <f t="shared" si="9"/>
        <v>24194</v>
      </c>
      <c r="H99" s="215">
        <f t="shared" si="9"/>
        <v>987142</v>
      </c>
      <c r="I99" s="215">
        <f t="shared" si="9"/>
        <v>522395.54640000005</v>
      </c>
      <c r="J99" s="215">
        <f t="shared" si="9"/>
        <v>0</v>
      </c>
      <c r="K99" s="215">
        <f t="shared" si="9"/>
        <v>1509537.5464000001</v>
      </c>
    </row>
    <row r="100" spans="1:11" ht="18" customHeight="1" thickBot="1">
      <c r="B100" s="208"/>
      <c r="F100" s="223"/>
      <c r="G100" s="223"/>
      <c r="H100" s="223"/>
      <c r="I100" s="223"/>
      <c r="J100" s="223"/>
      <c r="K100" s="223"/>
    </row>
    <row r="101" spans="1:11" ht="42.75" customHeight="1">
      <c r="F101" s="211" t="s">
        <v>9</v>
      </c>
      <c r="G101" s="211" t="s">
        <v>37</v>
      </c>
      <c r="H101" s="211" t="s">
        <v>29</v>
      </c>
      <c r="I101" s="211" t="s">
        <v>30</v>
      </c>
      <c r="J101" s="211" t="s">
        <v>33</v>
      </c>
      <c r="K101" s="211" t="s">
        <v>34</v>
      </c>
    </row>
    <row r="102" spans="1:11" ht="18" customHeight="1">
      <c r="A102" s="212" t="s">
        <v>130</v>
      </c>
      <c r="B102" s="208" t="s">
        <v>63</v>
      </c>
    </row>
    <row r="103" spans="1:11" ht="18" customHeight="1">
      <c r="A103" s="209" t="s">
        <v>131</v>
      </c>
      <c r="B103" s="203" t="s">
        <v>798</v>
      </c>
      <c r="F103" s="213">
        <v>1251</v>
      </c>
      <c r="G103" s="213">
        <v>300</v>
      </c>
      <c r="H103" s="219">
        <v>27466</v>
      </c>
      <c r="I103" s="214">
        <f>H103*F$115</f>
        <v>14535.0072</v>
      </c>
      <c r="J103" s="219"/>
      <c r="K103" s="222">
        <f>(H103+I103)-J103</f>
        <v>42001.0072</v>
      </c>
    </row>
    <row r="104" spans="1:11" ht="18" customHeight="1">
      <c r="A104" s="209" t="s">
        <v>132</v>
      </c>
      <c r="B104" s="1061" t="s">
        <v>62</v>
      </c>
      <c r="C104" s="1061"/>
      <c r="F104" s="213">
        <v>208</v>
      </c>
      <c r="G104" s="213">
        <v>30</v>
      </c>
      <c r="H104" s="219">
        <v>8900</v>
      </c>
      <c r="I104" s="214">
        <f>H104*F$115</f>
        <v>4709.88</v>
      </c>
      <c r="J104" s="219"/>
      <c r="K104" s="222">
        <f>(H104+I104)-J104</f>
        <v>13609.880000000001</v>
      </c>
    </row>
    <row r="105" spans="1:11" ht="18" customHeight="1">
      <c r="A105" s="209" t="s">
        <v>128</v>
      </c>
      <c r="B105" s="1058" t="s">
        <v>799</v>
      </c>
      <c r="C105" s="1059"/>
      <c r="D105" s="1060"/>
      <c r="F105" s="213">
        <v>2000</v>
      </c>
      <c r="G105" s="213">
        <v>500</v>
      </c>
      <c r="H105" s="219">
        <v>633000</v>
      </c>
      <c r="I105" s="214">
        <f>H105*F$115</f>
        <v>334983.59999999998</v>
      </c>
      <c r="J105" s="219"/>
      <c r="K105" s="222">
        <f>(H105+I105)-J105</f>
        <v>967983.6</v>
      </c>
    </row>
    <row r="106" spans="1:11" ht="18" customHeight="1">
      <c r="A106" s="209" t="s">
        <v>127</v>
      </c>
      <c r="B106" s="1058"/>
      <c r="C106" s="1059"/>
      <c r="D106" s="1060"/>
      <c r="F106" s="213"/>
      <c r="G106" s="213"/>
      <c r="H106" s="219"/>
      <c r="I106" s="214">
        <f>H106*F$115</f>
        <v>0</v>
      </c>
      <c r="J106" s="219"/>
      <c r="K106" s="222">
        <f>(H106+I106)-J106</f>
        <v>0</v>
      </c>
    </row>
    <row r="107" spans="1:11" ht="18" customHeight="1">
      <c r="A107" s="209" t="s">
        <v>129</v>
      </c>
      <c r="B107" s="1058"/>
      <c r="C107" s="1059"/>
      <c r="D107" s="1060"/>
      <c r="F107" s="213"/>
      <c r="G107" s="213"/>
      <c r="H107" s="219"/>
      <c r="I107" s="214">
        <f>H107*F$115</f>
        <v>0</v>
      </c>
      <c r="J107" s="219"/>
      <c r="K107" s="222">
        <f>(H107+I107)-J107</f>
        <v>0</v>
      </c>
    </row>
    <row r="108" spans="1:11" ht="18" customHeight="1">
      <c r="B108" s="208"/>
    </row>
    <row r="109" spans="1:11" s="220" customFormat="1" ht="18" customHeight="1">
      <c r="A109" s="212" t="s">
        <v>153</v>
      </c>
      <c r="B109" s="245" t="s">
        <v>154</v>
      </c>
      <c r="C109" s="203"/>
      <c r="D109" s="203"/>
      <c r="E109" s="208" t="s">
        <v>7</v>
      </c>
      <c r="F109" s="215">
        <f t="shared" ref="F109:K109" si="10">SUM(F103:F107)</f>
        <v>3459</v>
      </c>
      <c r="G109" s="215">
        <f t="shared" si="10"/>
        <v>830</v>
      </c>
      <c r="H109" s="222">
        <f t="shared" si="10"/>
        <v>669366</v>
      </c>
      <c r="I109" s="222">
        <f t="shared" si="10"/>
        <v>354228.48719999997</v>
      </c>
      <c r="J109" s="222">
        <f t="shared" si="10"/>
        <v>0</v>
      </c>
      <c r="K109" s="222">
        <f t="shared" si="10"/>
        <v>1023594.4872</v>
      </c>
    </row>
    <row r="110" spans="1:11" s="220" customFormat="1" ht="18" customHeight="1" thickBot="1">
      <c r="A110" s="246"/>
      <c r="B110" s="247"/>
      <c r="C110" s="248"/>
      <c r="D110" s="248"/>
      <c r="E110" s="248"/>
      <c r="F110" s="223"/>
      <c r="G110" s="223"/>
      <c r="H110" s="223"/>
      <c r="I110" s="223"/>
      <c r="J110" s="223"/>
      <c r="K110" s="223"/>
    </row>
    <row r="111" spans="1:11" s="220" customFormat="1" ht="18" customHeight="1">
      <c r="A111" s="212" t="s">
        <v>156</v>
      </c>
      <c r="B111" s="208" t="s">
        <v>39</v>
      </c>
      <c r="C111" s="203"/>
      <c r="D111" s="203"/>
      <c r="E111" s="203"/>
      <c r="F111" s="203"/>
      <c r="G111" s="203"/>
      <c r="H111" s="203"/>
      <c r="I111" s="203"/>
      <c r="J111" s="203"/>
      <c r="K111" s="203"/>
    </row>
    <row r="112" spans="1:11" ht="18" customHeight="1">
      <c r="A112" s="212" t="s">
        <v>155</v>
      </c>
      <c r="B112" s="208" t="s">
        <v>164</v>
      </c>
      <c r="E112" s="208" t="s">
        <v>7</v>
      </c>
      <c r="F112" s="219">
        <v>2703700</v>
      </c>
    </row>
    <row r="113" spans="1:6" ht="18" customHeight="1">
      <c r="B113" s="208"/>
      <c r="E113" s="208"/>
      <c r="F113" s="249"/>
    </row>
    <row r="114" spans="1:6" ht="18" customHeight="1">
      <c r="A114" s="212"/>
      <c r="B114" s="208" t="s">
        <v>15</v>
      </c>
    </row>
    <row r="115" spans="1:6" ht="18" customHeight="1">
      <c r="A115" s="209" t="s">
        <v>171</v>
      </c>
      <c r="B115" s="203" t="s">
        <v>35</v>
      </c>
      <c r="F115" s="250">
        <v>0.5292</v>
      </c>
    </row>
    <row r="116" spans="1:6" ht="18" customHeight="1">
      <c r="A116" s="209"/>
      <c r="B116" s="208"/>
    </row>
    <row r="117" spans="1:6" ht="18" customHeight="1">
      <c r="A117" s="209" t="s">
        <v>170</v>
      </c>
      <c r="B117" s="208" t="s">
        <v>16</v>
      </c>
    </row>
    <row r="118" spans="1:6" ht="18" customHeight="1">
      <c r="A118" s="209" t="s">
        <v>172</v>
      </c>
      <c r="B118" s="203" t="s">
        <v>17</v>
      </c>
      <c r="F118" s="219">
        <v>536220100</v>
      </c>
    </row>
    <row r="119" spans="1:6" ht="18" customHeight="1">
      <c r="A119" s="209" t="s">
        <v>173</v>
      </c>
      <c r="B119" s="203" t="s">
        <v>18</v>
      </c>
      <c r="F119" s="219">
        <v>15795900</v>
      </c>
    </row>
    <row r="120" spans="1:6" ht="18" customHeight="1">
      <c r="A120" s="209" t="s">
        <v>174</v>
      </c>
      <c r="B120" s="208" t="s">
        <v>19</v>
      </c>
      <c r="F120" s="242">
        <f>SUM(F118:F119)</f>
        <v>552016000</v>
      </c>
    </row>
    <row r="121" spans="1:6" ht="18" customHeight="1">
      <c r="A121" s="209"/>
      <c r="B121" s="208"/>
    </row>
    <row r="122" spans="1:6" ht="18" customHeight="1">
      <c r="A122" s="209" t="s">
        <v>167</v>
      </c>
      <c r="B122" s="208" t="s">
        <v>36</v>
      </c>
      <c r="F122" s="219">
        <v>520531000</v>
      </c>
    </row>
    <row r="123" spans="1:6" ht="18" customHeight="1">
      <c r="A123" s="209"/>
    </row>
    <row r="124" spans="1:6" ht="18" customHeight="1">
      <c r="A124" s="209" t="s">
        <v>175</v>
      </c>
      <c r="B124" s="208" t="s">
        <v>20</v>
      </c>
      <c r="F124" s="219">
        <v>31485000</v>
      </c>
    </row>
    <row r="125" spans="1:6" ht="18" customHeight="1">
      <c r="A125" s="209"/>
    </row>
    <row r="126" spans="1:6" ht="18" customHeight="1">
      <c r="A126" s="209" t="s">
        <v>176</v>
      </c>
      <c r="B126" s="208" t="s">
        <v>21</v>
      </c>
      <c r="F126" s="219">
        <v>-47670000</v>
      </c>
    </row>
    <row r="127" spans="1:6" ht="18" customHeight="1">
      <c r="A127" s="209"/>
    </row>
    <row r="128" spans="1:6" ht="18" customHeight="1">
      <c r="A128" s="209" t="s">
        <v>177</v>
      </c>
      <c r="B128" s="208" t="s">
        <v>22</v>
      </c>
      <c r="F128" s="219">
        <v>-16185000</v>
      </c>
    </row>
    <row r="129" spans="1:11" ht="18" customHeight="1">
      <c r="A129" s="209"/>
    </row>
    <row r="130" spans="1:11" ht="42.75" customHeight="1">
      <c r="F130" s="211" t="s">
        <v>9</v>
      </c>
      <c r="G130" s="211" t="s">
        <v>37</v>
      </c>
      <c r="H130" s="211" t="s">
        <v>29</v>
      </c>
      <c r="I130" s="211" t="s">
        <v>30</v>
      </c>
      <c r="J130" s="211" t="s">
        <v>33</v>
      </c>
      <c r="K130" s="211" t="s">
        <v>34</v>
      </c>
    </row>
    <row r="131" spans="1:11" ht="18" customHeight="1">
      <c r="A131" s="212" t="s">
        <v>157</v>
      </c>
      <c r="B131" s="208" t="s">
        <v>23</v>
      </c>
    </row>
    <row r="132" spans="1:11" ht="18" customHeight="1">
      <c r="A132" s="209" t="s">
        <v>158</v>
      </c>
      <c r="B132" s="203" t="s">
        <v>24</v>
      </c>
      <c r="F132" s="213"/>
      <c r="G132" s="213"/>
      <c r="H132" s="219"/>
      <c r="I132" s="214">
        <v>0</v>
      </c>
      <c r="J132" s="219"/>
      <c r="K132" s="222">
        <f>(H132+I132)-J132</f>
        <v>0</v>
      </c>
    </row>
    <row r="133" spans="1:11" ht="18" customHeight="1">
      <c r="A133" s="209" t="s">
        <v>159</v>
      </c>
      <c r="B133" s="203" t="s">
        <v>25</v>
      </c>
      <c r="F133" s="213"/>
      <c r="G133" s="213"/>
      <c r="H133" s="219"/>
      <c r="I133" s="214">
        <v>0</v>
      </c>
      <c r="J133" s="219"/>
      <c r="K133" s="222">
        <f>(H133+I133)-J133</f>
        <v>0</v>
      </c>
    </row>
    <row r="134" spans="1:11" ht="18" customHeight="1">
      <c r="A134" s="209" t="s">
        <v>160</v>
      </c>
      <c r="B134" s="1058"/>
      <c r="C134" s="1059"/>
      <c r="D134" s="1060"/>
      <c r="F134" s="213"/>
      <c r="G134" s="213"/>
      <c r="H134" s="219"/>
      <c r="I134" s="214">
        <v>0</v>
      </c>
      <c r="J134" s="219"/>
      <c r="K134" s="222">
        <f>(H134+I134)-J134</f>
        <v>0</v>
      </c>
    </row>
    <row r="135" spans="1:11" ht="18" customHeight="1">
      <c r="A135" s="209" t="s">
        <v>161</v>
      </c>
      <c r="B135" s="1058"/>
      <c r="C135" s="1059"/>
      <c r="D135" s="1060"/>
      <c r="F135" s="213"/>
      <c r="G135" s="213"/>
      <c r="H135" s="219"/>
      <c r="I135" s="214">
        <v>0</v>
      </c>
      <c r="J135" s="219"/>
      <c r="K135" s="222">
        <f>(H135+I135)-J135</f>
        <v>0</v>
      </c>
    </row>
    <row r="136" spans="1:11" ht="18" customHeight="1">
      <c r="A136" s="209" t="s">
        <v>162</v>
      </c>
      <c r="B136" s="1058"/>
      <c r="C136" s="1059"/>
      <c r="D136" s="1060"/>
      <c r="F136" s="213"/>
      <c r="G136" s="213"/>
      <c r="H136" s="219"/>
      <c r="I136" s="214">
        <v>0</v>
      </c>
      <c r="J136" s="219"/>
      <c r="K136" s="222">
        <f>(H136+I136)-J136</f>
        <v>0</v>
      </c>
    </row>
    <row r="137" spans="1:11" ht="18" customHeight="1">
      <c r="A137" s="212"/>
    </row>
    <row r="138" spans="1:11" ht="18" customHeight="1">
      <c r="A138" s="212" t="s">
        <v>163</v>
      </c>
      <c r="B138" s="208" t="s">
        <v>27</v>
      </c>
      <c r="F138" s="215">
        <f t="shared" ref="F138:K138" si="11">SUM(F132:F136)</f>
        <v>0</v>
      </c>
      <c r="G138" s="215">
        <f t="shared" si="11"/>
        <v>0</v>
      </c>
      <c r="H138" s="222">
        <f t="shared" si="11"/>
        <v>0</v>
      </c>
      <c r="I138" s="222">
        <f t="shared" si="11"/>
        <v>0</v>
      </c>
      <c r="J138" s="222">
        <f t="shared" si="11"/>
        <v>0</v>
      </c>
      <c r="K138" s="222">
        <f t="shared" si="11"/>
        <v>0</v>
      </c>
    </row>
    <row r="139" spans="1:11" ht="18" customHeight="1">
      <c r="A139" s="203"/>
    </row>
    <row r="140" spans="1:11" ht="42.75" customHeight="1">
      <c r="F140" s="211" t="s">
        <v>9</v>
      </c>
      <c r="G140" s="211" t="s">
        <v>37</v>
      </c>
      <c r="H140" s="211" t="s">
        <v>29</v>
      </c>
      <c r="I140" s="211" t="s">
        <v>30</v>
      </c>
      <c r="J140" s="211" t="s">
        <v>33</v>
      </c>
      <c r="K140" s="211" t="s">
        <v>34</v>
      </c>
    </row>
    <row r="141" spans="1:11" ht="18" customHeight="1">
      <c r="A141" s="212" t="s">
        <v>166</v>
      </c>
      <c r="B141" s="208" t="s">
        <v>26</v>
      </c>
    </row>
    <row r="142" spans="1:11" ht="18" customHeight="1">
      <c r="A142" s="209" t="s">
        <v>137</v>
      </c>
      <c r="B142" s="208" t="s">
        <v>64</v>
      </c>
      <c r="F142" s="251">
        <f t="shared" ref="F142:K142" si="12">F36</f>
        <v>51188</v>
      </c>
      <c r="G142" s="251">
        <f t="shared" si="12"/>
        <v>65898</v>
      </c>
      <c r="H142" s="251">
        <f t="shared" si="12"/>
        <v>2552085</v>
      </c>
      <c r="I142" s="251">
        <f t="shared" si="12"/>
        <v>1350563.382</v>
      </c>
      <c r="J142" s="251">
        <f t="shared" si="12"/>
        <v>192516</v>
      </c>
      <c r="K142" s="251">
        <f t="shared" si="12"/>
        <v>3710132.3819999998</v>
      </c>
    </row>
    <row r="143" spans="1:11" ht="18" customHeight="1">
      <c r="A143" s="209" t="s">
        <v>142</v>
      </c>
      <c r="B143" s="208" t="s">
        <v>65</v>
      </c>
      <c r="F143" s="251">
        <f t="shared" ref="F143:K143" si="13">F49</f>
        <v>138780</v>
      </c>
      <c r="G143" s="251">
        <f t="shared" si="13"/>
        <v>7055</v>
      </c>
      <c r="H143" s="251">
        <f t="shared" si="13"/>
        <v>5625239</v>
      </c>
      <c r="I143" s="251">
        <f t="shared" si="13"/>
        <v>0</v>
      </c>
      <c r="J143" s="251">
        <f t="shared" si="13"/>
        <v>0</v>
      </c>
      <c r="K143" s="251">
        <f t="shared" si="13"/>
        <v>5625239</v>
      </c>
    </row>
    <row r="144" spans="1:11" ht="18" customHeight="1">
      <c r="A144" s="209" t="s">
        <v>144</v>
      </c>
      <c r="B144" s="208" t="s">
        <v>66</v>
      </c>
      <c r="F144" s="251">
        <f t="shared" ref="F144:K144" si="14">F65</f>
        <v>9199</v>
      </c>
      <c r="G144" s="251">
        <f t="shared" si="14"/>
        <v>18032</v>
      </c>
      <c r="H144" s="251">
        <f t="shared" si="14"/>
        <v>22511973</v>
      </c>
      <c r="I144" s="251">
        <f t="shared" si="14"/>
        <v>92910.585600000006</v>
      </c>
      <c r="J144" s="251">
        <f t="shared" si="14"/>
        <v>0</v>
      </c>
      <c r="K144" s="251">
        <f t="shared" si="14"/>
        <v>22604883.5856</v>
      </c>
    </row>
    <row r="145" spans="1:11" ht="18" customHeight="1">
      <c r="A145" s="209" t="s">
        <v>146</v>
      </c>
      <c r="B145" s="208" t="s">
        <v>67</v>
      </c>
      <c r="F145" s="251">
        <f t="shared" ref="F145:K145" si="15">F75</f>
        <v>288</v>
      </c>
      <c r="G145" s="251">
        <f t="shared" si="15"/>
        <v>46</v>
      </c>
      <c r="H145" s="251">
        <f t="shared" si="15"/>
        <v>570417</v>
      </c>
      <c r="I145" s="251">
        <f t="shared" si="15"/>
        <v>0</v>
      </c>
      <c r="J145" s="251">
        <f t="shared" si="15"/>
        <v>0</v>
      </c>
      <c r="K145" s="251">
        <f t="shared" si="15"/>
        <v>570417</v>
      </c>
    </row>
    <row r="146" spans="1:11" ht="18" customHeight="1">
      <c r="A146" s="209" t="s">
        <v>148</v>
      </c>
      <c r="B146" s="208" t="s">
        <v>68</v>
      </c>
      <c r="F146" s="251">
        <f t="shared" ref="F146:K146" si="16">F83</f>
        <v>3899</v>
      </c>
      <c r="G146" s="251">
        <f t="shared" si="16"/>
        <v>3694</v>
      </c>
      <c r="H146" s="251">
        <f t="shared" si="16"/>
        <v>953328</v>
      </c>
      <c r="I146" s="251">
        <f t="shared" si="16"/>
        <v>0</v>
      </c>
      <c r="J146" s="251">
        <f t="shared" si="16"/>
        <v>0</v>
      </c>
      <c r="K146" s="251">
        <f t="shared" si="16"/>
        <v>953328</v>
      </c>
    </row>
    <row r="147" spans="1:11" ht="18" customHeight="1">
      <c r="A147" s="209" t="s">
        <v>150</v>
      </c>
      <c r="B147" s="208" t="s">
        <v>69</v>
      </c>
      <c r="F147" s="251">
        <f t="shared" ref="F147:K147" si="17">F99</f>
        <v>10371</v>
      </c>
      <c r="G147" s="251">
        <f t="shared" si="17"/>
        <v>24194</v>
      </c>
      <c r="H147" s="251">
        <f t="shared" si="17"/>
        <v>987142</v>
      </c>
      <c r="I147" s="251">
        <f t="shared" si="17"/>
        <v>522395.54640000005</v>
      </c>
      <c r="J147" s="251">
        <f t="shared" si="17"/>
        <v>0</v>
      </c>
      <c r="K147" s="251">
        <f t="shared" si="17"/>
        <v>1509537.5464000001</v>
      </c>
    </row>
    <row r="148" spans="1:11" ht="18" customHeight="1">
      <c r="A148" s="209" t="s">
        <v>153</v>
      </c>
      <c r="B148" s="208" t="s">
        <v>61</v>
      </c>
      <c r="F148" s="215">
        <f t="shared" ref="F148:K148" si="18">F109</f>
        <v>3459</v>
      </c>
      <c r="G148" s="215">
        <f t="shared" si="18"/>
        <v>830</v>
      </c>
      <c r="H148" s="215">
        <f t="shared" si="18"/>
        <v>669366</v>
      </c>
      <c r="I148" s="215">
        <f t="shared" si="18"/>
        <v>354228.48719999997</v>
      </c>
      <c r="J148" s="215">
        <f t="shared" si="18"/>
        <v>0</v>
      </c>
      <c r="K148" s="215">
        <f t="shared" si="18"/>
        <v>1023594.4872</v>
      </c>
    </row>
    <row r="149" spans="1:11" ht="18" customHeight="1">
      <c r="A149" s="209" t="s">
        <v>155</v>
      </c>
      <c r="B149" s="208" t="s">
        <v>70</v>
      </c>
      <c r="F149" s="252" t="s">
        <v>73</v>
      </c>
      <c r="G149" s="252" t="s">
        <v>73</v>
      </c>
      <c r="H149" s="253" t="s">
        <v>73</v>
      </c>
      <c r="I149" s="253" t="s">
        <v>73</v>
      </c>
      <c r="J149" s="253" t="s">
        <v>73</v>
      </c>
      <c r="K149" s="254">
        <f>F112</f>
        <v>2703700</v>
      </c>
    </row>
    <row r="150" spans="1:11" ht="18" customHeight="1">
      <c r="A150" s="209" t="s">
        <v>163</v>
      </c>
      <c r="B150" s="208" t="s">
        <v>71</v>
      </c>
      <c r="F150" s="215">
        <f t="shared" ref="F150:K150" si="19">F138</f>
        <v>0</v>
      </c>
      <c r="G150" s="215">
        <f t="shared" si="19"/>
        <v>0</v>
      </c>
      <c r="H150" s="215">
        <f t="shared" si="19"/>
        <v>0</v>
      </c>
      <c r="I150" s="215">
        <f t="shared" si="19"/>
        <v>0</v>
      </c>
      <c r="J150" s="215">
        <f t="shared" si="19"/>
        <v>0</v>
      </c>
      <c r="K150" s="215">
        <f t="shared" si="19"/>
        <v>0</v>
      </c>
    </row>
    <row r="151" spans="1:11" ht="18" customHeight="1">
      <c r="A151" s="209" t="s">
        <v>185</v>
      </c>
      <c r="B151" s="208" t="s">
        <v>186</v>
      </c>
      <c r="F151" s="252" t="s">
        <v>73</v>
      </c>
      <c r="G151" s="252" t="s">
        <v>73</v>
      </c>
      <c r="H151" s="215">
        <f>H18</f>
        <v>13891673</v>
      </c>
      <c r="I151" s="215">
        <f>I18</f>
        <v>0</v>
      </c>
      <c r="J151" s="215">
        <f>J18</f>
        <v>11879117</v>
      </c>
      <c r="K151" s="215">
        <f>K18</f>
        <v>2012556</v>
      </c>
    </row>
    <row r="152" spans="1:11" ht="18" customHeight="1">
      <c r="B152" s="208"/>
      <c r="F152" s="229"/>
      <c r="G152" s="229"/>
      <c r="H152" s="229"/>
      <c r="I152" s="229"/>
      <c r="J152" s="229"/>
      <c r="K152" s="229"/>
    </row>
    <row r="153" spans="1:11" ht="18" customHeight="1">
      <c r="A153" s="212" t="s">
        <v>165</v>
      </c>
      <c r="B153" s="208" t="s">
        <v>26</v>
      </c>
      <c r="F153" s="255">
        <f t="shared" ref="F153:K153" si="20">SUM(F142:F151)</f>
        <v>217184</v>
      </c>
      <c r="G153" s="255">
        <f t="shared" si="20"/>
        <v>119749</v>
      </c>
      <c r="H153" s="255">
        <f t="shared" si="20"/>
        <v>47761223</v>
      </c>
      <c r="I153" s="255">
        <f t="shared" si="20"/>
        <v>2320098.0012000003</v>
      </c>
      <c r="J153" s="255">
        <f t="shared" si="20"/>
        <v>12071633</v>
      </c>
      <c r="K153" s="255">
        <f t="shared" si="20"/>
        <v>40713388.001199998</v>
      </c>
    </row>
    <row r="155" spans="1:11" ht="18" customHeight="1">
      <c r="A155" s="212" t="s">
        <v>168</v>
      </c>
      <c r="B155" s="208" t="s">
        <v>28</v>
      </c>
      <c r="F155" s="256">
        <f>K153/F122</f>
        <v>7.8215107267770798E-2</v>
      </c>
    </row>
    <row r="156" spans="1:11" ht="18" customHeight="1">
      <c r="A156" s="212" t="s">
        <v>169</v>
      </c>
      <c r="B156" s="208" t="s">
        <v>72</v>
      </c>
      <c r="F156" s="256">
        <f>K153/F128</f>
        <v>-2.5155012666790237</v>
      </c>
      <c r="G156" s="208"/>
    </row>
    <row r="157" spans="1:11" ht="18" customHeight="1">
      <c r="G157" s="208"/>
    </row>
  </sheetData>
  <mergeCells count="28">
    <mergeCell ref="C11:G11"/>
    <mergeCell ref="C5:G5"/>
    <mergeCell ref="C6:G6"/>
    <mergeCell ref="C7:G7"/>
    <mergeCell ref="C9:G9"/>
    <mergeCell ref="C10:G10"/>
    <mergeCell ref="B91:C91"/>
    <mergeCell ref="B13:H13"/>
    <mergeCell ref="B28:D28"/>
    <mergeCell ref="B29:D29"/>
    <mergeCell ref="B41:C41"/>
    <mergeCell ref="B52:C52"/>
    <mergeCell ref="B53:D53"/>
    <mergeCell ref="B55:D55"/>
    <mergeCell ref="B56:D56"/>
    <mergeCell ref="B57:D57"/>
    <mergeCell ref="B59:D59"/>
    <mergeCell ref="B62:D62"/>
    <mergeCell ref="B107:D107"/>
    <mergeCell ref="B134:D134"/>
    <mergeCell ref="B135:D135"/>
    <mergeCell ref="B136:D136"/>
    <mergeCell ref="B95:D95"/>
    <mergeCell ref="B96:D96"/>
    <mergeCell ref="B97:D97"/>
    <mergeCell ref="B104:C104"/>
    <mergeCell ref="B105:D105"/>
    <mergeCell ref="B106:D106"/>
  </mergeCells>
  <hyperlinks>
    <hyperlink ref="C11" r:id="rId1"/>
  </hyperlinks>
  <printOptions headings="1" gridLines="1"/>
  <pageMargins left="0.25" right="0.25" top="0.75" bottom="0.75" header="0.3" footer="0.3"/>
  <pageSetup scale="59" fitToHeight="3" orientation="landscape" r:id="rId2"/>
  <headerFooter alignWithMargins="0">
    <oddHeader>&amp;RPage &amp;P</oddHeader>
    <oddFooter>&amp;L&amp;Z&amp;F&amp;C&amp;P of &amp;N&amp;R&amp;D</oddFooter>
  </headerFooter>
  <rowBreaks count="4" manualBreakCount="4">
    <brk id="37" max="16383" man="1"/>
    <brk id="75" max="16383" man="1"/>
    <brk id="110" max="16383" man="1"/>
    <brk id="139" max="16383" man="1"/>
  </row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tabColor theme="8"/>
    <pageSetUpPr fitToPage="1"/>
  </sheetPr>
  <dimension ref="A1:K151"/>
  <sheetViews>
    <sheetView zoomScale="80" zoomScaleNormal="80" workbookViewId="0">
      <pane xSplit="5" ySplit="16" topLeftCell="F17" activePane="bottomRight" state="frozen"/>
      <selection pane="topRight" activeCell="F1" sqref="F1"/>
      <selection pane="bottomLeft" activeCell="A17" sqref="A17"/>
      <selection pane="bottomRight" activeCell="A45" sqref="A45:XFD45"/>
    </sheetView>
  </sheetViews>
  <sheetFormatPr defaultRowHeight="12.75"/>
  <cols>
    <col min="1" max="1" width="6.85546875" style="585" customWidth="1"/>
    <col min="2" max="2" width="40.7109375" style="585" bestFit="1" customWidth="1"/>
    <col min="3" max="3" width="6.7109375" style="585" customWidth="1"/>
    <col min="4" max="4" width="6.28515625" style="585" customWidth="1"/>
    <col min="5" max="5" width="9.140625" style="585" customWidth="1"/>
    <col min="6" max="6" width="14.5703125" style="585" customWidth="1"/>
    <col min="7" max="11" width="19.140625" style="585" customWidth="1"/>
    <col min="12" max="16384" width="9.140625" style="585"/>
  </cols>
  <sheetData>
    <row r="1" spans="1:11">
      <c r="A1" s="147"/>
      <c r="B1" s="147"/>
      <c r="C1" s="263"/>
      <c r="D1" s="402"/>
      <c r="E1" s="263"/>
      <c r="F1" s="263"/>
      <c r="G1" s="263"/>
      <c r="H1" s="263"/>
      <c r="I1" s="263"/>
      <c r="J1" s="263"/>
      <c r="K1" s="263"/>
    </row>
    <row r="2" spans="1:11" ht="15.75">
      <c r="A2" s="147"/>
      <c r="B2" s="147"/>
      <c r="C2" s="147"/>
      <c r="D2" s="910" t="s">
        <v>776</v>
      </c>
      <c r="E2" s="910"/>
      <c r="F2" s="910"/>
      <c r="G2" s="910"/>
      <c r="H2" s="910"/>
      <c r="I2" s="147"/>
      <c r="J2" s="147"/>
      <c r="K2" s="147"/>
    </row>
    <row r="3" spans="1:11">
      <c r="A3" s="147"/>
      <c r="B3" s="150" t="s">
        <v>0</v>
      </c>
      <c r="C3" s="147"/>
      <c r="D3" s="147"/>
      <c r="E3" s="147"/>
      <c r="F3" s="147"/>
      <c r="G3" s="147"/>
      <c r="H3" s="147"/>
      <c r="I3" s="147"/>
      <c r="J3" s="147"/>
      <c r="K3" s="147"/>
    </row>
    <row r="5" spans="1:11">
      <c r="A5" s="147"/>
      <c r="B5" s="151" t="s">
        <v>40</v>
      </c>
      <c r="C5" s="912" t="s">
        <v>303</v>
      </c>
      <c r="D5" s="913"/>
      <c r="E5" s="913"/>
      <c r="F5" s="913"/>
      <c r="G5" s="966"/>
      <c r="H5" s="147"/>
      <c r="I5" s="147"/>
      <c r="J5" s="147"/>
      <c r="K5" s="147"/>
    </row>
    <row r="6" spans="1:11">
      <c r="A6" s="147"/>
      <c r="B6" s="151" t="s">
        <v>3</v>
      </c>
      <c r="C6" s="929" t="s">
        <v>445</v>
      </c>
      <c r="D6" s="967"/>
      <c r="E6" s="967"/>
      <c r="F6" s="967"/>
      <c r="G6" s="968"/>
      <c r="H6" s="147"/>
      <c r="I6" s="147"/>
      <c r="J6" s="147"/>
      <c r="K6" s="147"/>
    </row>
    <row r="7" spans="1:11">
      <c r="A7" s="147"/>
      <c r="B7" s="151" t="s">
        <v>4</v>
      </c>
      <c r="C7" s="1095">
        <v>3392</v>
      </c>
      <c r="D7" s="1096"/>
      <c r="E7" s="1096"/>
      <c r="F7" s="1096"/>
      <c r="G7" s="1097"/>
      <c r="H7" s="147"/>
      <c r="I7" s="147"/>
      <c r="J7" s="147"/>
      <c r="K7" s="147"/>
    </row>
    <row r="9" spans="1:11">
      <c r="A9" s="147"/>
      <c r="B9" s="151" t="s">
        <v>1</v>
      </c>
      <c r="C9" s="912" t="s">
        <v>446</v>
      </c>
      <c r="D9" s="913"/>
      <c r="E9" s="913"/>
      <c r="F9" s="913"/>
      <c r="G9" s="966"/>
      <c r="H9" s="147"/>
      <c r="I9" s="147"/>
      <c r="J9" s="147"/>
      <c r="K9" s="147"/>
    </row>
    <row r="10" spans="1:11">
      <c r="A10" s="147"/>
      <c r="B10" s="151" t="s">
        <v>2</v>
      </c>
      <c r="C10" s="926" t="s">
        <v>447</v>
      </c>
      <c r="D10" s="964"/>
      <c r="E10" s="964"/>
      <c r="F10" s="964"/>
      <c r="G10" s="965"/>
      <c r="H10" s="147"/>
      <c r="I10" s="147"/>
      <c r="J10" s="147"/>
      <c r="K10" s="147"/>
    </row>
    <row r="11" spans="1:11">
      <c r="A11" s="147"/>
      <c r="B11" s="151" t="s">
        <v>32</v>
      </c>
      <c r="C11" s="912" t="s">
        <v>448</v>
      </c>
      <c r="D11" s="913"/>
      <c r="E11" s="913"/>
      <c r="F11" s="913"/>
      <c r="G11" s="913"/>
      <c r="H11" s="147"/>
      <c r="I11" s="147"/>
      <c r="J11" s="147"/>
      <c r="K11" s="147"/>
    </row>
    <row r="12" spans="1:11">
      <c r="A12" s="147"/>
      <c r="B12" s="151"/>
      <c r="C12" s="151"/>
      <c r="D12" s="151"/>
      <c r="E12" s="151"/>
      <c r="F12" s="151"/>
      <c r="G12" s="151"/>
      <c r="H12" s="147"/>
      <c r="I12" s="147"/>
      <c r="J12" s="147"/>
      <c r="K12" s="147"/>
    </row>
    <row r="13" spans="1:11">
      <c r="A13" s="147"/>
      <c r="B13" s="914"/>
      <c r="C13" s="914"/>
      <c r="D13" s="914"/>
      <c r="E13" s="914"/>
      <c r="F13" s="914"/>
      <c r="G13" s="914"/>
      <c r="H13" s="914"/>
      <c r="I13" s="263"/>
      <c r="J13" s="147"/>
      <c r="K13" s="147"/>
    </row>
    <row r="14" spans="1:11">
      <c r="A14" s="147"/>
      <c r="B14" s="152"/>
      <c r="C14" s="147"/>
      <c r="D14" s="147"/>
      <c r="E14" s="147"/>
      <c r="F14" s="147"/>
      <c r="G14" s="147"/>
      <c r="H14" s="147"/>
      <c r="I14" s="147"/>
      <c r="J14" s="147"/>
      <c r="K14" s="147"/>
    </row>
    <row r="15" spans="1:11">
      <c r="A15" s="147"/>
      <c r="B15" s="152"/>
      <c r="C15" s="147"/>
      <c r="D15" s="147"/>
      <c r="E15" s="147"/>
      <c r="F15" s="147"/>
      <c r="G15" s="147"/>
      <c r="H15" s="147"/>
      <c r="I15" s="147"/>
      <c r="J15" s="147"/>
      <c r="K15" s="147"/>
    </row>
    <row r="16" spans="1:11" ht="25.5">
      <c r="A16" s="1091" t="s">
        <v>181</v>
      </c>
      <c r="B16" s="1091"/>
      <c r="C16" s="263"/>
      <c r="D16" s="263"/>
      <c r="E16" s="263"/>
      <c r="F16" s="153" t="s">
        <v>9</v>
      </c>
      <c r="G16" s="153" t="s">
        <v>37</v>
      </c>
      <c r="H16" s="153" t="s">
        <v>29</v>
      </c>
      <c r="I16" s="153" t="s">
        <v>30</v>
      </c>
      <c r="J16" s="153" t="s">
        <v>33</v>
      </c>
      <c r="K16" s="153" t="s">
        <v>34</v>
      </c>
    </row>
    <row r="17" spans="1:11">
      <c r="A17" s="154" t="s">
        <v>184</v>
      </c>
      <c r="B17" s="150" t="s">
        <v>182</v>
      </c>
      <c r="C17" s="147"/>
      <c r="D17" s="147"/>
      <c r="E17" s="147"/>
      <c r="F17" s="147"/>
      <c r="G17" s="147"/>
      <c r="H17" s="147"/>
      <c r="I17" s="147"/>
      <c r="J17" s="147"/>
      <c r="K17" s="147"/>
    </row>
    <row r="18" spans="1:11">
      <c r="A18" s="151" t="s">
        <v>185</v>
      </c>
      <c r="B18" s="155" t="s">
        <v>183</v>
      </c>
      <c r="C18" s="147"/>
      <c r="D18" s="147"/>
      <c r="E18" s="147"/>
      <c r="F18" s="156" t="s">
        <v>73</v>
      </c>
      <c r="G18" s="156" t="s">
        <v>73</v>
      </c>
      <c r="H18" s="157">
        <v>2140256</v>
      </c>
      <c r="I18" s="157">
        <v>0</v>
      </c>
      <c r="J18" s="157">
        <v>0</v>
      </c>
      <c r="K18" s="157">
        <v>2140256</v>
      </c>
    </row>
    <row r="19" spans="1:11" ht="42.75" customHeight="1">
      <c r="A19" s="1091" t="s">
        <v>8</v>
      </c>
      <c r="B19" s="1091"/>
      <c r="C19" s="263"/>
      <c r="D19" s="263"/>
      <c r="E19" s="263"/>
      <c r="F19" s="153" t="s">
        <v>9</v>
      </c>
      <c r="G19" s="153" t="s">
        <v>37</v>
      </c>
      <c r="H19" s="153" t="s">
        <v>29</v>
      </c>
      <c r="I19" s="153" t="s">
        <v>30</v>
      </c>
      <c r="J19" s="153" t="s">
        <v>33</v>
      </c>
      <c r="K19" s="153" t="s">
        <v>34</v>
      </c>
    </row>
    <row r="20" spans="1:11">
      <c r="A20" s="154" t="s">
        <v>74</v>
      </c>
      <c r="B20" s="150" t="s">
        <v>41</v>
      </c>
      <c r="C20" s="147"/>
      <c r="D20" s="147"/>
      <c r="E20" s="147"/>
      <c r="F20" s="147"/>
      <c r="G20" s="147"/>
      <c r="H20" s="147"/>
      <c r="I20" s="147"/>
      <c r="J20" s="147"/>
      <c r="K20" s="147"/>
    </row>
    <row r="21" spans="1:11">
      <c r="A21" s="151" t="s">
        <v>75</v>
      </c>
      <c r="B21" s="155" t="s">
        <v>42</v>
      </c>
      <c r="C21" s="147"/>
      <c r="D21" s="147"/>
      <c r="E21" s="147"/>
      <c r="F21" s="156">
        <v>12579</v>
      </c>
      <c r="G21" s="156">
        <v>260813</v>
      </c>
      <c r="H21" s="157">
        <v>1111932</v>
      </c>
      <c r="I21" s="157">
        <v>624590</v>
      </c>
      <c r="J21" s="157">
        <v>235542</v>
      </c>
      <c r="K21" s="157">
        <v>1500980</v>
      </c>
    </row>
    <row r="22" spans="1:11">
      <c r="A22" s="151" t="s">
        <v>76</v>
      </c>
      <c r="B22" s="147" t="s">
        <v>6</v>
      </c>
      <c r="C22" s="147"/>
      <c r="D22" s="147"/>
      <c r="E22" s="147"/>
      <c r="F22" s="156">
        <v>241</v>
      </c>
      <c r="G22" s="156">
        <v>1126</v>
      </c>
      <c r="H22" s="157">
        <v>25495</v>
      </c>
      <c r="I22" s="157">
        <v>14252</v>
      </c>
      <c r="J22" s="157">
        <v>0</v>
      </c>
      <c r="K22" s="157">
        <v>39747</v>
      </c>
    </row>
    <row r="23" spans="1:11">
      <c r="A23" s="151" t="s">
        <v>77</v>
      </c>
      <c r="B23" s="147" t="s">
        <v>43</v>
      </c>
      <c r="C23" s="147"/>
      <c r="D23" s="147"/>
      <c r="E23" s="147"/>
      <c r="F23" s="156">
        <v>0</v>
      </c>
      <c r="G23" s="156">
        <v>0</v>
      </c>
      <c r="H23" s="157">
        <v>0</v>
      </c>
      <c r="I23" s="158">
        <v>0</v>
      </c>
      <c r="J23" s="157">
        <v>0</v>
      </c>
      <c r="K23" s="159">
        <v>0</v>
      </c>
    </row>
    <row r="24" spans="1:11">
      <c r="A24" s="151" t="s">
        <v>78</v>
      </c>
      <c r="B24" s="147" t="s">
        <v>44</v>
      </c>
      <c r="C24" s="147"/>
      <c r="D24" s="147"/>
      <c r="E24" s="147"/>
      <c r="F24" s="156">
        <v>329</v>
      </c>
      <c r="G24" s="156">
        <v>2376</v>
      </c>
      <c r="H24" s="157">
        <v>11234</v>
      </c>
      <c r="I24" s="157">
        <v>6313</v>
      </c>
      <c r="J24" s="157">
        <v>0</v>
      </c>
      <c r="K24" s="157">
        <v>17547</v>
      </c>
    </row>
    <row r="25" spans="1:11">
      <c r="A25" s="151" t="s">
        <v>79</v>
      </c>
      <c r="B25" s="147" t="s">
        <v>5</v>
      </c>
      <c r="C25" s="147"/>
      <c r="D25" s="147"/>
      <c r="E25" s="147"/>
      <c r="F25" s="156">
        <v>0</v>
      </c>
      <c r="G25" s="156">
        <v>0</v>
      </c>
      <c r="H25" s="157">
        <v>0</v>
      </c>
      <c r="I25" s="158">
        <v>0</v>
      </c>
      <c r="J25" s="157">
        <v>0</v>
      </c>
      <c r="K25" s="159">
        <v>0</v>
      </c>
    </row>
    <row r="26" spans="1:11">
      <c r="A26" s="151" t="s">
        <v>80</v>
      </c>
      <c r="B26" s="147" t="s">
        <v>45</v>
      </c>
      <c r="C26" s="147"/>
      <c r="D26" s="147"/>
      <c r="E26" s="147"/>
      <c r="F26" s="156">
        <v>0</v>
      </c>
      <c r="G26" s="156">
        <v>0</v>
      </c>
      <c r="H26" s="157">
        <v>0</v>
      </c>
      <c r="I26" s="158">
        <v>0</v>
      </c>
      <c r="J26" s="157">
        <v>0</v>
      </c>
      <c r="K26" s="159">
        <v>0</v>
      </c>
    </row>
    <row r="27" spans="1:11">
      <c r="A27" s="151" t="s">
        <v>81</v>
      </c>
      <c r="B27" s="147" t="s">
        <v>46</v>
      </c>
      <c r="C27" s="147"/>
      <c r="D27" s="147"/>
      <c r="E27" s="147"/>
      <c r="F27" s="156">
        <v>0</v>
      </c>
      <c r="G27" s="156">
        <v>0</v>
      </c>
      <c r="H27" s="157">
        <v>0</v>
      </c>
      <c r="I27" s="158">
        <v>0</v>
      </c>
      <c r="J27" s="157">
        <v>0</v>
      </c>
      <c r="K27" s="159">
        <v>0</v>
      </c>
    </row>
    <row r="28" spans="1:11">
      <c r="A28" s="151" t="s">
        <v>82</v>
      </c>
      <c r="B28" s="147" t="s">
        <v>47</v>
      </c>
      <c r="C28" s="147"/>
      <c r="D28" s="147"/>
      <c r="E28" s="147"/>
      <c r="F28" s="156">
        <v>6240</v>
      </c>
      <c r="G28" s="156">
        <v>5400</v>
      </c>
      <c r="H28" s="157">
        <v>259706</v>
      </c>
      <c r="I28" s="157">
        <v>44929</v>
      </c>
      <c r="J28" s="157">
        <v>50000</v>
      </c>
      <c r="K28" s="157">
        <v>254635</v>
      </c>
    </row>
    <row r="29" spans="1:11">
      <c r="A29" s="151" t="s">
        <v>83</v>
      </c>
      <c r="B29" s="147" t="s">
        <v>48</v>
      </c>
      <c r="C29" s="147"/>
      <c r="D29" s="147"/>
      <c r="E29" s="147"/>
      <c r="F29" s="156">
        <v>4480</v>
      </c>
      <c r="G29" s="156">
        <v>29712</v>
      </c>
      <c r="H29" s="157">
        <v>1632383</v>
      </c>
      <c r="I29" s="157">
        <v>295622</v>
      </c>
      <c r="J29" s="157">
        <v>0</v>
      </c>
      <c r="K29" s="157">
        <v>1928005</v>
      </c>
    </row>
    <row r="30" spans="1:11">
      <c r="A30" s="151" t="s">
        <v>84</v>
      </c>
      <c r="B30" s="1092" t="s">
        <v>449</v>
      </c>
      <c r="C30" s="1093"/>
      <c r="D30" s="1094"/>
      <c r="E30" s="147"/>
      <c r="F30" s="156">
        <v>1493</v>
      </c>
      <c r="G30" s="156">
        <v>9047</v>
      </c>
      <c r="H30" s="157">
        <v>47923</v>
      </c>
      <c r="I30" s="157">
        <v>26933</v>
      </c>
      <c r="J30" s="157">
        <v>0</v>
      </c>
      <c r="K30" s="157">
        <v>74856</v>
      </c>
    </row>
    <row r="31" spans="1:11">
      <c r="A31" s="151" t="s">
        <v>133</v>
      </c>
      <c r="B31" s="1092"/>
      <c r="C31" s="1093"/>
      <c r="D31" s="1094"/>
      <c r="E31" s="147"/>
      <c r="F31" s="156"/>
      <c r="G31" s="156"/>
      <c r="H31" s="157"/>
      <c r="I31" s="158">
        <v>0</v>
      </c>
      <c r="J31" s="157"/>
      <c r="K31" s="159">
        <v>0</v>
      </c>
    </row>
    <row r="32" spans="1:11">
      <c r="A32" s="151" t="s">
        <v>134</v>
      </c>
      <c r="B32" s="398"/>
      <c r="C32" s="403"/>
      <c r="D32" s="404"/>
      <c r="E32" s="147"/>
      <c r="F32" s="156"/>
      <c r="G32" s="160" t="s">
        <v>85</v>
      </c>
      <c r="H32" s="157"/>
      <c r="I32" s="158">
        <v>0</v>
      </c>
      <c r="J32" s="157"/>
      <c r="K32" s="159">
        <v>0</v>
      </c>
    </row>
    <row r="33" spans="1:11">
      <c r="A33" s="151" t="s">
        <v>135</v>
      </c>
      <c r="B33" s="398"/>
      <c r="C33" s="403"/>
      <c r="D33" s="404"/>
      <c r="E33" s="147"/>
      <c r="F33" s="156"/>
      <c r="G33" s="160" t="s">
        <v>85</v>
      </c>
      <c r="H33" s="157"/>
      <c r="I33" s="158">
        <v>0</v>
      </c>
      <c r="J33" s="157"/>
      <c r="K33" s="159">
        <v>0</v>
      </c>
    </row>
    <row r="34" spans="1:11">
      <c r="A34" s="151" t="s">
        <v>136</v>
      </c>
      <c r="B34" s="1092"/>
      <c r="C34" s="1093"/>
      <c r="D34" s="1094"/>
      <c r="E34" s="147"/>
      <c r="F34" s="156"/>
      <c r="G34" s="160" t="s">
        <v>85</v>
      </c>
      <c r="H34" s="157"/>
      <c r="I34" s="158">
        <v>0</v>
      </c>
      <c r="J34" s="157"/>
      <c r="K34" s="159">
        <v>0</v>
      </c>
    </row>
    <row r="35" spans="1:11">
      <c r="A35" s="147"/>
      <c r="B35" s="147"/>
      <c r="C35" s="147"/>
      <c r="D35" s="147"/>
      <c r="E35" s="147"/>
      <c r="F35" s="147"/>
      <c r="G35" s="147"/>
      <c r="H35" s="147"/>
      <c r="I35" s="147"/>
      <c r="J35" s="147"/>
      <c r="K35" s="161"/>
    </row>
    <row r="36" spans="1:11">
      <c r="A36" s="154" t="s">
        <v>137</v>
      </c>
      <c r="B36" s="150" t="s">
        <v>138</v>
      </c>
      <c r="C36" s="147"/>
      <c r="D36" s="147"/>
      <c r="E36" s="150" t="s">
        <v>7</v>
      </c>
      <c r="F36" s="162">
        <v>25362</v>
      </c>
      <c r="G36" s="162">
        <v>308474</v>
      </c>
      <c r="H36" s="159">
        <v>3088673</v>
      </c>
      <c r="I36" s="159">
        <v>1012639</v>
      </c>
      <c r="J36" s="159">
        <v>285542</v>
      </c>
      <c r="K36" s="159">
        <v>3815770</v>
      </c>
    </row>
    <row r="37" spans="1:11" ht="13.5" thickBot="1">
      <c r="A37" s="147"/>
      <c r="B37" s="150"/>
      <c r="C37" s="147"/>
      <c r="D37" s="147"/>
      <c r="E37" s="147"/>
      <c r="F37" s="163"/>
      <c r="G37" s="163"/>
      <c r="H37" s="164"/>
      <c r="I37" s="164"/>
      <c r="J37" s="164"/>
      <c r="K37" s="165"/>
    </row>
    <row r="38" spans="1:11" ht="25.5">
      <c r="A38" s="147"/>
      <c r="B38" s="147"/>
      <c r="C38" s="147"/>
      <c r="D38" s="147"/>
      <c r="E38" s="147"/>
      <c r="F38" s="153" t="s">
        <v>9</v>
      </c>
      <c r="G38" s="153" t="s">
        <v>37</v>
      </c>
      <c r="H38" s="153" t="s">
        <v>29</v>
      </c>
      <c r="I38" s="153" t="s">
        <v>30</v>
      </c>
      <c r="J38" s="153" t="s">
        <v>33</v>
      </c>
      <c r="K38" s="153" t="s">
        <v>34</v>
      </c>
    </row>
    <row r="39" spans="1:11">
      <c r="A39" s="154" t="s">
        <v>86</v>
      </c>
      <c r="B39" s="150" t="s">
        <v>49</v>
      </c>
      <c r="C39" s="147"/>
      <c r="D39" s="147"/>
      <c r="E39" s="147"/>
      <c r="F39" s="147"/>
      <c r="G39" s="147"/>
      <c r="H39" s="147"/>
      <c r="I39" s="147"/>
      <c r="J39" s="147"/>
      <c r="K39" s="147"/>
    </row>
    <row r="40" spans="1:11">
      <c r="A40" s="151" t="s">
        <v>87</v>
      </c>
      <c r="B40" s="147" t="s">
        <v>31</v>
      </c>
      <c r="C40" s="147"/>
      <c r="D40" s="147"/>
      <c r="E40" s="147"/>
      <c r="F40" s="156">
        <v>148</v>
      </c>
      <c r="G40" s="156">
        <v>216</v>
      </c>
      <c r="H40" s="157">
        <v>22268571</v>
      </c>
      <c r="I40" s="157">
        <v>0</v>
      </c>
      <c r="J40" s="157">
        <v>0</v>
      </c>
      <c r="K40" s="157">
        <v>22268571</v>
      </c>
    </row>
    <row r="41" spans="1:11">
      <c r="A41" s="151" t="s">
        <v>88</v>
      </c>
      <c r="B41" s="904" t="s">
        <v>50</v>
      </c>
      <c r="C41" s="904"/>
      <c r="D41" s="147"/>
      <c r="E41" s="147"/>
      <c r="F41" s="156">
        <v>15304</v>
      </c>
      <c r="G41" s="156">
        <v>1228</v>
      </c>
      <c r="H41" s="157">
        <v>759494</v>
      </c>
      <c r="I41" s="157">
        <v>417014</v>
      </c>
      <c r="J41" s="157">
        <v>0</v>
      </c>
      <c r="K41" s="157">
        <v>1176508</v>
      </c>
    </row>
    <row r="42" spans="1:11">
      <c r="A42" s="151" t="s">
        <v>89</v>
      </c>
      <c r="B42" s="155" t="s">
        <v>11</v>
      </c>
      <c r="C42" s="147"/>
      <c r="D42" s="147"/>
      <c r="E42" s="147"/>
      <c r="F42" s="156">
        <v>25766.75</v>
      </c>
      <c r="G42" s="156">
        <v>1811</v>
      </c>
      <c r="H42" s="157">
        <v>1430531</v>
      </c>
      <c r="I42" s="157">
        <v>183553</v>
      </c>
      <c r="J42" s="157">
        <v>7800</v>
      </c>
      <c r="K42" s="157">
        <v>1606284</v>
      </c>
    </row>
    <row r="43" spans="1:11">
      <c r="A43" s="151" t="s">
        <v>90</v>
      </c>
      <c r="B43" s="166" t="s">
        <v>10</v>
      </c>
      <c r="C43" s="167"/>
      <c r="D43" s="167"/>
      <c r="E43" s="147"/>
      <c r="F43" s="156">
        <v>1702</v>
      </c>
      <c r="G43" s="156">
        <v>60</v>
      </c>
      <c r="H43" s="157">
        <v>131185</v>
      </c>
      <c r="I43" s="157">
        <v>5611</v>
      </c>
      <c r="J43" s="157">
        <v>0</v>
      </c>
      <c r="K43" s="157">
        <v>136796</v>
      </c>
    </row>
    <row r="45" spans="1:11">
      <c r="A45" s="154" t="s">
        <v>142</v>
      </c>
      <c r="B45" s="150" t="s">
        <v>143</v>
      </c>
      <c r="C45" s="147"/>
      <c r="D45" s="147"/>
      <c r="E45" s="150" t="s">
        <v>7</v>
      </c>
      <c r="F45" s="586">
        <v>42920.75</v>
      </c>
      <c r="G45" s="586">
        <v>3315</v>
      </c>
      <c r="H45" s="159">
        <v>24589781</v>
      </c>
      <c r="I45" s="159">
        <v>606178</v>
      </c>
      <c r="J45" s="159">
        <v>7800</v>
      </c>
      <c r="K45" s="159">
        <v>25188159</v>
      </c>
    </row>
    <row r="46" spans="1:11" ht="13.5" thickBot="1">
      <c r="A46" s="147"/>
      <c r="B46" s="147"/>
      <c r="C46" s="147"/>
      <c r="D46" s="147"/>
      <c r="E46" s="147"/>
      <c r="F46" s="147"/>
      <c r="G46" s="172"/>
      <c r="H46" s="172"/>
      <c r="I46" s="172"/>
      <c r="J46" s="172"/>
      <c r="K46" s="172"/>
    </row>
    <row r="47" spans="1:11" ht="25.5">
      <c r="A47" s="147"/>
      <c r="B47" s="147"/>
      <c r="C47" s="147"/>
      <c r="D47" s="147"/>
      <c r="E47" s="147"/>
      <c r="F47" s="153" t="s">
        <v>9</v>
      </c>
      <c r="G47" s="153" t="s">
        <v>37</v>
      </c>
      <c r="H47" s="153" t="s">
        <v>29</v>
      </c>
      <c r="I47" s="153" t="s">
        <v>30</v>
      </c>
      <c r="J47" s="153" t="s">
        <v>33</v>
      </c>
      <c r="K47" s="153" t="s">
        <v>34</v>
      </c>
    </row>
    <row r="48" spans="1:11" ht="15.75" customHeight="1">
      <c r="A48" s="154" t="s">
        <v>92</v>
      </c>
      <c r="B48" s="905" t="s">
        <v>38</v>
      </c>
      <c r="C48" s="905"/>
      <c r="D48" s="147"/>
      <c r="E48" s="147"/>
      <c r="F48" s="147"/>
      <c r="G48" s="147"/>
      <c r="H48" s="147"/>
      <c r="I48" s="147"/>
      <c r="J48" s="147"/>
      <c r="K48" s="147"/>
    </row>
    <row r="49" spans="1:11" ht="15">
      <c r="A49" s="151" t="s">
        <v>51</v>
      </c>
      <c r="B49" s="587" t="s">
        <v>450</v>
      </c>
      <c r="C49" s="588"/>
      <c r="D49" s="589"/>
      <c r="E49" s="147"/>
      <c r="F49" s="156">
        <v>0</v>
      </c>
      <c r="G49" s="156">
        <v>0</v>
      </c>
      <c r="H49" s="157">
        <v>1470708</v>
      </c>
      <c r="I49" s="157">
        <v>0</v>
      </c>
      <c r="J49" s="157">
        <v>857278</v>
      </c>
      <c r="K49" s="157">
        <v>613430</v>
      </c>
    </row>
    <row r="50" spans="1:11" ht="15">
      <c r="A50" s="151" t="s">
        <v>93</v>
      </c>
      <c r="B50" s="590" t="s">
        <v>451</v>
      </c>
      <c r="C50" s="591"/>
      <c r="D50" s="592"/>
      <c r="E50" s="147"/>
      <c r="F50" s="156">
        <v>0</v>
      </c>
      <c r="G50" s="156">
        <v>0</v>
      </c>
      <c r="H50" s="157">
        <v>392212</v>
      </c>
      <c r="I50" s="157">
        <v>0</v>
      </c>
      <c r="J50" s="157">
        <v>0</v>
      </c>
      <c r="K50" s="157">
        <v>392212</v>
      </c>
    </row>
    <row r="51" spans="1:11" ht="15">
      <c r="A51" s="151" t="s">
        <v>94</v>
      </c>
      <c r="B51" s="587" t="s">
        <v>452</v>
      </c>
      <c r="C51" s="588"/>
      <c r="D51" s="589"/>
      <c r="E51" s="147"/>
      <c r="F51" s="156">
        <v>0</v>
      </c>
      <c r="G51" s="156">
        <v>0</v>
      </c>
      <c r="H51" s="157">
        <v>272705</v>
      </c>
      <c r="I51" s="157">
        <v>0</v>
      </c>
      <c r="J51" s="157">
        <v>0</v>
      </c>
      <c r="K51" s="157">
        <v>272705</v>
      </c>
    </row>
    <row r="52" spans="1:11" ht="15">
      <c r="A52" s="151" t="s">
        <v>95</v>
      </c>
      <c r="B52" s="587" t="s">
        <v>453</v>
      </c>
      <c r="C52" s="588"/>
      <c r="D52" s="589"/>
      <c r="E52" s="147"/>
      <c r="F52" s="156">
        <v>0</v>
      </c>
      <c r="G52" s="156">
        <v>0</v>
      </c>
      <c r="H52" s="157">
        <v>416100</v>
      </c>
      <c r="I52" s="157">
        <v>0</v>
      </c>
      <c r="J52" s="157">
        <v>0</v>
      </c>
      <c r="K52" s="157">
        <v>416100</v>
      </c>
    </row>
    <row r="53" spans="1:11" ht="15">
      <c r="A53" s="151" t="s">
        <v>96</v>
      </c>
      <c r="B53" s="590" t="s">
        <v>454</v>
      </c>
      <c r="C53" s="591"/>
      <c r="D53" s="592"/>
      <c r="E53" s="147"/>
      <c r="F53" s="156">
        <v>0</v>
      </c>
      <c r="G53" s="156">
        <v>0</v>
      </c>
      <c r="H53" s="157">
        <v>75000</v>
      </c>
      <c r="I53" s="157">
        <v>0</v>
      </c>
      <c r="J53" s="157">
        <v>0</v>
      </c>
      <c r="K53" s="157">
        <v>75000</v>
      </c>
    </row>
    <row r="54" spans="1:11">
      <c r="A54" s="151" t="s">
        <v>97</v>
      </c>
      <c r="B54" s="396" t="s">
        <v>455</v>
      </c>
      <c r="C54" s="397"/>
      <c r="D54" s="392"/>
      <c r="E54" s="147"/>
      <c r="F54" s="156">
        <v>0</v>
      </c>
      <c r="G54" s="156">
        <v>0</v>
      </c>
      <c r="H54" s="157">
        <v>97534</v>
      </c>
      <c r="I54" s="157">
        <v>0</v>
      </c>
      <c r="J54" s="157">
        <v>0</v>
      </c>
      <c r="K54" s="157">
        <v>97534</v>
      </c>
    </row>
    <row r="55" spans="1:11">
      <c r="A55" s="151" t="s">
        <v>98</v>
      </c>
      <c r="B55" s="396" t="s">
        <v>456</v>
      </c>
      <c r="C55" s="397"/>
      <c r="D55" s="392"/>
      <c r="E55" s="147"/>
      <c r="F55" s="156">
        <v>393</v>
      </c>
      <c r="G55" s="156">
        <v>0</v>
      </c>
      <c r="H55" s="157">
        <v>36925</v>
      </c>
      <c r="I55" s="157">
        <v>0</v>
      </c>
      <c r="J55" s="157">
        <v>0</v>
      </c>
      <c r="K55" s="157">
        <v>36925</v>
      </c>
    </row>
    <row r="56" spans="1:11">
      <c r="A56" s="151" t="s">
        <v>99</v>
      </c>
      <c r="B56" s="901" t="s">
        <v>457</v>
      </c>
      <c r="C56" s="902"/>
      <c r="D56" s="903"/>
      <c r="E56" s="147"/>
      <c r="F56" s="156">
        <v>83</v>
      </c>
      <c r="G56" s="156">
        <v>0</v>
      </c>
      <c r="H56" s="157">
        <v>80092</v>
      </c>
      <c r="I56" s="157">
        <v>0</v>
      </c>
      <c r="J56" s="157">
        <v>0</v>
      </c>
      <c r="K56" s="157">
        <v>80092</v>
      </c>
    </row>
    <row r="57" spans="1:11">
      <c r="A57" s="151" t="s">
        <v>100</v>
      </c>
      <c r="B57" s="901" t="s">
        <v>458</v>
      </c>
      <c r="C57" s="902"/>
      <c r="D57" s="903"/>
      <c r="E57" s="147"/>
      <c r="F57" s="156">
        <v>0</v>
      </c>
      <c r="G57" s="156">
        <v>0</v>
      </c>
      <c r="H57" s="157">
        <v>1378764</v>
      </c>
      <c r="I57" s="157">
        <v>0</v>
      </c>
      <c r="J57" s="157">
        <v>0</v>
      </c>
      <c r="K57" s="157">
        <v>1378764</v>
      </c>
    </row>
    <row r="58" spans="1:11">
      <c r="A58" s="151"/>
      <c r="B58" s="147"/>
      <c r="C58" s="147"/>
      <c r="D58" s="147"/>
      <c r="E58" s="147"/>
      <c r="F58" s="147"/>
      <c r="G58" s="147"/>
      <c r="H58" s="147"/>
      <c r="I58" s="173"/>
      <c r="J58" s="147"/>
      <c r="K58" s="147"/>
    </row>
    <row r="59" spans="1:11">
      <c r="A59" s="151" t="s">
        <v>144</v>
      </c>
      <c r="B59" s="150" t="s">
        <v>145</v>
      </c>
      <c r="C59" s="147"/>
      <c r="D59" s="147"/>
      <c r="E59" s="150" t="s">
        <v>7</v>
      </c>
      <c r="F59" s="162">
        <v>476</v>
      </c>
      <c r="G59" s="162">
        <v>0</v>
      </c>
      <c r="H59" s="159">
        <v>4220040</v>
      </c>
      <c r="I59" s="159">
        <v>0</v>
      </c>
      <c r="J59" s="159">
        <v>857278</v>
      </c>
      <c r="K59" s="159">
        <v>3362762</v>
      </c>
    </row>
    <row r="60" spans="1:11">
      <c r="A60" s="147"/>
      <c r="B60" s="147"/>
      <c r="C60" s="147"/>
      <c r="D60" s="147"/>
      <c r="E60" s="147"/>
      <c r="F60" s="174"/>
      <c r="G60" s="174"/>
      <c r="H60" s="174"/>
      <c r="I60" s="174"/>
      <c r="J60" s="174"/>
      <c r="K60" s="174"/>
    </row>
    <row r="61" spans="1:11" ht="25.5">
      <c r="A61" s="147"/>
      <c r="B61" s="147"/>
      <c r="C61" s="147"/>
      <c r="D61" s="147"/>
      <c r="E61" s="147"/>
      <c r="F61" s="175" t="s">
        <v>9</v>
      </c>
      <c r="G61" s="175" t="s">
        <v>37</v>
      </c>
      <c r="H61" s="175" t="s">
        <v>29</v>
      </c>
      <c r="I61" s="175" t="s">
        <v>30</v>
      </c>
      <c r="J61" s="175" t="s">
        <v>33</v>
      </c>
      <c r="K61" s="175" t="s">
        <v>34</v>
      </c>
    </row>
    <row r="62" spans="1:11">
      <c r="A62" s="154" t="s">
        <v>102</v>
      </c>
      <c r="B62" s="150" t="s">
        <v>12</v>
      </c>
      <c r="C62" s="147"/>
      <c r="D62" s="147"/>
      <c r="E62" s="147"/>
      <c r="F62" s="176"/>
      <c r="G62" s="176"/>
      <c r="H62" s="176"/>
      <c r="I62" s="177"/>
      <c r="J62" s="176"/>
      <c r="K62" s="178"/>
    </row>
    <row r="63" spans="1:11">
      <c r="A63" s="151" t="s">
        <v>103</v>
      </c>
      <c r="B63" s="147" t="s">
        <v>52</v>
      </c>
      <c r="C63" s="147"/>
      <c r="D63" s="147"/>
      <c r="E63" s="147"/>
      <c r="F63" s="156">
        <v>0</v>
      </c>
      <c r="G63" s="156">
        <v>0</v>
      </c>
      <c r="H63" s="157">
        <v>26137</v>
      </c>
      <c r="I63" s="157">
        <v>0</v>
      </c>
      <c r="J63" s="157">
        <v>0</v>
      </c>
      <c r="K63" s="157">
        <v>26137</v>
      </c>
    </row>
    <row r="64" spans="1:11">
      <c r="A64" s="151" t="s">
        <v>104</v>
      </c>
      <c r="B64" s="155" t="s">
        <v>53</v>
      </c>
      <c r="C64" s="147"/>
      <c r="D64" s="147"/>
      <c r="E64" s="147"/>
      <c r="F64" s="156">
        <v>0</v>
      </c>
      <c r="G64" s="156">
        <v>0</v>
      </c>
      <c r="H64" s="157">
        <v>0</v>
      </c>
      <c r="I64" s="158">
        <v>0</v>
      </c>
      <c r="J64" s="157">
        <v>0</v>
      </c>
      <c r="K64" s="159">
        <v>0</v>
      </c>
    </row>
    <row r="65" spans="1:11">
      <c r="A65" s="151" t="s">
        <v>178</v>
      </c>
      <c r="B65" s="396" t="s">
        <v>459</v>
      </c>
      <c r="C65" s="397"/>
      <c r="D65" s="392"/>
      <c r="E65" s="150"/>
      <c r="F65" s="180">
        <v>4160</v>
      </c>
      <c r="G65" s="180">
        <v>0</v>
      </c>
      <c r="H65" s="181">
        <v>167628</v>
      </c>
      <c r="I65" s="181">
        <v>0</v>
      </c>
      <c r="J65" s="181">
        <v>0</v>
      </c>
      <c r="K65" s="181">
        <v>167628</v>
      </c>
    </row>
    <row r="66" spans="1:11">
      <c r="A66" s="151" t="s">
        <v>179</v>
      </c>
      <c r="B66" s="396"/>
      <c r="C66" s="397"/>
      <c r="D66" s="392"/>
      <c r="E66" s="150"/>
      <c r="F66" s="180"/>
      <c r="G66" s="180"/>
      <c r="H66" s="181"/>
      <c r="I66" s="158"/>
      <c r="J66" s="181"/>
      <c r="K66" s="159"/>
    </row>
    <row r="67" spans="1:11">
      <c r="A67" s="151" t="s">
        <v>180</v>
      </c>
      <c r="B67" s="390"/>
      <c r="C67" s="391"/>
      <c r="D67" s="182"/>
      <c r="E67" s="150"/>
      <c r="F67" s="156"/>
      <c r="G67" s="156"/>
      <c r="H67" s="157"/>
      <c r="I67" s="158"/>
      <c r="J67" s="157"/>
      <c r="K67" s="159"/>
    </row>
    <row r="68" spans="1:11">
      <c r="A68" s="151"/>
      <c r="B68" s="155"/>
      <c r="C68" s="147"/>
      <c r="D68" s="147"/>
      <c r="E68" s="150"/>
      <c r="F68" s="183"/>
      <c r="G68" s="183"/>
      <c r="H68" s="184"/>
      <c r="I68" s="177"/>
      <c r="J68" s="184"/>
      <c r="K68" s="178"/>
    </row>
    <row r="69" spans="1:11">
      <c r="A69" s="154" t="s">
        <v>146</v>
      </c>
      <c r="B69" s="150" t="s">
        <v>147</v>
      </c>
      <c r="C69" s="147"/>
      <c r="D69" s="147"/>
      <c r="E69" s="150" t="s">
        <v>7</v>
      </c>
      <c r="F69" s="264">
        <v>4160</v>
      </c>
      <c r="G69" s="264">
        <v>0</v>
      </c>
      <c r="H69" s="186">
        <v>193765</v>
      </c>
      <c r="I69" s="186">
        <v>0</v>
      </c>
      <c r="J69" s="186">
        <v>0</v>
      </c>
      <c r="K69" s="186">
        <v>193765</v>
      </c>
    </row>
    <row r="70" spans="1:11" ht="41.25" customHeight="1">
      <c r="A70" s="147"/>
      <c r="B70" s="147"/>
      <c r="C70" s="147"/>
      <c r="D70" s="147"/>
      <c r="E70" s="147"/>
      <c r="F70" s="153" t="s">
        <v>9</v>
      </c>
      <c r="G70" s="153" t="s">
        <v>37</v>
      </c>
      <c r="H70" s="153" t="s">
        <v>29</v>
      </c>
      <c r="I70" s="153" t="s">
        <v>30</v>
      </c>
      <c r="J70" s="153" t="s">
        <v>33</v>
      </c>
      <c r="K70" s="153" t="s">
        <v>34</v>
      </c>
    </row>
    <row r="71" spans="1:11">
      <c r="A71" s="154" t="s">
        <v>105</v>
      </c>
      <c r="B71" s="150" t="s">
        <v>106</v>
      </c>
      <c r="C71" s="147"/>
      <c r="D71" s="147"/>
      <c r="E71" s="147"/>
      <c r="F71" s="147"/>
      <c r="G71" s="147"/>
      <c r="H71" s="147"/>
      <c r="I71" s="147"/>
      <c r="J71" s="147"/>
      <c r="K71" s="147"/>
    </row>
    <row r="72" spans="1:11">
      <c r="A72" s="151" t="s">
        <v>107</v>
      </c>
      <c r="B72" s="155" t="s">
        <v>54</v>
      </c>
      <c r="C72" s="147"/>
      <c r="D72" s="147"/>
      <c r="E72" s="147"/>
      <c r="F72" s="156">
        <v>31</v>
      </c>
      <c r="G72" s="156">
        <v>26</v>
      </c>
      <c r="H72" s="157">
        <v>125911</v>
      </c>
      <c r="I72" s="157">
        <v>0</v>
      </c>
      <c r="J72" s="157">
        <v>0</v>
      </c>
      <c r="K72" s="157">
        <v>125911</v>
      </c>
    </row>
    <row r="73" spans="1:11">
      <c r="A73" s="151" t="s">
        <v>108</v>
      </c>
      <c r="B73" s="155" t="s">
        <v>55</v>
      </c>
      <c r="C73" s="147"/>
      <c r="D73" s="147"/>
      <c r="E73" s="147"/>
      <c r="F73" s="156">
        <v>0</v>
      </c>
      <c r="G73" s="156">
        <v>0</v>
      </c>
      <c r="H73" s="157">
        <v>0</v>
      </c>
      <c r="I73" s="158">
        <v>0</v>
      </c>
      <c r="J73" s="157">
        <v>0</v>
      </c>
      <c r="K73" s="159">
        <v>0</v>
      </c>
    </row>
    <row r="74" spans="1:11">
      <c r="A74" s="151" t="s">
        <v>109</v>
      </c>
      <c r="B74" s="155" t="s">
        <v>13</v>
      </c>
      <c r="C74" s="147"/>
      <c r="D74" s="147"/>
      <c r="E74" s="147"/>
      <c r="F74" s="156">
        <v>4810.75</v>
      </c>
      <c r="G74" s="156">
        <v>24807</v>
      </c>
      <c r="H74" s="157">
        <v>1757288</v>
      </c>
      <c r="I74" s="157">
        <v>5508</v>
      </c>
      <c r="J74" s="157">
        <v>1750</v>
      </c>
      <c r="K74" s="157">
        <v>1761046</v>
      </c>
    </row>
    <row r="75" spans="1:11">
      <c r="A75" s="151" t="s">
        <v>110</v>
      </c>
      <c r="B75" s="155" t="s">
        <v>56</v>
      </c>
      <c r="C75" s="147"/>
      <c r="D75" s="147"/>
      <c r="E75" s="147"/>
      <c r="F75" s="156">
        <v>0</v>
      </c>
      <c r="G75" s="156">
        <v>0</v>
      </c>
      <c r="H75" s="157">
        <v>0</v>
      </c>
      <c r="I75" s="158">
        <v>0</v>
      </c>
      <c r="J75" s="157">
        <v>0</v>
      </c>
      <c r="K75" s="159">
        <v>0</v>
      </c>
    </row>
    <row r="76" spans="1:11">
      <c r="A76" s="151"/>
      <c r="B76" s="147"/>
      <c r="C76" s="147"/>
      <c r="D76" s="147"/>
      <c r="E76" s="147"/>
      <c r="F76" s="147"/>
      <c r="G76" s="147"/>
      <c r="H76" s="147"/>
      <c r="I76" s="147"/>
      <c r="J76" s="147"/>
      <c r="K76" s="188"/>
    </row>
    <row r="77" spans="1:11">
      <c r="A77" s="151" t="s">
        <v>148</v>
      </c>
      <c r="B77" s="150" t="s">
        <v>149</v>
      </c>
      <c r="C77" s="147"/>
      <c r="D77" s="147"/>
      <c r="E77" s="150" t="s">
        <v>7</v>
      </c>
      <c r="F77" s="264">
        <v>4841.75</v>
      </c>
      <c r="G77" s="264">
        <v>24833</v>
      </c>
      <c r="H77" s="187">
        <v>1883199</v>
      </c>
      <c r="I77" s="187">
        <v>5508</v>
      </c>
      <c r="J77" s="187">
        <v>1750</v>
      </c>
      <c r="K77" s="187">
        <v>1886957</v>
      </c>
    </row>
    <row r="78" spans="1:11" ht="13.5" thickBot="1">
      <c r="A78" s="151"/>
      <c r="B78" s="147"/>
      <c r="C78" s="147"/>
      <c r="D78" s="147"/>
      <c r="E78" s="147"/>
      <c r="F78" s="172"/>
      <c r="G78" s="172"/>
      <c r="H78" s="172"/>
      <c r="I78" s="172"/>
      <c r="J78" s="172"/>
      <c r="K78" s="172"/>
    </row>
    <row r="79" spans="1:11" ht="45.75" customHeight="1">
      <c r="A79" s="147"/>
      <c r="B79" s="147"/>
      <c r="C79" s="147"/>
      <c r="D79" s="147"/>
      <c r="E79" s="147"/>
      <c r="F79" s="153" t="s">
        <v>9</v>
      </c>
      <c r="G79" s="153" t="s">
        <v>37</v>
      </c>
      <c r="H79" s="153" t="s">
        <v>29</v>
      </c>
      <c r="I79" s="153" t="s">
        <v>30</v>
      </c>
      <c r="J79" s="153" t="s">
        <v>33</v>
      </c>
      <c r="K79" s="153" t="s">
        <v>34</v>
      </c>
    </row>
    <row r="80" spans="1:11">
      <c r="A80" s="154" t="s">
        <v>111</v>
      </c>
      <c r="B80" s="150" t="s">
        <v>57</v>
      </c>
      <c r="C80" s="147"/>
      <c r="D80" s="147"/>
      <c r="E80" s="147"/>
      <c r="F80" s="147"/>
      <c r="G80" s="147"/>
      <c r="H80" s="147"/>
      <c r="I80" s="147"/>
      <c r="J80" s="147"/>
      <c r="K80" s="147"/>
    </row>
    <row r="81" spans="1:11">
      <c r="A81" s="151" t="s">
        <v>112</v>
      </c>
      <c r="B81" s="155" t="s">
        <v>113</v>
      </c>
      <c r="C81" s="147"/>
      <c r="D81" s="147"/>
      <c r="E81" s="147"/>
      <c r="F81" s="156">
        <v>0</v>
      </c>
      <c r="G81" s="156">
        <v>0</v>
      </c>
      <c r="H81" s="157">
        <v>30575</v>
      </c>
      <c r="I81" s="157">
        <v>17183</v>
      </c>
      <c r="J81" s="157">
        <v>0</v>
      </c>
      <c r="K81" s="157">
        <v>47758</v>
      </c>
    </row>
    <row r="82" spans="1:11">
      <c r="A82" s="151" t="s">
        <v>114</v>
      </c>
      <c r="B82" s="155" t="s">
        <v>14</v>
      </c>
      <c r="C82" s="147"/>
      <c r="D82" s="147"/>
      <c r="E82" s="147"/>
      <c r="F82" s="156">
        <v>0</v>
      </c>
      <c r="G82" s="156">
        <v>0</v>
      </c>
      <c r="H82" s="157">
        <v>0</v>
      </c>
      <c r="I82" s="158">
        <v>0</v>
      </c>
      <c r="J82" s="157">
        <v>0</v>
      </c>
      <c r="K82" s="159">
        <v>0</v>
      </c>
    </row>
    <row r="83" spans="1:11">
      <c r="A83" s="151" t="s">
        <v>115</v>
      </c>
      <c r="B83" s="155" t="s">
        <v>116</v>
      </c>
      <c r="C83" s="147"/>
      <c r="D83" s="147"/>
      <c r="E83" s="147"/>
      <c r="F83" s="156">
        <v>81.5</v>
      </c>
      <c r="G83" s="156">
        <v>5</v>
      </c>
      <c r="H83" s="157">
        <v>317589</v>
      </c>
      <c r="I83" s="157">
        <v>64718</v>
      </c>
      <c r="J83" s="157">
        <v>113717</v>
      </c>
      <c r="K83" s="157">
        <v>268590</v>
      </c>
    </row>
    <row r="84" spans="1:11">
      <c r="A84" s="151" t="s">
        <v>117</v>
      </c>
      <c r="B84" s="155" t="s">
        <v>58</v>
      </c>
      <c r="C84" s="147"/>
      <c r="D84" s="147"/>
      <c r="E84" s="147"/>
      <c r="F84" s="156">
        <v>0</v>
      </c>
      <c r="G84" s="156">
        <v>0</v>
      </c>
      <c r="H84" s="157">
        <v>0</v>
      </c>
      <c r="I84" s="158">
        <v>0</v>
      </c>
      <c r="J84" s="157">
        <v>0</v>
      </c>
      <c r="K84" s="159">
        <v>0</v>
      </c>
    </row>
    <row r="85" spans="1:11">
      <c r="A85" s="151" t="s">
        <v>118</v>
      </c>
      <c r="B85" s="904" t="s">
        <v>59</v>
      </c>
      <c r="C85" s="904"/>
      <c r="D85" s="147"/>
      <c r="E85" s="147"/>
      <c r="F85" s="156">
        <v>0</v>
      </c>
      <c r="G85" s="156">
        <v>0</v>
      </c>
      <c r="H85" s="157">
        <v>0</v>
      </c>
      <c r="I85" s="158">
        <v>0</v>
      </c>
      <c r="J85" s="157">
        <v>0</v>
      </c>
      <c r="K85" s="159">
        <v>0</v>
      </c>
    </row>
    <row r="86" spans="1:11">
      <c r="A86" s="151" t="s">
        <v>119</v>
      </c>
      <c r="B86" s="155" t="s">
        <v>60</v>
      </c>
      <c r="C86" s="147"/>
      <c r="D86" s="147"/>
      <c r="E86" s="147"/>
      <c r="F86" s="156">
        <v>0</v>
      </c>
      <c r="G86" s="156">
        <v>0</v>
      </c>
      <c r="H86" s="157">
        <v>0</v>
      </c>
      <c r="I86" s="158">
        <v>0</v>
      </c>
      <c r="J86" s="157">
        <v>0</v>
      </c>
      <c r="K86" s="159">
        <v>0</v>
      </c>
    </row>
    <row r="87" spans="1:11">
      <c r="A87" s="151" t="s">
        <v>120</v>
      </c>
      <c r="B87" s="155" t="s">
        <v>121</v>
      </c>
      <c r="C87" s="147"/>
      <c r="D87" s="147"/>
      <c r="E87" s="147"/>
      <c r="F87" s="156">
        <v>0</v>
      </c>
      <c r="G87" s="156">
        <v>0</v>
      </c>
      <c r="H87" s="157">
        <v>0</v>
      </c>
      <c r="I87" s="158">
        <v>0</v>
      </c>
      <c r="J87" s="157">
        <v>0</v>
      </c>
      <c r="K87" s="159">
        <v>0</v>
      </c>
    </row>
    <row r="88" spans="1:11">
      <c r="A88" s="151" t="s">
        <v>122</v>
      </c>
      <c r="B88" s="155" t="s">
        <v>123</v>
      </c>
      <c r="C88" s="147"/>
      <c r="D88" s="147"/>
      <c r="E88" s="147"/>
      <c r="F88" s="156">
        <v>165.5</v>
      </c>
      <c r="G88" s="156">
        <v>219</v>
      </c>
      <c r="H88" s="157">
        <v>7967</v>
      </c>
      <c r="I88" s="157">
        <v>4478</v>
      </c>
      <c r="J88" s="157">
        <v>0</v>
      </c>
      <c r="K88" s="157">
        <v>12445</v>
      </c>
    </row>
    <row r="89" spans="1:11">
      <c r="A89" s="151" t="s">
        <v>124</v>
      </c>
      <c r="B89" s="901"/>
      <c r="C89" s="902"/>
      <c r="D89" s="903"/>
      <c r="E89" s="147"/>
      <c r="F89" s="156"/>
      <c r="G89" s="156"/>
      <c r="H89" s="157"/>
      <c r="I89" s="158"/>
      <c r="J89" s="157"/>
      <c r="K89" s="159"/>
    </row>
    <row r="90" spans="1:11">
      <c r="A90" s="151" t="s">
        <v>125</v>
      </c>
      <c r="B90" s="901"/>
      <c r="C90" s="902"/>
      <c r="D90" s="903"/>
      <c r="E90" s="147"/>
      <c r="F90" s="156"/>
      <c r="G90" s="156"/>
      <c r="H90" s="157"/>
      <c r="I90" s="158"/>
      <c r="J90" s="157"/>
      <c r="K90" s="159"/>
    </row>
    <row r="91" spans="1:11">
      <c r="A91" s="151" t="s">
        <v>126</v>
      </c>
      <c r="B91" s="901"/>
      <c r="C91" s="902"/>
      <c r="D91" s="903"/>
      <c r="E91" s="147"/>
      <c r="F91" s="156"/>
      <c r="G91" s="156"/>
      <c r="H91" s="157"/>
      <c r="I91" s="158"/>
      <c r="J91" s="157"/>
      <c r="K91" s="159"/>
    </row>
    <row r="92" spans="1:11">
      <c r="A92" s="151"/>
      <c r="B92" s="155"/>
      <c r="C92" s="147"/>
      <c r="D92" s="147"/>
      <c r="E92" s="147"/>
      <c r="F92" s="147"/>
      <c r="G92" s="147"/>
      <c r="H92" s="147"/>
      <c r="I92" s="147"/>
      <c r="J92" s="147"/>
      <c r="K92" s="147"/>
    </row>
    <row r="93" spans="1:11">
      <c r="A93" s="154" t="s">
        <v>150</v>
      </c>
      <c r="B93" s="150" t="s">
        <v>151</v>
      </c>
      <c r="C93" s="147"/>
      <c r="D93" s="147"/>
      <c r="E93" s="150" t="s">
        <v>7</v>
      </c>
      <c r="F93" s="162">
        <v>247</v>
      </c>
      <c r="G93" s="162">
        <v>224</v>
      </c>
      <c r="H93" s="157">
        <v>356131</v>
      </c>
      <c r="I93" s="157">
        <v>86379</v>
      </c>
      <c r="J93" s="157">
        <v>113717</v>
      </c>
      <c r="K93" s="157">
        <v>328793</v>
      </c>
    </row>
    <row r="94" spans="1:11" ht="13.5" thickBot="1">
      <c r="A94" s="147"/>
      <c r="B94" s="150"/>
      <c r="C94" s="147"/>
      <c r="D94" s="147"/>
      <c r="E94" s="147"/>
      <c r="F94" s="172"/>
      <c r="G94" s="172"/>
      <c r="H94" s="172"/>
      <c r="I94" s="172"/>
      <c r="J94" s="172"/>
      <c r="K94" s="172"/>
    </row>
    <row r="95" spans="1:11" ht="25.5">
      <c r="A95" s="147"/>
      <c r="B95" s="147"/>
      <c r="C95" s="147"/>
      <c r="D95" s="147"/>
      <c r="E95" s="147"/>
      <c r="F95" s="153" t="s">
        <v>9</v>
      </c>
      <c r="G95" s="153" t="s">
        <v>37</v>
      </c>
      <c r="H95" s="153" t="s">
        <v>29</v>
      </c>
      <c r="I95" s="153" t="s">
        <v>30</v>
      </c>
      <c r="J95" s="153" t="s">
        <v>33</v>
      </c>
      <c r="K95" s="153" t="s">
        <v>34</v>
      </c>
    </row>
    <row r="96" spans="1:11">
      <c r="A96" s="154" t="s">
        <v>130</v>
      </c>
      <c r="B96" s="150" t="s">
        <v>63</v>
      </c>
      <c r="C96" s="147"/>
      <c r="D96" s="147"/>
      <c r="E96" s="147"/>
      <c r="F96" s="147"/>
      <c r="G96" s="147"/>
      <c r="H96" s="147"/>
      <c r="I96" s="147"/>
      <c r="J96" s="147"/>
      <c r="K96" s="147"/>
    </row>
    <row r="97" spans="1:11">
      <c r="A97" s="151" t="s">
        <v>131</v>
      </c>
      <c r="B97" s="155" t="s">
        <v>152</v>
      </c>
      <c r="C97" s="147"/>
      <c r="D97" s="147"/>
      <c r="E97" s="147"/>
      <c r="F97" s="156">
        <v>1025</v>
      </c>
      <c r="G97" s="156">
        <v>0</v>
      </c>
      <c r="H97" s="157">
        <v>77339</v>
      </c>
      <c r="I97" s="157">
        <v>41457</v>
      </c>
      <c r="J97" s="157">
        <v>0</v>
      </c>
      <c r="K97" s="157">
        <v>118796</v>
      </c>
    </row>
    <row r="98" spans="1:11">
      <c r="A98" s="151" t="s">
        <v>132</v>
      </c>
      <c r="B98" s="958" t="s">
        <v>62</v>
      </c>
      <c r="C98" s="958"/>
      <c r="D98" s="147"/>
      <c r="E98" s="147"/>
      <c r="F98" s="156">
        <v>0</v>
      </c>
      <c r="G98" s="156">
        <v>0</v>
      </c>
      <c r="H98" s="157">
        <v>0</v>
      </c>
      <c r="I98" s="158">
        <v>0</v>
      </c>
      <c r="J98" s="157">
        <v>0</v>
      </c>
      <c r="K98" s="159">
        <v>0</v>
      </c>
    </row>
    <row r="99" spans="1:11">
      <c r="A99" s="151" t="s">
        <v>128</v>
      </c>
      <c r="B99" s="901"/>
      <c r="C99" s="902"/>
      <c r="D99" s="903"/>
      <c r="E99" s="147"/>
      <c r="F99" s="156"/>
      <c r="G99" s="156"/>
      <c r="H99" s="157"/>
      <c r="I99" s="158"/>
      <c r="J99" s="157"/>
      <c r="K99" s="159"/>
    </row>
    <row r="100" spans="1:11">
      <c r="A100" s="151" t="s">
        <v>127</v>
      </c>
      <c r="B100" s="901"/>
      <c r="C100" s="902"/>
      <c r="D100" s="903"/>
      <c r="E100" s="147"/>
      <c r="F100" s="156"/>
      <c r="G100" s="156"/>
      <c r="H100" s="157"/>
      <c r="I100" s="158"/>
      <c r="J100" s="157"/>
      <c r="K100" s="159"/>
    </row>
    <row r="101" spans="1:11">
      <c r="A101" s="151" t="s">
        <v>129</v>
      </c>
      <c r="B101" s="901"/>
      <c r="C101" s="902"/>
      <c r="D101" s="903"/>
      <c r="E101" s="147"/>
      <c r="F101" s="156"/>
      <c r="G101" s="156"/>
      <c r="H101" s="157"/>
      <c r="I101" s="158"/>
      <c r="J101" s="157"/>
      <c r="K101" s="159"/>
    </row>
    <row r="102" spans="1:11">
      <c r="A102" s="147"/>
      <c r="B102" s="150"/>
      <c r="C102" s="147"/>
      <c r="D102" s="147"/>
      <c r="E102" s="147"/>
      <c r="F102" s="147"/>
      <c r="G102" s="147"/>
      <c r="H102" s="147"/>
      <c r="I102" s="147"/>
      <c r="J102" s="147"/>
      <c r="K102" s="147"/>
    </row>
    <row r="103" spans="1:11">
      <c r="A103" s="154" t="s">
        <v>153</v>
      </c>
      <c r="B103" s="191" t="s">
        <v>154</v>
      </c>
      <c r="C103" s="147"/>
      <c r="D103" s="147"/>
      <c r="E103" s="150" t="s">
        <v>7</v>
      </c>
      <c r="F103" s="162">
        <v>1025</v>
      </c>
      <c r="G103" s="162">
        <v>0</v>
      </c>
      <c r="H103" s="159">
        <v>77339</v>
      </c>
      <c r="I103" s="159">
        <v>41457</v>
      </c>
      <c r="J103" s="159">
        <v>0</v>
      </c>
      <c r="K103" s="159">
        <v>118796</v>
      </c>
    </row>
    <row r="104" spans="1:11" ht="13.5" thickBot="1">
      <c r="A104" s="192"/>
      <c r="B104" s="193"/>
      <c r="C104" s="194"/>
      <c r="D104" s="194"/>
      <c r="E104" s="194"/>
      <c r="F104" s="172"/>
      <c r="G104" s="172"/>
      <c r="H104" s="172"/>
      <c r="I104" s="172"/>
      <c r="J104" s="172"/>
      <c r="K104" s="172"/>
    </row>
    <row r="105" spans="1:11">
      <c r="A105" s="154" t="s">
        <v>156</v>
      </c>
      <c r="B105" s="150" t="s">
        <v>39</v>
      </c>
      <c r="C105" s="147"/>
      <c r="D105" s="147"/>
      <c r="E105" s="147"/>
      <c r="F105" s="147"/>
      <c r="G105" s="147"/>
      <c r="H105" s="147"/>
      <c r="I105" s="147"/>
      <c r="J105" s="147"/>
      <c r="K105" s="147"/>
    </row>
    <row r="106" spans="1:11">
      <c r="A106" s="154" t="s">
        <v>155</v>
      </c>
      <c r="B106" s="150" t="s">
        <v>164</v>
      </c>
      <c r="C106" s="147"/>
      <c r="D106" s="147"/>
      <c r="E106" s="150" t="s">
        <v>7</v>
      </c>
      <c r="F106" s="157">
        <v>16531000</v>
      </c>
      <c r="G106" s="147"/>
      <c r="H106" s="147"/>
      <c r="I106" s="147"/>
      <c r="J106" s="147"/>
      <c r="K106" s="147"/>
    </row>
    <row r="107" spans="1:11">
      <c r="A107" s="147"/>
      <c r="B107" s="150"/>
      <c r="C107" s="147"/>
      <c r="D107" s="147"/>
      <c r="E107" s="150"/>
      <c r="F107" s="195"/>
      <c r="G107" s="147"/>
      <c r="H107" s="147"/>
      <c r="I107" s="147"/>
      <c r="J107" s="147"/>
      <c r="K107" s="147"/>
    </row>
    <row r="108" spans="1:11">
      <c r="A108" s="154" t="s">
        <v>170</v>
      </c>
      <c r="B108" s="150" t="s">
        <v>15</v>
      </c>
      <c r="C108" s="147"/>
      <c r="D108" s="147"/>
      <c r="E108" s="147"/>
      <c r="F108" s="147"/>
    </row>
    <row r="109" spans="1:11">
      <c r="A109" s="151" t="s">
        <v>171</v>
      </c>
      <c r="B109" s="155" t="s">
        <v>35</v>
      </c>
      <c r="C109" s="147"/>
      <c r="D109" s="147"/>
      <c r="E109" s="147"/>
      <c r="F109" s="196">
        <v>0.56179999999999997</v>
      </c>
    </row>
    <row r="110" spans="1:11">
      <c r="A110" s="151"/>
      <c r="B110" s="150"/>
      <c r="C110" s="147"/>
      <c r="D110" s="147"/>
      <c r="E110" s="147"/>
      <c r="F110" s="147"/>
    </row>
    <row r="111" spans="1:11">
      <c r="A111" s="151"/>
      <c r="B111" s="150" t="s">
        <v>16</v>
      </c>
      <c r="C111" s="147"/>
      <c r="D111" s="147"/>
      <c r="E111" s="147"/>
      <c r="F111" s="147"/>
    </row>
    <row r="112" spans="1:11">
      <c r="A112" s="151" t="s">
        <v>172</v>
      </c>
      <c r="B112" s="155" t="s">
        <v>17</v>
      </c>
      <c r="C112" s="147"/>
      <c r="D112" s="147"/>
      <c r="E112" s="147"/>
      <c r="F112" s="157">
        <v>515836000</v>
      </c>
    </row>
    <row r="113" spans="1:11">
      <c r="A113" s="151" t="s">
        <v>173</v>
      </c>
      <c r="B113" s="147" t="s">
        <v>18</v>
      </c>
      <c r="C113" s="147"/>
      <c r="D113" s="147"/>
      <c r="E113" s="147"/>
      <c r="F113" s="157">
        <v>61068000</v>
      </c>
    </row>
    <row r="114" spans="1:11">
      <c r="A114" s="151" t="s">
        <v>174</v>
      </c>
      <c r="B114" s="150" t="s">
        <v>19</v>
      </c>
      <c r="C114" s="147"/>
      <c r="D114" s="147"/>
      <c r="E114" s="147"/>
      <c r="F114" s="187">
        <v>576904000</v>
      </c>
    </row>
    <row r="115" spans="1:11">
      <c r="A115" s="151"/>
      <c r="B115" s="150"/>
      <c r="C115" s="147"/>
      <c r="D115" s="147"/>
      <c r="E115" s="147"/>
      <c r="F115" s="147"/>
    </row>
    <row r="116" spans="1:11">
      <c r="A116" s="151" t="s">
        <v>167</v>
      </c>
      <c r="B116" s="150" t="s">
        <v>36</v>
      </c>
      <c r="C116" s="147"/>
      <c r="D116" s="147"/>
      <c r="E116" s="147"/>
      <c r="F116" s="157">
        <v>563029000</v>
      </c>
    </row>
    <row r="117" spans="1:11">
      <c r="A117" s="151"/>
      <c r="B117" s="147"/>
      <c r="C117" s="147"/>
      <c r="D117" s="147"/>
      <c r="E117" s="147"/>
      <c r="F117" s="147"/>
    </row>
    <row r="118" spans="1:11">
      <c r="A118" s="151" t="s">
        <v>175</v>
      </c>
      <c r="B118" s="150" t="s">
        <v>20</v>
      </c>
      <c r="C118" s="147"/>
      <c r="D118" s="147"/>
      <c r="E118" s="147"/>
      <c r="F118" s="157">
        <v>13875000</v>
      </c>
    </row>
    <row r="119" spans="1:11">
      <c r="A119" s="151"/>
      <c r="B119" s="147"/>
      <c r="C119" s="147"/>
      <c r="D119" s="147"/>
      <c r="E119" s="147"/>
      <c r="F119" s="147"/>
    </row>
    <row r="120" spans="1:11">
      <c r="A120" s="151" t="s">
        <v>176</v>
      </c>
      <c r="B120" s="150" t="s">
        <v>21</v>
      </c>
      <c r="C120" s="147"/>
      <c r="D120" s="147"/>
      <c r="E120" s="147"/>
      <c r="F120" s="157">
        <v>253000</v>
      </c>
    </row>
    <row r="121" spans="1:11">
      <c r="A121" s="151"/>
      <c r="B121" s="147"/>
      <c r="C121" s="147"/>
      <c r="D121" s="147"/>
      <c r="E121" s="147"/>
      <c r="F121" s="147"/>
    </row>
    <row r="122" spans="1:11">
      <c r="A122" s="151" t="s">
        <v>177</v>
      </c>
      <c r="B122" s="150" t="s">
        <v>22</v>
      </c>
      <c r="C122" s="147"/>
      <c r="D122" s="147"/>
      <c r="E122" s="147"/>
      <c r="F122" s="157">
        <v>13622000</v>
      </c>
    </row>
    <row r="123" spans="1:11">
      <c r="A123" s="151"/>
      <c r="B123" s="147"/>
      <c r="C123" s="147"/>
      <c r="D123" s="147"/>
      <c r="E123" s="147"/>
      <c r="F123" s="147"/>
    </row>
    <row r="124" spans="1:11" ht="25.5">
      <c r="A124" s="147"/>
      <c r="B124" s="147"/>
      <c r="C124" s="147"/>
      <c r="D124" s="147"/>
      <c r="E124" s="147"/>
      <c r="F124" s="153" t="s">
        <v>9</v>
      </c>
      <c r="G124" s="153" t="s">
        <v>37</v>
      </c>
      <c r="H124" s="153" t="s">
        <v>29</v>
      </c>
      <c r="I124" s="153" t="s">
        <v>30</v>
      </c>
      <c r="J124" s="153" t="s">
        <v>33</v>
      </c>
      <c r="K124" s="153" t="s">
        <v>34</v>
      </c>
    </row>
    <row r="125" spans="1:11">
      <c r="A125" s="154" t="s">
        <v>157</v>
      </c>
      <c r="B125" s="150" t="s">
        <v>23</v>
      </c>
      <c r="C125" s="147"/>
      <c r="D125" s="147"/>
      <c r="E125" s="147"/>
      <c r="F125" s="147"/>
      <c r="G125" s="147"/>
      <c r="H125" s="147"/>
      <c r="I125" s="147"/>
      <c r="J125" s="147"/>
      <c r="K125" s="147"/>
    </row>
    <row r="126" spans="1:11">
      <c r="A126" s="151" t="s">
        <v>158</v>
      </c>
      <c r="B126" s="147" t="s">
        <v>24</v>
      </c>
      <c r="C126" s="147"/>
      <c r="D126" s="147"/>
      <c r="E126" s="147"/>
      <c r="F126" s="156"/>
      <c r="G126" s="156"/>
      <c r="H126" s="157"/>
      <c r="I126" s="158">
        <v>0</v>
      </c>
      <c r="J126" s="157"/>
      <c r="K126" s="159">
        <v>0</v>
      </c>
    </row>
    <row r="127" spans="1:11">
      <c r="A127" s="151" t="s">
        <v>159</v>
      </c>
      <c r="B127" s="147" t="s">
        <v>25</v>
      </c>
      <c r="C127" s="147"/>
      <c r="D127" s="147"/>
      <c r="E127" s="147"/>
      <c r="F127" s="156"/>
      <c r="G127" s="156"/>
      <c r="H127" s="157"/>
      <c r="I127" s="158">
        <v>0</v>
      </c>
      <c r="J127" s="157"/>
      <c r="K127" s="159">
        <v>0</v>
      </c>
    </row>
    <row r="128" spans="1:11">
      <c r="A128" s="151" t="s">
        <v>160</v>
      </c>
      <c r="B128" s="898"/>
      <c r="C128" s="899"/>
      <c r="D128" s="900"/>
      <c r="E128" s="147"/>
      <c r="F128" s="156"/>
      <c r="G128" s="156"/>
      <c r="H128" s="157"/>
      <c r="I128" s="158">
        <v>0</v>
      </c>
      <c r="J128" s="157"/>
      <c r="K128" s="159">
        <v>0</v>
      </c>
    </row>
    <row r="129" spans="1:11">
      <c r="A129" s="151" t="s">
        <v>161</v>
      </c>
      <c r="B129" s="898"/>
      <c r="C129" s="899"/>
      <c r="D129" s="900"/>
      <c r="E129" s="147"/>
      <c r="F129" s="156"/>
      <c r="G129" s="156"/>
      <c r="H129" s="157"/>
      <c r="I129" s="158">
        <v>0</v>
      </c>
      <c r="J129" s="157"/>
      <c r="K129" s="159">
        <v>0</v>
      </c>
    </row>
    <row r="130" spans="1:11">
      <c r="A130" s="151" t="s">
        <v>162</v>
      </c>
      <c r="B130" s="898"/>
      <c r="C130" s="899"/>
      <c r="D130" s="900"/>
      <c r="E130" s="147"/>
      <c r="F130" s="156"/>
      <c r="G130" s="156"/>
      <c r="H130" s="157"/>
      <c r="I130" s="158">
        <v>0</v>
      </c>
      <c r="J130" s="157"/>
      <c r="K130" s="159">
        <v>0</v>
      </c>
    </row>
    <row r="131" spans="1:11">
      <c r="A131" s="154"/>
      <c r="B131" s="147"/>
      <c r="C131" s="147"/>
      <c r="D131" s="147"/>
      <c r="E131" s="147"/>
      <c r="F131" s="147"/>
      <c r="G131" s="147"/>
      <c r="H131" s="147"/>
      <c r="I131" s="147"/>
      <c r="J131" s="147"/>
      <c r="K131" s="147"/>
    </row>
    <row r="132" spans="1:11">
      <c r="A132" s="154" t="s">
        <v>163</v>
      </c>
      <c r="B132" s="150" t="s">
        <v>27</v>
      </c>
      <c r="C132" s="147"/>
      <c r="D132" s="147"/>
      <c r="E132" s="147"/>
      <c r="F132" s="162">
        <v>0</v>
      </c>
      <c r="G132" s="162">
        <v>0</v>
      </c>
      <c r="H132" s="159">
        <v>0</v>
      </c>
      <c r="I132" s="159">
        <v>0</v>
      </c>
      <c r="J132" s="159">
        <v>0</v>
      </c>
      <c r="K132" s="159">
        <v>0</v>
      </c>
    </row>
    <row r="133" spans="1:11">
      <c r="A133" s="147"/>
      <c r="B133" s="147"/>
      <c r="C133" s="147"/>
      <c r="D133" s="147"/>
      <c r="E133" s="147"/>
      <c r="F133" s="147"/>
      <c r="G133" s="147"/>
      <c r="H133" s="147"/>
      <c r="I133" s="147"/>
      <c r="J133" s="147"/>
      <c r="K133" s="147"/>
    </row>
    <row r="134" spans="1:11" ht="25.5">
      <c r="A134" s="147"/>
      <c r="B134" s="147"/>
      <c r="C134" s="147"/>
      <c r="D134" s="147"/>
      <c r="E134" s="147"/>
      <c r="F134" s="153" t="s">
        <v>9</v>
      </c>
      <c r="G134" s="153" t="s">
        <v>37</v>
      </c>
      <c r="H134" s="153" t="s">
        <v>29</v>
      </c>
      <c r="I134" s="153" t="s">
        <v>30</v>
      </c>
      <c r="J134" s="153" t="s">
        <v>33</v>
      </c>
      <c r="K134" s="153" t="s">
        <v>34</v>
      </c>
    </row>
    <row r="135" spans="1:11">
      <c r="A135" s="154" t="s">
        <v>166</v>
      </c>
      <c r="B135" s="150" t="s">
        <v>26</v>
      </c>
      <c r="C135" s="147"/>
      <c r="D135" s="147"/>
      <c r="E135" s="147"/>
      <c r="F135" s="147"/>
      <c r="G135" s="147"/>
      <c r="H135" s="147"/>
      <c r="I135" s="147"/>
      <c r="J135" s="147"/>
      <c r="K135" s="147"/>
    </row>
    <row r="136" spans="1:11">
      <c r="A136" s="151" t="s">
        <v>137</v>
      </c>
      <c r="B136" s="150" t="s">
        <v>64</v>
      </c>
      <c r="C136" s="147"/>
      <c r="D136" s="147"/>
      <c r="E136" s="147"/>
      <c r="F136" s="197">
        <v>25362</v>
      </c>
      <c r="G136" s="197">
        <v>308474</v>
      </c>
      <c r="H136" s="265">
        <v>3088673</v>
      </c>
      <c r="I136" s="265">
        <v>1012639</v>
      </c>
      <c r="J136" s="265">
        <v>285542</v>
      </c>
      <c r="K136" s="265">
        <v>3815770</v>
      </c>
    </row>
    <row r="137" spans="1:11">
      <c r="A137" s="151" t="s">
        <v>142</v>
      </c>
      <c r="B137" s="150" t="s">
        <v>65</v>
      </c>
      <c r="C137" s="147"/>
      <c r="D137" s="147"/>
      <c r="E137" s="147"/>
      <c r="F137" s="197">
        <v>42920.75</v>
      </c>
      <c r="G137" s="197">
        <v>3315</v>
      </c>
      <c r="H137" s="265">
        <v>24589781</v>
      </c>
      <c r="I137" s="265">
        <v>606178</v>
      </c>
      <c r="J137" s="265">
        <v>7800</v>
      </c>
      <c r="K137" s="265">
        <v>25188159</v>
      </c>
    </row>
    <row r="138" spans="1:11">
      <c r="A138" s="151" t="s">
        <v>144</v>
      </c>
      <c r="B138" s="150" t="s">
        <v>66</v>
      </c>
      <c r="C138" s="147"/>
      <c r="D138" s="147"/>
      <c r="E138" s="147"/>
      <c r="F138" s="197">
        <v>476</v>
      </c>
      <c r="G138" s="197">
        <v>0</v>
      </c>
      <c r="H138" s="265">
        <v>4220040</v>
      </c>
      <c r="I138" s="265">
        <v>0</v>
      </c>
      <c r="J138" s="265">
        <v>857278</v>
      </c>
      <c r="K138" s="265">
        <v>3362762</v>
      </c>
    </row>
    <row r="139" spans="1:11">
      <c r="A139" s="151" t="s">
        <v>146</v>
      </c>
      <c r="B139" s="150" t="s">
        <v>67</v>
      </c>
      <c r="C139" s="147"/>
      <c r="D139" s="147"/>
      <c r="E139" s="147"/>
      <c r="F139" s="197">
        <v>4160</v>
      </c>
      <c r="G139" s="197">
        <v>0</v>
      </c>
      <c r="H139" s="265">
        <v>193765</v>
      </c>
      <c r="I139" s="265">
        <v>0</v>
      </c>
      <c r="J139" s="265">
        <v>0</v>
      </c>
      <c r="K139" s="265">
        <v>193765</v>
      </c>
    </row>
    <row r="140" spans="1:11">
      <c r="A140" s="151" t="s">
        <v>148</v>
      </c>
      <c r="B140" s="150" t="s">
        <v>68</v>
      </c>
      <c r="C140" s="147"/>
      <c r="D140" s="147"/>
      <c r="E140" s="147"/>
      <c r="F140" s="197">
        <v>4841.75</v>
      </c>
      <c r="G140" s="197">
        <v>24833</v>
      </c>
      <c r="H140" s="265">
        <v>1883199</v>
      </c>
      <c r="I140" s="265">
        <v>5508</v>
      </c>
      <c r="J140" s="265">
        <v>1750</v>
      </c>
      <c r="K140" s="265">
        <v>1886957</v>
      </c>
    </row>
    <row r="141" spans="1:11">
      <c r="A141" s="151" t="s">
        <v>150</v>
      </c>
      <c r="B141" s="150" t="s">
        <v>69</v>
      </c>
      <c r="C141" s="147"/>
      <c r="D141" s="147"/>
      <c r="E141" s="147"/>
      <c r="F141" s="197">
        <v>247</v>
      </c>
      <c r="G141" s="197">
        <v>224</v>
      </c>
      <c r="H141" s="265">
        <v>356131</v>
      </c>
      <c r="I141" s="265">
        <v>86379</v>
      </c>
      <c r="J141" s="265">
        <v>113717</v>
      </c>
      <c r="K141" s="265">
        <v>328793</v>
      </c>
    </row>
    <row r="142" spans="1:11">
      <c r="A142" s="151" t="s">
        <v>153</v>
      </c>
      <c r="B142" s="150" t="s">
        <v>61</v>
      </c>
      <c r="C142" s="147"/>
      <c r="D142" s="147"/>
      <c r="E142" s="147"/>
      <c r="F142" s="162">
        <v>1025</v>
      </c>
      <c r="G142" s="162">
        <v>0</v>
      </c>
      <c r="H142" s="266">
        <v>77339</v>
      </c>
      <c r="I142" s="266">
        <v>41457</v>
      </c>
      <c r="J142" s="266">
        <v>0</v>
      </c>
      <c r="K142" s="266">
        <v>118796</v>
      </c>
    </row>
    <row r="143" spans="1:11">
      <c r="A143" s="151" t="s">
        <v>155</v>
      </c>
      <c r="B143" s="150" t="s">
        <v>70</v>
      </c>
      <c r="C143" s="147"/>
      <c r="D143" s="147"/>
      <c r="E143" s="147"/>
      <c r="F143" s="198" t="s">
        <v>73</v>
      </c>
      <c r="G143" s="198" t="s">
        <v>73</v>
      </c>
      <c r="H143" s="199" t="s">
        <v>73</v>
      </c>
      <c r="I143" s="199" t="s">
        <v>73</v>
      </c>
      <c r="J143" s="199" t="s">
        <v>73</v>
      </c>
      <c r="K143" s="200">
        <v>16531000</v>
      </c>
    </row>
    <row r="144" spans="1:11">
      <c r="A144" s="151" t="s">
        <v>163</v>
      </c>
      <c r="B144" s="150" t="s">
        <v>71</v>
      </c>
      <c r="C144" s="147"/>
      <c r="D144" s="147"/>
      <c r="E144" s="147"/>
      <c r="F144" s="162">
        <v>0</v>
      </c>
      <c r="G144" s="162">
        <v>0</v>
      </c>
      <c r="H144" s="162">
        <v>0</v>
      </c>
      <c r="I144" s="162">
        <v>0</v>
      </c>
      <c r="J144" s="162">
        <v>0</v>
      </c>
      <c r="K144" s="162">
        <v>0</v>
      </c>
    </row>
    <row r="145" spans="1:11">
      <c r="A145" s="151" t="s">
        <v>185</v>
      </c>
      <c r="B145" s="150" t="s">
        <v>183</v>
      </c>
      <c r="C145" s="147"/>
      <c r="D145" s="147"/>
      <c r="E145" s="147"/>
      <c r="F145" s="198" t="s">
        <v>73</v>
      </c>
      <c r="G145" s="198" t="s">
        <v>73</v>
      </c>
      <c r="H145" s="162">
        <v>2140256</v>
      </c>
      <c r="I145" s="162">
        <v>0</v>
      </c>
      <c r="J145" s="162">
        <v>0</v>
      </c>
      <c r="K145" s="162">
        <v>2140256</v>
      </c>
    </row>
    <row r="146" spans="1:11">
      <c r="A146" s="147"/>
      <c r="B146" s="150"/>
      <c r="C146" s="147"/>
      <c r="D146" s="147"/>
      <c r="E146" s="147"/>
      <c r="F146" s="174"/>
      <c r="G146" s="174"/>
      <c r="H146" s="174"/>
      <c r="I146" s="174"/>
      <c r="J146" s="174"/>
      <c r="K146" s="174"/>
    </row>
    <row r="147" spans="1:11">
      <c r="A147" s="154" t="s">
        <v>165</v>
      </c>
      <c r="B147" s="150" t="s">
        <v>26</v>
      </c>
      <c r="C147" s="147"/>
      <c r="D147" s="147"/>
      <c r="E147" s="147"/>
      <c r="F147" s="201">
        <v>79032.5</v>
      </c>
      <c r="G147" s="201">
        <v>336846</v>
      </c>
      <c r="H147" s="266">
        <v>36549184</v>
      </c>
      <c r="I147" s="266">
        <v>1752161</v>
      </c>
      <c r="J147" s="266">
        <v>1266087</v>
      </c>
      <c r="K147" s="266">
        <v>53566258</v>
      </c>
    </row>
    <row r="149" spans="1:11">
      <c r="A149" s="154" t="s">
        <v>168</v>
      </c>
      <c r="B149" s="150" t="s">
        <v>28</v>
      </c>
      <c r="C149" s="147"/>
      <c r="D149" s="147"/>
      <c r="E149" s="147"/>
      <c r="F149" s="267">
        <v>9.5139429762942943E-2</v>
      </c>
      <c r="G149" s="147"/>
      <c r="H149" s="147"/>
      <c r="I149" s="147"/>
      <c r="J149" s="147"/>
      <c r="K149" s="147"/>
    </row>
    <row r="150" spans="1:11">
      <c r="A150" s="154" t="s">
        <v>169</v>
      </c>
      <c r="B150" s="150" t="s">
        <v>72</v>
      </c>
      <c r="C150" s="147"/>
      <c r="D150" s="147"/>
      <c r="E150" s="147"/>
      <c r="F150" s="267">
        <v>3.9323343121421233</v>
      </c>
      <c r="G150" s="150"/>
      <c r="H150" s="147"/>
      <c r="I150" s="147"/>
      <c r="J150" s="147"/>
      <c r="K150" s="147"/>
    </row>
    <row r="151" spans="1:11">
      <c r="A151" s="147"/>
      <c r="B151" s="147"/>
      <c r="C151" s="147"/>
      <c r="D151" s="147"/>
      <c r="E151" s="147"/>
      <c r="F151" s="147"/>
      <c r="G151" s="150"/>
      <c r="H151" s="147"/>
      <c r="I151" s="147"/>
      <c r="J151" s="147"/>
      <c r="K151" s="147"/>
    </row>
  </sheetData>
  <mergeCells count="28">
    <mergeCell ref="C10:G10"/>
    <mergeCell ref="D2:H2"/>
    <mergeCell ref="C5:G5"/>
    <mergeCell ref="C6:G6"/>
    <mergeCell ref="C7:G7"/>
    <mergeCell ref="C9:G9"/>
    <mergeCell ref="B85:C85"/>
    <mergeCell ref="C11:G11"/>
    <mergeCell ref="B13:H13"/>
    <mergeCell ref="A16:B16"/>
    <mergeCell ref="A19:B19"/>
    <mergeCell ref="B30:D30"/>
    <mergeCell ref="B31:D31"/>
    <mergeCell ref="B34:D34"/>
    <mergeCell ref="B41:C41"/>
    <mergeCell ref="B48:C48"/>
    <mergeCell ref="B56:D56"/>
    <mergeCell ref="B57:D57"/>
    <mergeCell ref="B101:D101"/>
    <mergeCell ref="B128:D128"/>
    <mergeCell ref="B129:D129"/>
    <mergeCell ref="B130:D130"/>
    <mergeCell ref="B89:D89"/>
    <mergeCell ref="B90:D90"/>
    <mergeCell ref="B91:D91"/>
    <mergeCell ref="B98:C98"/>
    <mergeCell ref="B99:D99"/>
    <mergeCell ref="B100:D100"/>
  </mergeCells>
  <pageMargins left="0.7" right="0.7" top="0.75" bottom="0.75" header="0.3" footer="0.3"/>
  <pageSetup scale="69" fitToHeight="0" orientation="landscape" verticalDpi="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tabColor theme="8"/>
    <pageSetUpPr fitToPage="1"/>
  </sheetPr>
  <dimension ref="A1:L169"/>
  <sheetViews>
    <sheetView topLeftCell="A133" zoomScale="80" zoomScaleNormal="80" workbookViewId="0">
      <selection activeCell="P177" sqref="P177"/>
    </sheetView>
  </sheetViews>
  <sheetFormatPr defaultRowHeight="15"/>
  <cols>
    <col min="1" max="1" width="17.5703125" style="418" customWidth="1"/>
    <col min="2" max="2" width="19.5703125" style="418" customWidth="1"/>
    <col min="3" max="3" width="15.5703125" style="418" customWidth="1"/>
    <col min="4" max="4" width="16.42578125" style="418" customWidth="1"/>
    <col min="5" max="5" width="15" style="418" customWidth="1"/>
    <col min="6" max="6" width="20.28515625" style="418" customWidth="1"/>
    <col min="7" max="7" width="16" style="418" customWidth="1"/>
    <col min="8" max="8" width="16.5703125" style="418" customWidth="1"/>
    <col min="9" max="9" width="19.42578125" style="418" customWidth="1"/>
    <col min="10" max="10" width="14.7109375" style="418" customWidth="1"/>
    <col min="11" max="11" width="15.140625" style="418" customWidth="1"/>
    <col min="12" max="16384" width="9.140625" style="418"/>
  </cols>
  <sheetData>
    <row r="1" spans="1:11">
      <c r="A1" s="420"/>
      <c r="C1" s="484"/>
      <c r="D1" s="485"/>
      <c r="E1" s="484"/>
      <c r="F1" s="484"/>
      <c r="G1" s="484"/>
      <c r="H1" s="484"/>
      <c r="I1" s="484"/>
      <c r="J1" s="484"/>
      <c r="K1" s="484"/>
    </row>
    <row r="2" spans="1:11" ht="15.75">
      <c r="A2" s="420"/>
      <c r="D2" s="1023" t="s">
        <v>713</v>
      </c>
      <c r="E2" s="997"/>
      <c r="F2" s="997"/>
      <c r="G2" s="997"/>
      <c r="H2" s="997"/>
    </row>
    <row r="3" spans="1:11">
      <c r="A3" s="420"/>
      <c r="B3" s="419" t="s">
        <v>0</v>
      </c>
    </row>
    <row r="4" spans="1:11">
      <c r="A4" s="420"/>
    </row>
    <row r="5" spans="1:11">
      <c r="A5" s="420"/>
      <c r="B5" s="427" t="s">
        <v>40</v>
      </c>
      <c r="C5" s="1024" t="s">
        <v>613</v>
      </c>
      <c r="D5" s="1025"/>
      <c r="E5" s="1025"/>
      <c r="F5" s="1025"/>
      <c r="G5" s="1026"/>
    </row>
    <row r="6" spans="1:11">
      <c r="A6" s="420"/>
      <c r="B6" s="427" t="s">
        <v>3</v>
      </c>
      <c r="C6" s="1027" t="s">
        <v>614</v>
      </c>
      <c r="D6" s="1028"/>
      <c r="E6" s="1028"/>
      <c r="F6" s="1028"/>
      <c r="G6" s="1029"/>
    </row>
    <row r="7" spans="1:11">
      <c r="A7" s="420"/>
      <c r="B7" s="427" t="s">
        <v>4</v>
      </c>
      <c r="C7" s="1030">
        <v>2044</v>
      </c>
      <c r="D7" s="1031"/>
      <c r="E7" s="1031"/>
      <c r="F7" s="1031"/>
      <c r="G7" s="1032"/>
    </row>
    <row r="8" spans="1:11">
      <c r="A8" s="420"/>
    </row>
    <row r="9" spans="1:11">
      <c r="A9" s="420"/>
      <c r="B9" s="427" t="s">
        <v>1</v>
      </c>
      <c r="C9" s="1024" t="s">
        <v>719</v>
      </c>
      <c r="D9" s="1025"/>
      <c r="E9" s="1025"/>
      <c r="F9" s="1025"/>
      <c r="G9" s="1026"/>
    </row>
    <row r="10" spans="1:11">
      <c r="A10" s="420"/>
      <c r="B10" s="427" t="s">
        <v>2</v>
      </c>
      <c r="C10" s="1083" t="s">
        <v>718</v>
      </c>
      <c r="D10" s="1084"/>
      <c r="E10" s="1084"/>
      <c r="F10" s="1084"/>
      <c r="G10" s="1085"/>
    </row>
    <row r="11" spans="1:11">
      <c r="A11" s="420"/>
      <c r="B11" s="427" t="s">
        <v>32</v>
      </c>
      <c r="C11" s="962" t="s">
        <v>717</v>
      </c>
      <c r="D11" s="1087"/>
      <c r="E11" s="1087"/>
      <c r="F11" s="1087"/>
      <c r="G11" s="1087"/>
    </row>
    <row r="12" spans="1:11" s="489" customFormat="1">
      <c r="A12" s="490"/>
      <c r="B12" s="488"/>
      <c r="C12" s="487"/>
      <c r="D12" s="486"/>
      <c r="E12" s="486"/>
      <c r="F12" s="486"/>
      <c r="G12" s="486"/>
    </row>
    <row r="13" spans="1:11" s="489" customFormat="1">
      <c r="A13" s="490"/>
      <c r="B13" s="488"/>
      <c r="C13" s="487"/>
      <c r="D13" s="486"/>
      <c r="E13" s="486"/>
      <c r="F13" s="486"/>
      <c r="G13" s="486"/>
    </row>
    <row r="14" spans="1:11">
      <c r="A14" s="420"/>
      <c r="B14" s="488"/>
      <c r="C14" s="487"/>
      <c r="D14" s="486"/>
      <c r="E14" s="486"/>
      <c r="F14" s="486"/>
      <c r="G14" s="486"/>
    </row>
    <row r="15" spans="1:11">
      <c r="A15" s="420"/>
      <c r="B15" s="488"/>
      <c r="C15" s="487"/>
      <c r="D15" s="486"/>
      <c r="E15" s="486"/>
      <c r="F15" s="486"/>
      <c r="G15" s="486"/>
    </row>
    <row r="16" spans="1:11" ht="39">
      <c r="A16" s="485" t="s">
        <v>181</v>
      </c>
      <c r="B16" s="484"/>
      <c r="C16" s="484"/>
      <c r="D16" s="484"/>
      <c r="E16" s="484"/>
      <c r="F16" s="431" t="s">
        <v>9</v>
      </c>
      <c r="G16" s="431" t="s">
        <v>37</v>
      </c>
      <c r="H16" s="431" t="s">
        <v>29</v>
      </c>
      <c r="I16" s="431" t="s">
        <v>30</v>
      </c>
      <c r="J16" s="431" t="s">
        <v>33</v>
      </c>
      <c r="K16" s="431" t="s">
        <v>34</v>
      </c>
    </row>
    <row r="17" spans="1:11">
      <c r="A17" s="422" t="s">
        <v>184</v>
      </c>
      <c r="B17" s="419" t="s">
        <v>182</v>
      </c>
    </row>
    <row r="18" spans="1:11">
      <c r="A18" s="427" t="s">
        <v>185</v>
      </c>
      <c r="B18" s="439" t="s">
        <v>183</v>
      </c>
      <c r="F18" s="435" t="s">
        <v>73</v>
      </c>
      <c r="G18" s="435" t="s">
        <v>73</v>
      </c>
      <c r="H18" s="433">
        <f>'[33]8.Deficit Assessment FY15'!E13</f>
        <v>8243421.1981960637</v>
      </c>
      <c r="I18" s="434">
        <v>0</v>
      </c>
      <c r="J18" s="433">
        <f>'[33]8.Deficit Assessment FY15'!D13</f>
        <v>7049155.8243681621</v>
      </c>
      <c r="K18" s="432">
        <f>(H18+I18)-J18</f>
        <v>1194265.3738279017</v>
      </c>
    </row>
    <row r="19" spans="1:11" ht="39">
      <c r="A19" s="485" t="s">
        <v>8</v>
      </c>
      <c r="B19" s="484"/>
      <c r="C19" s="484"/>
      <c r="D19" s="484"/>
      <c r="E19" s="484"/>
      <c r="F19" s="431" t="s">
        <v>9</v>
      </c>
      <c r="G19" s="431" t="s">
        <v>37</v>
      </c>
      <c r="H19" s="431" t="s">
        <v>29</v>
      </c>
      <c r="I19" s="431" t="s">
        <v>30</v>
      </c>
      <c r="J19" s="431" t="s">
        <v>33</v>
      </c>
      <c r="K19" s="431" t="s">
        <v>34</v>
      </c>
    </row>
    <row r="20" spans="1:11">
      <c r="A20" s="422" t="s">
        <v>74</v>
      </c>
      <c r="B20" s="419" t="s">
        <v>41</v>
      </c>
    </row>
    <row r="21" spans="1:11">
      <c r="A21" s="427" t="s">
        <v>75</v>
      </c>
      <c r="B21" s="439" t="s">
        <v>42</v>
      </c>
      <c r="F21" s="435" t="e">
        <f>SUMIF('[33]3.CBISA Data'!$A$6:$A$72,A21,'[33]3.CBISA Data'!$L$6:$L$72)</f>
        <v>#VALUE!</v>
      </c>
      <c r="G21" s="435">
        <v>31554</v>
      </c>
      <c r="H21" s="433" t="e">
        <f>SUMIF('[33]3.CBISA Data'!$A$6:$A$72,A21,'[33]3.CBISA Data'!$E$6:$E$72)</f>
        <v>#VALUE!</v>
      </c>
      <c r="I21" s="434" t="e">
        <f t="shared" ref="I21:I34" si="0">H21*F$125</f>
        <v>#VALUE!</v>
      </c>
      <c r="J21" s="433" t="e">
        <f>SUMIF('[33]3.CBISA Data'!$A$6:$A$72,A21,'[33]3.CBISA Data'!$F$6:$F$72)</f>
        <v>#VALUE!</v>
      </c>
      <c r="K21" s="432" t="e">
        <f t="shared" ref="K21:K34" si="1">(H21+I21)-J21</f>
        <v>#VALUE!</v>
      </c>
    </row>
    <row r="22" spans="1:11">
      <c r="A22" s="427" t="s">
        <v>76</v>
      </c>
      <c r="B22" s="418" t="s">
        <v>6</v>
      </c>
      <c r="F22" s="435" t="e">
        <f>SUMIF('[33]3.CBISA Data'!$A$6:$A$72,A22,'[33]3.CBISA Data'!$L$6:$L$72)</f>
        <v>#VALUE!</v>
      </c>
      <c r="G22" s="435" t="e">
        <f>SUMIF('[33]3.CBISA Data'!$A$6:$A$72,A22,'[33]3.CBISA Data'!$K$6:$K$72)</f>
        <v>#VALUE!</v>
      </c>
      <c r="H22" s="433" t="e">
        <f>SUMIF('[33]3.CBISA Data'!$A$6:$A$72,A22,'[33]3.CBISA Data'!$E$6:$E$72)</f>
        <v>#VALUE!</v>
      </c>
      <c r="I22" s="434" t="e">
        <f t="shared" si="0"/>
        <v>#VALUE!</v>
      </c>
      <c r="J22" s="433" t="e">
        <f>SUMIF('[33]3.CBISA Data'!$A$6:$A$72,A22,'[33]3.CBISA Data'!$F$6:$F$72)</f>
        <v>#VALUE!</v>
      </c>
      <c r="K22" s="432" t="e">
        <f t="shared" si="1"/>
        <v>#VALUE!</v>
      </c>
    </row>
    <row r="23" spans="1:11">
      <c r="A23" s="427" t="s">
        <v>77</v>
      </c>
      <c r="B23" s="418" t="s">
        <v>43</v>
      </c>
      <c r="F23" s="435" t="e">
        <f>SUMIF('[33]3.CBISA Data'!$A$6:$A$72,A23,'[33]3.CBISA Data'!$L$6:$L$72)</f>
        <v>#VALUE!</v>
      </c>
      <c r="G23" s="435" t="e">
        <f>SUMIF('[33]3.CBISA Data'!$A$6:$A$72,A23,'[33]3.CBISA Data'!$K$6:$K$72)</f>
        <v>#VALUE!</v>
      </c>
      <c r="H23" s="433" t="e">
        <f>SUMIF('[33]3.CBISA Data'!$A$6:$A$72,A23,'[33]3.CBISA Data'!$E$6:$E$72)</f>
        <v>#VALUE!</v>
      </c>
      <c r="I23" s="434" t="e">
        <f t="shared" si="0"/>
        <v>#VALUE!</v>
      </c>
      <c r="J23" s="433" t="e">
        <f>SUMIF('[33]3.CBISA Data'!$A$6:$A$72,A23,'[33]3.CBISA Data'!$F$6:$F$72)</f>
        <v>#VALUE!</v>
      </c>
      <c r="K23" s="432" t="e">
        <f t="shared" si="1"/>
        <v>#VALUE!</v>
      </c>
    </row>
    <row r="24" spans="1:11">
      <c r="A24" s="427" t="s">
        <v>78</v>
      </c>
      <c r="B24" s="418" t="s">
        <v>44</v>
      </c>
      <c r="F24" s="435" t="e">
        <f>SUMIF('[33]3.CBISA Data'!$A$6:$A$72,A24,'[33]3.CBISA Data'!$L$6:$L$72)</f>
        <v>#VALUE!</v>
      </c>
      <c r="G24" s="435" t="e">
        <f>SUMIF('[33]3.CBISA Data'!$A$6:$A$72,A24,'[33]3.CBISA Data'!$K$6:$K$72)</f>
        <v>#VALUE!</v>
      </c>
      <c r="H24" s="433" t="e">
        <f>SUMIF('[33]3.CBISA Data'!$A$6:$A$72,A24,'[33]3.CBISA Data'!$E$6:$E$72)</f>
        <v>#VALUE!</v>
      </c>
      <c r="I24" s="434" t="e">
        <f t="shared" si="0"/>
        <v>#VALUE!</v>
      </c>
      <c r="J24" s="433" t="e">
        <f>SUMIF('[33]3.CBISA Data'!$A$6:$A$72,A24,'[33]3.CBISA Data'!$F$6:$F$72)</f>
        <v>#VALUE!</v>
      </c>
      <c r="K24" s="432" t="e">
        <f t="shared" si="1"/>
        <v>#VALUE!</v>
      </c>
    </row>
    <row r="25" spans="1:11">
      <c r="A25" s="427" t="s">
        <v>79</v>
      </c>
      <c r="B25" s="418" t="s">
        <v>5</v>
      </c>
      <c r="F25" s="435" t="e">
        <f>SUMIF('[33]3.CBISA Data'!$A$6:$A$72,A25,'[33]3.CBISA Data'!$L$6:$L$72)</f>
        <v>#VALUE!</v>
      </c>
      <c r="G25" s="435" t="e">
        <f>SUMIF('[33]3.CBISA Data'!$A$6:$A$72,A25,'[33]3.CBISA Data'!$K$6:$K$72)</f>
        <v>#VALUE!</v>
      </c>
      <c r="H25" s="433" t="e">
        <f>SUMIF('[33]3.CBISA Data'!$A$6:$A$72,A25,'[33]3.CBISA Data'!$E$6:$E$72)</f>
        <v>#VALUE!</v>
      </c>
      <c r="I25" s="434" t="e">
        <f t="shared" si="0"/>
        <v>#VALUE!</v>
      </c>
      <c r="J25" s="433" t="e">
        <f>SUMIF('[33]3.CBISA Data'!$A$6:$A$72,A25,'[33]3.CBISA Data'!$F$6:$F$72)</f>
        <v>#VALUE!</v>
      </c>
      <c r="K25" s="432" t="e">
        <f t="shared" si="1"/>
        <v>#VALUE!</v>
      </c>
    </row>
    <row r="26" spans="1:11">
      <c r="A26" s="427" t="s">
        <v>80</v>
      </c>
      <c r="B26" s="418" t="s">
        <v>45</v>
      </c>
      <c r="F26" s="435" t="e">
        <f>SUMIF('[33]3.CBISA Data'!$A$6:$A$72,A26,'[33]3.CBISA Data'!$L$6:$L$72)</f>
        <v>#VALUE!</v>
      </c>
      <c r="G26" s="435" t="e">
        <f>SUMIF('[33]3.CBISA Data'!$A$6:$A$72,A26,'[33]3.CBISA Data'!$K$6:$K$72)</f>
        <v>#VALUE!</v>
      </c>
      <c r="H26" s="433" t="e">
        <f>SUMIF('[33]3.CBISA Data'!$A$6:$A$72,A26,'[33]3.CBISA Data'!$E$6:$E$72)</f>
        <v>#VALUE!</v>
      </c>
      <c r="I26" s="434" t="e">
        <f t="shared" si="0"/>
        <v>#VALUE!</v>
      </c>
      <c r="J26" s="433" t="e">
        <f>SUMIF('[33]3.CBISA Data'!$A$6:$A$72,A26,'[33]3.CBISA Data'!$F$6:$F$72)</f>
        <v>#VALUE!</v>
      </c>
      <c r="K26" s="432" t="e">
        <f t="shared" si="1"/>
        <v>#VALUE!</v>
      </c>
    </row>
    <row r="27" spans="1:11">
      <c r="A27" s="427" t="s">
        <v>81</v>
      </c>
      <c r="B27" s="418" t="s">
        <v>46</v>
      </c>
      <c r="F27" s="435" t="e">
        <f>SUMIF('[33]3.CBISA Data'!$A$6:$A$72,A27,'[33]3.CBISA Data'!$L$6:$L$72)</f>
        <v>#VALUE!</v>
      </c>
      <c r="G27" s="435" t="e">
        <f>SUMIF('[33]3.CBISA Data'!$A$6:$A$72,A27,'[33]3.CBISA Data'!$K$6:$K$72)</f>
        <v>#VALUE!</v>
      </c>
      <c r="H27" s="433">
        <f>'[33]5.St. Clare'!L36</f>
        <v>761434.2</v>
      </c>
      <c r="I27" s="434">
        <f t="shared" si="0"/>
        <v>378383.44715188409</v>
      </c>
      <c r="J27" s="433">
        <f>-'[33]5.St. Clare'!K36</f>
        <v>84847.26</v>
      </c>
      <c r="K27" s="432">
        <f t="shared" si="1"/>
        <v>1054970.3871518841</v>
      </c>
    </row>
    <row r="28" spans="1:11">
      <c r="A28" s="427" t="s">
        <v>82</v>
      </c>
      <c r="B28" s="418" t="s">
        <v>47</v>
      </c>
      <c r="F28" s="435" t="e">
        <f>SUMIF('[33]3.CBISA Data'!$A$6:$A$72,A28,'[33]3.CBISA Data'!$L$6:$L$72)</f>
        <v>#VALUE!</v>
      </c>
      <c r="G28" s="435" t="e">
        <f>SUMIF('[33]3.CBISA Data'!$A$6:$A$72,A28,'[33]3.CBISA Data'!$K$6:$K$72)</f>
        <v>#VALUE!</v>
      </c>
      <c r="H28" s="433" t="e">
        <f>SUMIF('[33]3.CBISA Data'!$A$6:$A$72,A28,'[33]3.CBISA Data'!$E$6:$E$72)</f>
        <v>#VALUE!</v>
      </c>
      <c r="I28" s="434" t="e">
        <f t="shared" si="0"/>
        <v>#VALUE!</v>
      </c>
      <c r="J28" s="433" t="e">
        <f>SUMIF('[33]3.CBISA Data'!$A$6:$A$72,A28,'[33]3.CBISA Data'!$F$6:$F$72)</f>
        <v>#VALUE!</v>
      </c>
      <c r="K28" s="432" t="e">
        <f t="shared" si="1"/>
        <v>#VALUE!</v>
      </c>
    </row>
    <row r="29" spans="1:11">
      <c r="A29" s="427" t="s">
        <v>83</v>
      </c>
      <c r="B29" s="418" t="s">
        <v>48</v>
      </c>
      <c r="F29" s="435" t="e">
        <f>SUMIF('[33]3.CBISA Data'!$A$6:$A$72,A29,'[33]3.CBISA Data'!$L$6:$L$72)</f>
        <v>#VALUE!</v>
      </c>
      <c r="G29" s="435" t="e">
        <f>SUMIF('[33]3.CBISA Data'!$A$6:$A$72,A29,'[33]3.CBISA Data'!$K$6:$K$72)</f>
        <v>#VALUE!</v>
      </c>
      <c r="H29" s="433" t="e">
        <f>SUMIF('[33]3.CBISA Data'!$A$6:$A$72,A29,'[33]3.CBISA Data'!$E$6:$E$72)</f>
        <v>#VALUE!</v>
      </c>
      <c r="I29" s="434" t="e">
        <f t="shared" si="0"/>
        <v>#VALUE!</v>
      </c>
      <c r="J29" s="433" t="e">
        <f>SUMIF('[33]3.CBISA Data'!$A$6:$A$72,A29,'[33]3.CBISA Data'!$F$6:$F$72)</f>
        <v>#VALUE!</v>
      </c>
      <c r="K29" s="432" t="e">
        <f t="shared" si="1"/>
        <v>#VALUE!</v>
      </c>
    </row>
    <row r="30" spans="1:11">
      <c r="A30" s="427" t="s">
        <v>84</v>
      </c>
      <c r="B30" s="1125" t="s">
        <v>615</v>
      </c>
      <c r="C30" s="1126"/>
      <c r="D30" s="1124"/>
      <c r="F30" s="435" t="e">
        <f>SUMIF('[33]3.CBISA Data'!$A$6:$A$72,A30,'[33]3.CBISA Data'!$L$6:$L$72)</f>
        <v>#VALUE!</v>
      </c>
      <c r="G30" s="435" t="e">
        <f>SUMIF('[33]3.CBISA Data'!$A$6:$A$72,A30,'[33]3.CBISA Data'!$K$6:$K$72)</f>
        <v>#VALUE!</v>
      </c>
      <c r="H30" s="433" t="e">
        <f>SUMIF('[33]3.CBISA Data'!$A$6:$A$72,A30,'[33]3.CBISA Data'!$E$6:$E$72)</f>
        <v>#VALUE!</v>
      </c>
      <c r="I30" s="434" t="e">
        <f t="shared" si="0"/>
        <v>#VALUE!</v>
      </c>
      <c r="J30" s="433" t="e">
        <f>SUMIF('[33]3.CBISA Data'!$A$6:$A$72,A30,'[33]3.CBISA Data'!$F$6:$F$72)</f>
        <v>#VALUE!</v>
      </c>
      <c r="K30" s="432" t="e">
        <f t="shared" si="1"/>
        <v>#VALUE!</v>
      </c>
    </row>
    <row r="31" spans="1:11">
      <c r="A31" s="427" t="s">
        <v>133</v>
      </c>
      <c r="B31" s="1016" t="s">
        <v>716</v>
      </c>
      <c r="C31" s="1017"/>
      <c r="D31" s="1018"/>
      <c r="F31" s="435" t="e">
        <f>SUMIF('[33]3.CBISA Data'!$A$6:$A$72,A31,'[33]3.CBISA Data'!$L$6:$L$72)</f>
        <v>#VALUE!</v>
      </c>
      <c r="G31" s="435" t="e">
        <f>SUMIF('[33]3.CBISA Data'!$A$6:$A$72,A31,'[33]3.CBISA Data'!$K$6:$K$72)</f>
        <v>#VALUE!</v>
      </c>
      <c r="H31" s="433" t="e">
        <f>SUMIF('[33]3.CBISA Data'!$A$6:$A$72,A31,'[33]3.CBISA Data'!$E$6:$E$72)</f>
        <v>#VALUE!</v>
      </c>
      <c r="I31" s="434" t="e">
        <f t="shared" si="0"/>
        <v>#VALUE!</v>
      </c>
      <c r="J31" s="433" t="e">
        <f>SUMIF('[33]3.CBISA Data'!$A$6:$A$72,A31,'[33]3.CBISA Data'!$F$6:$F$72)</f>
        <v>#VALUE!</v>
      </c>
      <c r="K31" s="432" t="e">
        <f t="shared" si="1"/>
        <v>#VALUE!</v>
      </c>
    </row>
    <row r="32" spans="1:11">
      <c r="A32" s="427" t="s">
        <v>134</v>
      </c>
      <c r="B32" s="483"/>
      <c r="C32" s="482"/>
      <c r="D32" s="481"/>
      <c r="F32" s="435"/>
      <c r="G32" s="480" t="s">
        <v>85</v>
      </c>
      <c r="H32" s="433"/>
      <c r="I32" s="434">
        <f t="shared" si="0"/>
        <v>0</v>
      </c>
      <c r="J32" s="433" t="e">
        <f>SUMIF('[33]3.CBISA Data'!$A$6:$A$72,A32,'[33]3.CBISA Data'!$F$6:$F$72)</f>
        <v>#VALUE!</v>
      </c>
      <c r="K32" s="432" t="e">
        <f t="shared" si="1"/>
        <v>#VALUE!</v>
      </c>
    </row>
    <row r="33" spans="1:11">
      <c r="A33" s="427" t="s">
        <v>135</v>
      </c>
      <c r="B33" s="483"/>
      <c r="C33" s="482"/>
      <c r="D33" s="481"/>
      <c r="F33" s="435"/>
      <c r="G33" s="480" t="s">
        <v>85</v>
      </c>
      <c r="H33" s="433"/>
      <c r="I33" s="434">
        <f t="shared" si="0"/>
        <v>0</v>
      </c>
      <c r="J33" s="433" t="e">
        <f>SUMIF('[33]3.CBISA Data'!$A$6:$A$72,A33,'[33]3.CBISA Data'!$F$6:$F$72)</f>
        <v>#VALUE!</v>
      </c>
      <c r="K33" s="432" t="e">
        <f t="shared" si="1"/>
        <v>#VALUE!</v>
      </c>
    </row>
    <row r="34" spans="1:11">
      <c r="A34" s="427" t="s">
        <v>136</v>
      </c>
      <c r="B34" s="1016"/>
      <c r="C34" s="1017"/>
      <c r="D34" s="1018"/>
      <c r="F34" s="435"/>
      <c r="G34" s="480" t="s">
        <v>85</v>
      </c>
      <c r="H34" s="433"/>
      <c r="I34" s="434">
        <f t="shared" si="0"/>
        <v>0</v>
      </c>
      <c r="J34" s="433" t="e">
        <f>SUMIF('[33]3.CBISA Data'!$A$6:$A$72,A34,'[33]3.CBISA Data'!$F$6:$F$72)</f>
        <v>#VALUE!</v>
      </c>
      <c r="K34" s="432" t="e">
        <f t="shared" si="1"/>
        <v>#VALUE!</v>
      </c>
    </row>
    <row r="35" spans="1:11">
      <c r="A35" s="420"/>
      <c r="K35" s="479"/>
    </row>
    <row r="36" spans="1:11">
      <c r="A36" s="422" t="s">
        <v>137</v>
      </c>
      <c r="B36" s="419" t="s">
        <v>138</v>
      </c>
      <c r="E36" s="419" t="s">
        <v>7</v>
      </c>
      <c r="F36" s="425" t="e">
        <f t="shared" ref="F36:K36" si="2">SUM(F21:F34)</f>
        <v>#VALUE!</v>
      </c>
      <c r="G36" s="425" t="e">
        <f t="shared" si="2"/>
        <v>#VALUE!</v>
      </c>
      <c r="H36" s="425" t="e">
        <f t="shared" si="2"/>
        <v>#VALUE!</v>
      </c>
      <c r="I36" s="432" t="e">
        <f t="shared" si="2"/>
        <v>#VALUE!</v>
      </c>
      <c r="J36" s="432" t="e">
        <f t="shared" si="2"/>
        <v>#VALUE!</v>
      </c>
      <c r="K36" s="432" t="e">
        <f t="shared" si="2"/>
        <v>#VALUE!</v>
      </c>
    </row>
    <row r="37" spans="1:11" ht="15.75" thickBot="1">
      <c r="A37" s="420"/>
      <c r="B37" s="419"/>
      <c r="F37" s="478"/>
      <c r="G37" s="478"/>
      <c r="H37" s="477"/>
      <c r="I37" s="477"/>
      <c r="J37" s="477"/>
      <c r="K37" s="476"/>
    </row>
    <row r="38" spans="1:11" ht="39">
      <c r="A38" s="420"/>
      <c r="F38" s="431" t="s">
        <v>9</v>
      </c>
      <c r="G38" s="431" t="s">
        <v>37</v>
      </c>
      <c r="H38" s="431" t="s">
        <v>29</v>
      </c>
      <c r="I38" s="431" t="s">
        <v>30</v>
      </c>
      <c r="J38" s="431" t="s">
        <v>33</v>
      </c>
      <c r="K38" s="431" t="s">
        <v>34</v>
      </c>
    </row>
    <row r="39" spans="1:11">
      <c r="A39" s="422" t="s">
        <v>86</v>
      </c>
      <c r="B39" s="419" t="s">
        <v>49</v>
      </c>
    </row>
    <row r="40" spans="1:11">
      <c r="A40" s="427" t="s">
        <v>87</v>
      </c>
      <c r="B40" s="418" t="s">
        <v>31</v>
      </c>
      <c r="F40" s="435"/>
      <c r="G40" s="435"/>
      <c r="H40" s="433"/>
      <c r="I40" s="434">
        <v>0</v>
      </c>
      <c r="J40" s="433"/>
      <c r="K40" s="432">
        <f t="shared" ref="K40:K47" si="3">(H40+I40)-J40</f>
        <v>0</v>
      </c>
    </row>
    <row r="41" spans="1:11">
      <c r="A41" s="427" t="s">
        <v>88</v>
      </c>
      <c r="B41" s="987" t="s">
        <v>50</v>
      </c>
      <c r="C41" s="1019"/>
      <c r="F41" s="435"/>
      <c r="G41" s="435"/>
      <c r="H41" s="433"/>
      <c r="I41" s="434">
        <v>0</v>
      </c>
      <c r="J41" s="433"/>
      <c r="K41" s="432">
        <f t="shared" si="3"/>
        <v>0</v>
      </c>
    </row>
    <row r="42" spans="1:11">
      <c r="A42" s="427" t="s">
        <v>89</v>
      </c>
      <c r="B42" s="439" t="s">
        <v>11</v>
      </c>
      <c r="F42" s="435" t="e">
        <f>SUMIF('[33]3.CBISA Data'!$A$6:$A$72,A42,'[33]3.CBISA Data'!$L$6:$L$72)</f>
        <v>#VALUE!</v>
      </c>
      <c r="G42" s="435" t="e">
        <f>SUMIF('[33]3.CBISA Data'!$A$6:$A$72,A42,'[33]3.CBISA Data'!$K$6:$K$72)</f>
        <v>#VALUE!</v>
      </c>
      <c r="H42" s="433" t="e">
        <f>SUMIF('[33]3.CBISA Data'!$A$6:$A$72,A42,'[33]3.CBISA Data'!$E$6:$E$72)</f>
        <v>#VALUE!</v>
      </c>
      <c r="I42" s="434" t="e">
        <f>H42*F125</f>
        <v>#VALUE!</v>
      </c>
      <c r="J42" s="433" t="e">
        <f>SUMIF('[33]3.CBISA Data'!$A$6:$A$72,A42,'[33]3.CBISA Data'!$F$6:$F$72)</f>
        <v>#VALUE!</v>
      </c>
      <c r="K42" s="432" t="e">
        <f t="shared" si="3"/>
        <v>#VALUE!</v>
      </c>
    </row>
    <row r="43" spans="1:11">
      <c r="A43" s="427" t="s">
        <v>90</v>
      </c>
      <c r="B43" s="475" t="s">
        <v>10</v>
      </c>
      <c r="C43" s="442"/>
      <c r="D43" s="442"/>
      <c r="F43" s="435"/>
      <c r="G43" s="435"/>
      <c r="H43" s="433"/>
      <c r="I43" s="434">
        <v>0</v>
      </c>
      <c r="J43" s="433"/>
      <c r="K43" s="432">
        <f t="shared" si="3"/>
        <v>0</v>
      </c>
    </row>
    <row r="44" spans="1:11">
      <c r="A44" s="427" t="s">
        <v>91</v>
      </c>
      <c r="B44" s="1016"/>
      <c r="C44" s="1017"/>
      <c r="D44" s="1018"/>
      <c r="F44" s="473"/>
      <c r="G44" s="473"/>
      <c r="H44" s="473"/>
      <c r="I44" s="474">
        <v>0</v>
      </c>
      <c r="J44" s="473"/>
      <c r="K44" s="472">
        <f t="shared" si="3"/>
        <v>0</v>
      </c>
    </row>
    <row r="45" spans="1:11">
      <c r="A45" s="427" t="s">
        <v>139</v>
      </c>
      <c r="B45" s="1016"/>
      <c r="C45" s="1017"/>
      <c r="D45" s="1018"/>
      <c r="F45" s="435"/>
      <c r="G45" s="435"/>
      <c r="H45" s="433"/>
      <c r="I45" s="434">
        <v>0</v>
      </c>
      <c r="J45" s="433"/>
      <c r="K45" s="432">
        <f t="shared" si="3"/>
        <v>0</v>
      </c>
    </row>
    <row r="46" spans="1:11">
      <c r="A46" s="427" t="s">
        <v>140</v>
      </c>
      <c r="B46" s="1016"/>
      <c r="C46" s="1017"/>
      <c r="D46" s="1018"/>
      <c r="F46" s="435"/>
      <c r="G46" s="435"/>
      <c r="H46" s="433"/>
      <c r="I46" s="434">
        <v>0</v>
      </c>
      <c r="J46" s="433"/>
      <c r="K46" s="432">
        <f t="shared" si="3"/>
        <v>0</v>
      </c>
    </row>
    <row r="47" spans="1:11">
      <c r="A47" s="427" t="s">
        <v>141</v>
      </c>
      <c r="B47" s="1016"/>
      <c r="C47" s="1017"/>
      <c r="D47" s="1018"/>
      <c r="F47" s="435"/>
      <c r="G47" s="435"/>
      <c r="H47" s="433"/>
      <c r="I47" s="434">
        <v>0</v>
      </c>
      <c r="J47" s="433"/>
      <c r="K47" s="432">
        <f t="shared" si="3"/>
        <v>0</v>
      </c>
    </row>
    <row r="48" spans="1:11">
      <c r="A48" s="420"/>
    </row>
    <row r="49" spans="1:11">
      <c r="A49" s="422" t="s">
        <v>142</v>
      </c>
      <c r="B49" s="419" t="s">
        <v>143</v>
      </c>
      <c r="E49" s="419" t="s">
        <v>7</v>
      </c>
      <c r="F49" s="471" t="e">
        <f t="shared" ref="F49:K49" si="4">SUM(F40:F47)</f>
        <v>#VALUE!</v>
      </c>
      <c r="G49" s="471" t="e">
        <f t="shared" si="4"/>
        <v>#VALUE!</v>
      </c>
      <c r="H49" s="432" t="e">
        <f t="shared" si="4"/>
        <v>#VALUE!</v>
      </c>
      <c r="I49" s="432" t="e">
        <f t="shared" si="4"/>
        <v>#VALUE!</v>
      </c>
      <c r="J49" s="432" t="e">
        <f t="shared" si="4"/>
        <v>#VALUE!</v>
      </c>
      <c r="K49" s="432" t="e">
        <f t="shared" si="4"/>
        <v>#VALUE!</v>
      </c>
    </row>
    <row r="50" spans="1:11" ht="15.75" thickBot="1">
      <c r="A50" s="420"/>
      <c r="G50" s="443"/>
      <c r="H50" s="443"/>
      <c r="I50" s="443"/>
      <c r="J50" s="443"/>
      <c r="K50" s="443"/>
    </row>
    <row r="51" spans="1:11" ht="39">
      <c r="A51" s="420"/>
      <c r="F51" s="431" t="s">
        <v>9</v>
      </c>
      <c r="G51" s="431" t="s">
        <v>37</v>
      </c>
      <c r="H51" s="431" t="s">
        <v>29</v>
      </c>
      <c r="I51" s="431" t="s">
        <v>30</v>
      </c>
      <c r="J51" s="431" t="s">
        <v>33</v>
      </c>
      <c r="K51" s="431" t="s">
        <v>34</v>
      </c>
    </row>
    <row r="52" spans="1:11">
      <c r="A52" s="422" t="s">
        <v>92</v>
      </c>
      <c r="B52" s="992" t="s">
        <v>38</v>
      </c>
      <c r="C52" s="1020"/>
    </row>
    <row r="53" spans="1:11">
      <c r="A53" s="427" t="s">
        <v>51</v>
      </c>
      <c r="B53" s="1122" t="s">
        <v>533</v>
      </c>
      <c r="C53" s="1123"/>
      <c r="D53" s="1124"/>
      <c r="F53" s="435" t="e">
        <f>SUMIF('[33]6.On Call'!$A$3:$A$33,A53,'[33]6.On Call'!$Q$3:$Q$33)</f>
        <v>#VALUE!</v>
      </c>
      <c r="G53" s="435"/>
      <c r="H53" s="433" t="e">
        <f>SUMIF('[33]6.On Call'!$A$3:$A$33,A53,'[33]6.On Call'!$M$3:$M$33)</f>
        <v>#VALUE!</v>
      </c>
      <c r="I53" s="434" t="e">
        <f t="shared" ref="I53:I62" si="5">H53*$F$125</f>
        <v>#VALUE!</v>
      </c>
      <c r="J53" s="433"/>
      <c r="K53" s="432" t="e">
        <f t="shared" ref="K53:K62" si="6">(H53+I53)-J53</f>
        <v>#VALUE!</v>
      </c>
    </row>
    <row r="54" spans="1:11">
      <c r="A54" s="427" t="s">
        <v>93</v>
      </c>
      <c r="B54" s="406" t="s">
        <v>616</v>
      </c>
      <c r="C54" s="407"/>
      <c r="D54" s="405"/>
      <c r="F54" s="435" t="e">
        <f>SUMIF('[33]6.On Call'!$A$3:$A$33,A54,'[33]6.On Call'!$Q$3:$Q$33)</f>
        <v>#VALUE!</v>
      </c>
      <c r="G54" s="435"/>
      <c r="H54" s="433" t="e">
        <f>SUMIF('[33]6.On Call'!$A$3:$A$33,A54,'[33]6.On Call'!$M$3:$M$33)</f>
        <v>#VALUE!</v>
      </c>
      <c r="I54" s="434" t="e">
        <f t="shared" si="5"/>
        <v>#VALUE!</v>
      </c>
      <c r="J54" s="433"/>
      <c r="K54" s="432" t="e">
        <f t="shared" si="6"/>
        <v>#VALUE!</v>
      </c>
    </row>
    <row r="55" spans="1:11">
      <c r="A55" s="427" t="s">
        <v>94</v>
      </c>
      <c r="B55" s="1125" t="s">
        <v>617</v>
      </c>
      <c r="C55" s="1126"/>
      <c r="D55" s="1124"/>
      <c r="F55" s="435" t="e">
        <f>SUMIF('[33]6.On Call'!$A$3:$A$33,A55,'[33]6.On Call'!$Q$3:$Q$33)</f>
        <v>#VALUE!</v>
      </c>
      <c r="G55" s="435"/>
      <c r="H55" s="433" t="e">
        <f>SUMIF('[33]6.On Call'!$A$3:$A$33,A55,'[33]6.On Call'!$M$3:$M$33)</f>
        <v>#VALUE!</v>
      </c>
      <c r="I55" s="434" t="e">
        <f t="shared" si="5"/>
        <v>#VALUE!</v>
      </c>
      <c r="J55" s="433"/>
      <c r="K55" s="432" t="e">
        <f t="shared" si="6"/>
        <v>#VALUE!</v>
      </c>
    </row>
    <row r="56" spans="1:11">
      <c r="A56" s="427" t="s">
        <v>95</v>
      </c>
      <c r="B56" s="1125" t="s">
        <v>618</v>
      </c>
      <c r="C56" s="1126"/>
      <c r="D56" s="1124"/>
      <c r="F56" s="435" t="e">
        <f>SUMIF('[33]6.On Call'!$A$3:$A$33,A56,'[33]6.On Call'!$Q$3:$Q$33)</f>
        <v>#VALUE!</v>
      </c>
      <c r="G56" s="435"/>
      <c r="H56" s="433" t="e">
        <f>SUMIF('[33]6.On Call'!$A$3:$A$33,A56,'[33]6.On Call'!$M$3:$M$33)</f>
        <v>#VALUE!</v>
      </c>
      <c r="I56" s="434" t="e">
        <f t="shared" si="5"/>
        <v>#VALUE!</v>
      </c>
      <c r="J56" s="433"/>
      <c r="K56" s="432" t="e">
        <f t="shared" si="6"/>
        <v>#VALUE!</v>
      </c>
    </row>
    <row r="57" spans="1:11">
      <c r="A57" s="427" t="s">
        <v>96</v>
      </c>
      <c r="B57" s="1125" t="s">
        <v>588</v>
      </c>
      <c r="C57" s="1126"/>
      <c r="D57" s="1124"/>
      <c r="F57" s="435" t="e">
        <f>SUMIF('[33]6.On Call'!$A$3:$A$33,A57,'[33]6.On Call'!$Q$3:$Q$33)</f>
        <v>#VALUE!</v>
      </c>
      <c r="G57" s="435"/>
      <c r="H57" s="433" t="e">
        <f>SUMIF('[33]6.On Call'!$A$3:$A$33,A57,'[33]6.On Call'!$M$3:$M$33)</f>
        <v>#VALUE!</v>
      </c>
      <c r="I57" s="434" t="e">
        <f t="shared" si="5"/>
        <v>#VALUE!</v>
      </c>
      <c r="J57" s="433"/>
      <c r="K57" s="432" t="e">
        <f t="shared" si="6"/>
        <v>#VALUE!</v>
      </c>
    </row>
    <row r="58" spans="1:11">
      <c r="A58" s="427" t="s">
        <v>97</v>
      </c>
      <c r="B58" s="406" t="s">
        <v>619</v>
      </c>
      <c r="C58" s="407"/>
      <c r="D58" s="405"/>
      <c r="F58" s="435">
        <f>'[33]7.WHA'!M10</f>
        <v>5075.666038593984</v>
      </c>
      <c r="G58" s="435"/>
      <c r="H58" s="433">
        <f>'[33]7.WHA'!J10</f>
        <v>781518.33</v>
      </c>
      <c r="I58" s="434">
        <f t="shared" si="5"/>
        <v>388363.95806464134</v>
      </c>
      <c r="J58" s="433"/>
      <c r="K58" s="432">
        <f t="shared" si="6"/>
        <v>1169882.2880646414</v>
      </c>
    </row>
    <row r="59" spans="1:11">
      <c r="A59" s="427" t="s">
        <v>98</v>
      </c>
      <c r="B59" s="1127" t="s">
        <v>620</v>
      </c>
      <c r="C59" s="1014"/>
      <c r="D59" s="1015"/>
      <c r="F59" s="435" t="e">
        <f>SUMIF('[33]6.On Call'!$A$3:$A$33,A59,'[33]6.On Call'!$Q$3:$Q$33)</f>
        <v>#VALUE!</v>
      </c>
      <c r="G59" s="435"/>
      <c r="H59" s="433" t="e">
        <f>SUMIF('[33]6.On Call'!$A$3:$A$33,A59,'[33]6.On Call'!$M$3:$M$33)</f>
        <v>#VALUE!</v>
      </c>
      <c r="I59" s="434" t="e">
        <f t="shared" si="5"/>
        <v>#VALUE!</v>
      </c>
      <c r="J59" s="433"/>
      <c r="K59" s="432" t="e">
        <f t="shared" si="6"/>
        <v>#VALUE!</v>
      </c>
    </row>
    <row r="60" spans="1:11">
      <c r="A60" s="427" t="s">
        <v>99</v>
      </c>
      <c r="B60" s="466" t="s">
        <v>621</v>
      </c>
      <c r="C60" s="465"/>
      <c r="D60" s="464"/>
      <c r="F60" s="435" t="e">
        <f>SUMIF('[33]6.On Call'!$A$3:$A$33,A60,'[33]6.On Call'!$Q$3:$Q$33)</f>
        <v>#VALUE!</v>
      </c>
      <c r="G60" s="435"/>
      <c r="H60" s="433" t="e">
        <f>SUMIF('[33]6.On Call'!$A$3:$A$33,A60,'[33]6.On Call'!$M$3:$M$33)</f>
        <v>#VALUE!</v>
      </c>
      <c r="I60" s="434" t="e">
        <f t="shared" si="5"/>
        <v>#VALUE!</v>
      </c>
      <c r="J60" s="433"/>
      <c r="K60" s="432" t="e">
        <f t="shared" si="6"/>
        <v>#VALUE!</v>
      </c>
    </row>
    <row r="61" spans="1:11">
      <c r="A61" s="427" t="s">
        <v>100</v>
      </c>
      <c r="B61" s="466" t="s">
        <v>622</v>
      </c>
      <c r="C61" s="465"/>
      <c r="D61" s="464"/>
      <c r="F61" s="435" t="e">
        <f>SUMIF('[33]6.On Call'!$A$3:$A$33,A61,'[33]6.On Call'!$Q$3:$Q$33)</f>
        <v>#VALUE!</v>
      </c>
      <c r="G61" s="435"/>
      <c r="H61" s="433" t="e">
        <f>SUMIF('[33]6.On Call'!$A$3:$A$33,A61,'[33]6.On Call'!$M$3:$M$33)</f>
        <v>#VALUE!</v>
      </c>
      <c r="I61" s="434" t="e">
        <f t="shared" si="5"/>
        <v>#VALUE!</v>
      </c>
      <c r="J61" s="433"/>
      <c r="K61" s="432" t="e">
        <f t="shared" si="6"/>
        <v>#VALUE!</v>
      </c>
    </row>
    <row r="62" spans="1:11">
      <c r="A62" s="427" t="s">
        <v>101</v>
      </c>
      <c r="B62" s="1127" t="s">
        <v>715</v>
      </c>
      <c r="C62" s="1014"/>
      <c r="D62" s="1015"/>
      <c r="F62" s="435" t="e">
        <f>SUMIF('[33]6.On Call'!$A$3:$A$33,A62,'[33]6.On Call'!$Q$3:$Q$33)</f>
        <v>#VALUE!</v>
      </c>
      <c r="G62" s="435"/>
      <c r="H62" s="433" t="e">
        <f>SUMIF('[33]6.On Call'!$A$3:$A$33,A62,'[33]6.On Call'!$M$3:$M$33)</f>
        <v>#VALUE!</v>
      </c>
      <c r="I62" s="434" t="e">
        <f t="shared" si="5"/>
        <v>#VALUE!</v>
      </c>
      <c r="J62" s="433"/>
      <c r="K62" s="432" t="e">
        <f t="shared" si="6"/>
        <v>#VALUE!</v>
      </c>
    </row>
    <row r="63" spans="1:11">
      <c r="A63" s="427"/>
      <c r="I63" s="470"/>
    </row>
    <row r="64" spans="1:11">
      <c r="A64" s="427" t="s">
        <v>144</v>
      </c>
      <c r="B64" s="419" t="s">
        <v>145</v>
      </c>
      <c r="E64" s="419" t="s">
        <v>7</v>
      </c>
      <c r="F64" s="425" t="e">
        <f t="shared" ref="F64:K64" si="7">SUM(F53:F62)</f>
        <v>#VALUE!</v>
      </c>
      <c r="G64" s="425">
        <f t="shared" si="7"/>
        <v>0</v>
      </c>
      <c r="H64" s="432" t="e">
        <f t="shared" si="7"/>
        <v>#VALUE!</v>
      </c>
      <c r="I64" s="432" t="e">
        <f t="shared" si="7"/>
        <v>#VALUE!</v>
      </c>
      <c r="J64" s="432">
        <f t="shared" si="7"/>
        <v>0</v>
      </c>
      <c r="K64" s="432" t="e">
        <f t="shared" si="7"/>
        <v>#VALUE!</v>
      </c>
    </row>
    <row r="65" spans="1:11">
      <c r="A65" s="420"/>
      <c r="F65" s="424"/>
      <c r="G65" s="424"/>
      <c r="H65" s="424"/>
      <c r="I65" s="424"/>
      <c r="J65" s="424"/>
      <c r="K65" s="424"/>
    </row>
    <row r="66" spans="1:11" ht="39">
      <c r="A66" s="420"/>
      <c r="F66" s="469" t="s">
        <v>9</v>
      </c>
      <c r="G66" s="469" t="s">
        <v>37</v>
      </c>
      <c r="H66" s="469" t="s">
        <v>29</v>
      </c>
      <c r="I66" s="469" t="s">
        <v>30</v>
      </c>
      <c r="J66" s="469" t="s">
        <v>33</v>
      </c>
      <c r="K66" s="469" t="s">
        <v>34</v>
      </c>
    </row>
    <row r="67" spans="1:11">
      <c r="A67" s="422" t="s">
        <v>102</v>
      </c>
      <c r="B67" s="419" t="s">
        <v>12</v>
      </c>
      <c r="F67" s="468"/>
      <c r="G67" s="468"/>
      <c r="H67" s="468"/>
      <c r="I67" s="457"/>
      <c r="J67" s="468"/>
      <c r="K67" s="455"/>
    </row>
    <row r="68" spans="1:11">
      <c r="A68" s="427" t="s">
        <v>103</v>
      </c>
      <c r="B68" s="418" t="s">
        <v>52</v>
      </c>
      <c r="F68" s="435" t="e">
        <f>SUMIF('[33]3.CBISA Data'!$A$6:$A$72,A68,'[33]3.CBISA Data'!$L$6:$L$72)</f>
        <v>#VALUE!</v>
      </c>
      <c r="G68" s="453">
        <v>53</v>
      </c>
      <c r="H68" s="452">
        <f>'[33]4.Clinical Research'!L28</f>
        <v>243249.50999999998</v>
      </c>
      <c r="I68" s="434">
        <f>H68*$F$125</f>
        <v>120879.24092693329</v>
      </c>
      <c r="J68" s="452">
        <f>-'[33]4.Clinical Research'!K28</f>
        <v>33827.5</v>
      </c>
      <c r="K68" s="432">
        <f>(H68+I68)-J68</f>
        <v>330301.25092693325</v>
      </c>
    </row>
    <row r="69" spans="1:11">
      <c r="A69" s="427" t="s">
        <v>104</v>
      </c>
      <c r="B69" s="439" t="s">
        <v>53</v>
      </c>
      <c r="F69" s="452"/>
      <c r="G69" s="452"/>
      <c r="H69" s="452"/>
      <c r="I69" s="434">
        <v>0</v>
      </c>
      <c r="J69" s="452"/>
      <c r="K69" s="432">
        <f>(H69+I69)-J69</f>
        <v>0</v>
      </c>
    </row>
    <row r="70" spans="1:11">
      <c r="A70" s="427" t="s">
        <v>178</v>
      </c>
      <c r="B70" s="467" t="s">
        <v>714</v>
      </c>
      <c r="C70" s="465"/>
      <c r="D70" s="464"/>
      <c r="E70" s="419"/>
      <c r="F70" s="435" t="e">
        <f>SUMIF('[33]3.CBISA Data'!$A$6:$A$72,A70,'[33]3.CBISA Data'!$L$6:$L$72)</f>
        <v>#VALUE!</v>
      </c>
      <c r="G70" s="435" t="e">
        <f>SUMIF('[33]3.CBISA Data'!$A$6:$A$72,A70,'[33]3.CBISA Data'!$K$6:$K$72)</f>
        <v>#VALUE!</v>
      </c>
      <c r="H70" s="433" t="e">
        <f>SUMIF('[33]3.CBISA Data'!$A$6:$A$72,A70,'[33]3.CBISA Data'!$E$6:$E$72)</f>
        <v>#VALUE!</v>
      </c>
      <c r="I70" s="434" t="e">
        <f>H70*$F$125</f>
        <v>#VALUE!</v>
      </c>
      <c r="J70" s="433" t="e">
        <f>SUMIF('[33]3.CBISA Data'!$A$6:$A$72,A70,'[33]3.CBISA Data'!$F$6:$F$72)</f>
        <v>#VALUE!</v>
      </c>
      <c r="K70" s="432" t="e">
        <f>(H70+I70)-J70</f>
        <v>#VALUE!</v>
      </c>
    </row>
    <row r="71" spans="1:11">
      <c r="A71" s="427" t="s">
        <v>179</v>
      </c>
      <c r="B71" s="466"/>
      <c r="C71" s="465"/>
      <c r="D71" s="464"/>
      <c r="E71" s="419"/>
      <c r="F71" s="463"/>
      <c r="G71" s="463"/>
      <c r="H71" s="462"/>
      <c r="I71" s="434">
        <v>0</v>
      </c>
      <c r="J71" s="462"/>
      <c r="K71" s="432">
        <f>(H71+I71)-J71</f>
        <v>0</v>
      </c>
    </row>
    <row r="72" spans="1:11">
      <c r="A72" s="427" t="s">
        <v>180</v>
      </c>
      <c r="B72" s="461"/>
      <c r="C72" s="460"/>
      <c r="D72" s="459"/>
      <c r="E72" s="419"/>
      <c r="F72" s="435"/>
      <c r="G72" s="435"/>
      <c r="H72" s="433"/>
      <c r="I72" s="434">
        <v>0</v>
      </c>
      <c r="J72" s="433"/>
      <c r="K72" s="432">
        <f>(H72+I72)-J72</f>
        <v>0</v>
      </c>
    </row>
    <row r="73" spans="1:11">
      <c r="A73" s="427"/>
      <c r="B73" s="439"/>
      <c r="E73" s="419"/>
      <c r="F73" s="458"/>
      <c r="G73" s="458"/>
      <c r="H73" s="456"/>
      <c r="I73" s="457"/>
      <c r="J73" s="456"/>
      <c r="K73" s="455"/>
    </row>
    <row r="74" spans="1:11">
      <c r="A74" s="422" t="s">
        <v>146</v>
      </c>
      <c r="B74" s="419" t="s">
        <v>147</v>
      </c>
      <c r="E74" s="419" t="s">
        <v>7</v>
      </c>
      <c r="F74" s="450" t="e">
        <f t="shared" ref="F74:K74" si="8">SUM(F68:F72)</f>
        <v>#VALUE!</v>
      </c>
      <c r="G74" s="450" t="e">
        <f t="shared" si="8"/>
        <v>#VALUE!</v>
      </c>
      <c r="H74" s="450" t="e">
        <f t="shared" si="8"/>
        <v>#VALUE!</v>
      </c>
      <c r="I74" s="454" t="e">
        <f t="shared" si="8"/>
        <v>#VALUE!</v>
      </c>
      <c r="J74" s="450" t="e">
        <f t="shared" si="8"/>
        <v>#VALUE!</v>
      </c>
      <c r="K74" s="438" t="e">
        <f t="shared" si="8"/>
        <v>#VALUE!</v>
      </c>
    </row>
    <row r="75" spans="1:11" ht="39">
      <c r="A75" s="420"/>
      <c r="F75" s="431" t="s">
        <v>9</v>
      </c>
      <c r="G75" s="431" t="s">
        <v>37</v>
      </c>
      <c r="H75" s="431" t="s">
        <v>29</v>
      </c>
      <c r="I75" s="431" t="s">
        <v>30</v>
      </c>
      <c r="J75" s="431" t="s">
        <v>33</v>
      </c>
      <c r="K75" s="431" t="s">
        <v>34</v>
      </c>
    </row>
    <row r="76" spans="1:11">
      <c r="A76" s="422" t="s">
        <v>105</v>
      </c>
      <c r="B76" s="419" t="s">
        <v>106</v>
      </c>
    </row>
    <row r="77" spans="1:11">
      <c r="A77" s="427" t="s">
        <v>107</v>
      </c>
      <c r="B77" s="439" t="s">
        <v>54</v>
      </c>
      <c r="F77" s="435"/>
      <c r="G77" s="453"/>
      <c r="H77" s="452"/>
      <c r="I77" s="434">
        <v>0</v>
      </c>
      <c r="J77" s="452"/>
      <c r="K77" s="432">
        <f>(H77+I77)-J77</f>
        <v>0</v>
      </c>
    </row>
    <row r="78" spans="1:11">
      <c r="A78" s="427" t="s">
        <v>108</v>
      </c>
      <c r="B78" s="439" t="s">
        <v>55</v>
      </c>
      <c r="F78" s="435"/>
      <c r="G78" s="435"/>
      <c r="H78" s="433"/>
      <c r="I78" s="434">
        <v>0</v>
      </c>
      <c r="J78" s="433"/>
      <c r="K78" s="432">
        <f>(H78+I78)-J78</f>
        <v>0</v>
      </c>
    </row>
    <row r="79" spans="1:11">
      <c r="A79" s="427" t="s">
        <v>109</v>
      </c>
      <c r="B79" s="439" t="s">
        <v>13</v>
      </c>
      <c r="F79" s="435" t="e">
        <f>SUMIF('[33]3.CBISA Data'!$A$6:$A$72,A79,'[33]3.CBISA Data'!$L$6:$L$72)</f>
        <v>#VALUE!</v>
      </c>
      <c r="G79" s="435" t="e">
        <f>SUMIF('[33]3.CBISA Data'!$A$6:$A$72,A79,'[33]3.CBISA Data'!$K$6:$K$72)</f>
        <v>#VALUE!</v>
      </c>
      <c r="H79" s="433" t="e">
        <f>SUMIF('[33]3.CBISA Data'!$A$6:$A$72,A79,'[33]3.CBISA Data'!$E$6:$E$72)</f>
        <v>#VALUE!</v>
      </c>
      <c r="I79" s="434" t="e">
        <f>H79*$F$125</f>
        <v>#VALUE!</v>
      </c>
      <c r="J79" s="433" t="e">
        <f>SUMIF('[33]3.CBISA Data'!$A$6:$A$72,A79,'[33]3.CBISA Data'!$F$6:$F$72)</f>
        <v>#VALUE!</v>
      </c>
      <c r="K79" s="432" t="e">
        <f>(H79+I79)-J79</f>
        <v>#VALUE!</v>
      </c>
    </row>
    <row r="80" spans="1:11">
      <c r="A80" s="427" t="s">
        <v>110</v>
      </c>
      <c r="B80" s="439" t="s">
        <v>56</v>
      </c>
      <c r="F80" s="435"/>
      <c r="G80" s="435"/>
      <c r="H80" s="433"/>
      <c r="I80" s="434">
        <v>0</v>
      </c>
      <c r="J80" s="433"/>
      <c r="K80" s="432">
        <f>(H80+I80)-J80</f>
        <v>0</v>
      </c>
    </row>
    <row r="81" spans="1:11">
      <c r="A81" s="427"/>
      <c r="K81" s="451"/>
    </row>
    <row r="82" spans="1:11">
      <c r="A82" s="427" t="s">
        <v>148</v>
      </c>
      <c r="B82" s="419" t="s">
        <v>149</v>
      </c>
      <c r="E82" s="419" t="s">
        <v>7</v>
      </c>
      <c r="F82" s="450" t="e">
        <f t="shared" ref="F82:K82" si="9">SUM(F77:F80)</f>
        <v>#VALUE!</v>
      </c>
      <c r="G82" s="450" t="e">
        <f t="shared" si="9"/>
        <v>#VALUE!</v>
      </c>
      <c r="H82" s="438" t="e">
        <f t="shared" si="9"/>
        <v>#VALUE!</v>
      </c>
      <c r="I82" s="438" t="e">
        <f t="shared" si="9"/>
        <v>#VALUE!</v>
      </c>
      <c r="J82" s="438" t="e">
        <f t="shared" si="9"/>
        <v>#VALUE!</v>
      </c>
      <c r="K82" s="438" t="e">
        <f t="shared" si="9"/>
        <v>#VALUE!</v>
      </c>
    </row>
    <row r="83" spans="1:11" ht="15.75" thickBot="1">
      <c r="A83" s="427"/>
      <c r="F83" s="443"/>
      <c r="G83" s="443"/>
      <c r="H83" s="443"/>
      <c r="I83" s="443"/>
      <c r="J83" s="443"/>
      <c r="K83" s="443"/>
    </row>
    <row r="84" spans="1:11">
      <c r="A84" s="427"/>
      <c r="F84" s="442"/>
      <c r="G84" s="442"/>
      <c r="H84" s="442"/>
      <c r="I84" s="442"/>
      <c r="J84" s="442"/>
      <c r="K84" s="442"/>
    </row>
    <row r="85" spans="1:11">
      <c r="A85" s="427"/>
      <c r="F85" s="442"/>
      <c r="G85" s="442"/>
      <c r="H85" s="442"/>
      <c r="I85" s="442"/>
      <c r="J85" s="442"/>
      <c r="K85" s="442"/>
    </row>
    <row r="86" spans="1:11">
      <c r="A86" s="427"/>
      <c r="F86" s="442"/>
      <c r="G86" s="442"/>
      <c r="H86" s="442"/>
      <c r="I86" s="442"/>
      <c r="J86" s="442"/>
      <c r="K86" s="442"/>
    </row>
    <row r="87" spans="1:11">
      <c r="A87" s="427"/>
      <c r="F87" s="442"/>
      <c r="G87" s="442"/>
      <c r="H87" s="442"/>
      <c r="I87" s="442"/>
      <c r="J87" s="442"/>
      <c r="K87" s="442"/>
    </row>
    <row r="88" spans="1:11">
      <c r="A88" s="427"/>
      <c r="F88" s="442"/>
      <c r="G88" s="442"/>
      <c r="H88" s="442"/>
      <c r="I88" s="442"/>
      <c r="J88" s="442"/>
      <c r="K88" s="442"/>
    </row>
    <row r="89" spans="1:11">
      <c r="A89" s="427"/>
      <c r="F89" s="442"/>
      <c r="G89" s="442"/>
      <c r="H89" s="442"/>
      <c r="I89" s="442"/>
      <c r="J89" s="442"/>
      <c r="K89" s="442"/>
    </row>
    <row r="90" spans="1:11">
      <c r="A90" s="427"/>
      <c r="F90" s="442"/>
      <c r="G90" s="442"/>
      <c r="H90" s="442"/>
      <c r="I90" s="442"/>
      <c r="J90" s="442"/>
      <c r="K90" s="442"/>
    </row>
    <row r="91" spans="1:11">
      <c r="A91" s="427"/>
      <c r="F91" s="442"/>
      <c r="G91" s="442"/>
      <c r="H91" s="442"/>
      <c r="I91" s="442"/>
      <c r="J91" s="442"/>
      <c r="K91" s="442"/>
    </row>
    <row r="92" spans="1:11">
      <c r="A92" s="427"/>
      <c r="F92" s="442"/>
      <c r="G92" s="442"/>
      <c r="H92" s="442"/>
      <c r="I92" s="442"/>
      <c r="J92" s="442"/>
      <c r="K92" s="442"/>
    </row>
    <row r="93" spans="1:11">
      <c r="A93" s="427"/>
      <c r="F93" s="442"/>
      <c r="G93" s="442"/>
      <c r="H93" s="442"/>
      <c r="I93" s="442"/>
      <c r="J93" s="442"/>
      <c r="K93" s="442"/>
    </row>
    <row r="94" spans="1:11">
      <c r="A94" s="427"/>
      <c r="F94" s="442"/>
      <c r="G94" s="442"/>
      <c r="H94" s="442"/>
      <c r="I94" s="442"/>
      <c r="J94" s="442"/>
      <c r="K94" s="442"/>
    </row>
    <row r="95" spans="1:11" ht="27.2" customHeight="1">
      <c r="A95" s="420"/>
      <c r="F95" s="431" t="s">
        <v>9</v>
      </c>
      <c r="G95" s="431" t="s">
        <v>37</v>
      </c>
      <c r="H95" s="431" t="s">
        <v>29</v>
      </c>
      <c r="I95" s="431" t="s">
        <v>30</v>
      </c>
      <c r="J95" s="431" t="s">
        <v>33</v>
      </c>
      <c r="K95" s="431" t="s">
        <v>34</v>
      </c>
    </row>
    <row r="96" spans="1:11">
      <c r="A96" s="422" t="s">
        <v>111</v>
      </c>
      <c r="B96" s="419" t="s">
        <v>57</v>
      </c>
    </row>
    <row r="97" spans="1:11">
      <c r="A97" s="427" t="s">
        <v>112</v>
      </c>
      <c r="B97" s="439" t="s">
        <v>113</v>
      </c>
      <c r="F97" s="435"/>
      <c r="G97" s="435"/>
      <c r="H97" s="433"/>
      <c r="I97" s="434">
        <f t="shared" ref="I97:I107" si="10">H97*F$125</f>
        <v>0</v>
      </c>
      <c r="J97" s="433"/>
      <c r="K97" s="432">
        <f t="shared" ref="K97:K107" si="11">(H97+I97)-J97</f>
        <v>0</v>
      </c>
    </row>
    <row r="98" spans="1:11">
      <c r="A98" s="427" t="s">
        <v>114</v>
      </c>
      <c r="B98" s="439" t="s">
        <v>14</v>
      </c>
      <c r="F98" s="435"/>
      <c r="G98" s="435"/>
      <c r="H98" s="433"/>
      <c r="I98" s="434">
        <f t="shared" si="10"/>
        <v>0</v>
      </c>
      <c r="J98" s="433"/>
      <c r="K98" s="432">
        <f t="shared" si="11"/>
        <v>0</v>
      </c>
    </row>
    <row r="99" spans="1:11">
      <c r="A99" s="427" t="s">
        <v>115</v>
      </c>
      <c r="B99" s="439" t="s">
        <v>116</v>
      </c>
      <c r="F99" s="435"/>
      <c r="G99" s="435"/>
      <c r="H99" s="433"/>
      <c r="I99" s="434">
        <f t="shared" si="10"/>
        <v>0</v>
      </c>
      <c r="J99" s="433"/>
      <c r="K99" s="432">
        <f t="shared" si="11"/>
        <v>0</v>
      </c>
    </row>
    <row r="100" spans="1:11">
      <c r="A100" s="427" t="s">
        <v>117</v>
      </c>
      <c r="B100" s="439" t="s">
        <v>58</v>
      </c>
      <c r="F100" s="435"/>
      <c r="G100" s="435"/>
      <c r="H100" s="433"/>
      <c r="I100" s="434">
        <f t="shared" si="10"/>
        <v>0</v>
      </c>
      <c r="J100" s="433"/>
      <c r="K100" s="432">
        <f t="shared" si="11"/>
        <v>0</v>
      </c>
    </row>
    <row r="101" spans="1:11">
      <c r="A101" s="427" t="s">
        <v>118</v>
      </c>
      <c r="B101" s="987" t="s">
        <v>59</v>
      </c>
      <c r="C101" s="1019"/>
      <c r="F101" s="435"/>
      <c r="G101" s="435"/>
      <c r="H101" s="433"/>
      <c r="I101" s="434">
        <f t="shared" si="10"/>
        <v>0</v>
      </c>
      <c r="J101" s="433"/>
      <c r="K101" s="432">
        <f t="shared" si="11"/>
        <v>0</v>
      </c>
    </row>
    <row r="102" spans="1:11">
      <c r="A102" s="427" t="s">
        <v>119</v>
      </c>
      <c r="B102" s="439" t="s">
        <v>60</v>
      </c>
      <c r="F102" s="435" t="e">
        <f>SUMIF('[33]3.CBISA Data'!$A$6:$A$72,A102,'[33]3.CBISA Data'!$L$6:$L$72)</f>
        <v>#VALUE!</v>
      </c>
      <c r="G102" s="435" t="e">
        <f>SUMIF('[33]3.CBISA Data'!$A$6:$A$72,A102,'[33]3.CBISA Data'!$K$6:$K$72)</f>
        <v>#VALUE!</v>
      </c>
      <c r="H102" s="433" t="e">
        <f>SUMIF('[33]3.CBISA Data'!$A$6:$A$72,A102,'[33]3.CBISA Data'!$E$6:$E$72)</f>
        <v>#VALUE!</v>
      </c>
      <c r="I102" s="434" t="e">
        <f t="shared" si="10"/>
        <v>#VALUE!</v>
      </c>
      <c r="J102" s="433" t="e">
        <f>SUMIF('[33]3.CBISA Data'!$A$6:$A$72,A102,'[33]3.CBISA Data'!$F$6:$F$72)</f>
        <v>#VALUE!</v>
      </c>
      <c r="K102" s="432" t="e">
        <f t="shared" si="11"/>
        <v>#VALUE!</v>
      </c>
    </row>
    <row r="103" spans="1:11">
      <c r="A103" s="427" t="s">
        <v>120</v>
      </c>
      <c r="B103" s="439" t="s">
        <v>121</v>
      </c>
      <c r="F103" s="449"/>
      <c r="G103" s="449"/>
      <c r="H103" s="448"/>
      <c r="I103" s="434">
        <f t="shared" si="10"/>
        <v>0</v>
      </c>
      <c r="J103" s="448"/>
      <c r="K103" s="432">
        <f t="shared" si="11"/>
        <v>0</v>
      </c>
    </row>
    <row r="104" spans="1:11">
      <c r="A104" s="427" t="s">
        <v>122</v>
      </c>
      <c r="B104" s="439" t="s">
        <v>123</v>
      </c>
      <c r="F104" s="435"/>
      <c r="G104" s="435"/>
      <c r="H104" s="433"/>
      <c r="I104" s="434">
        <f t="shared" si="10"/>
        <v>0</v>
      </c>
      <c r="J104" s="433"/>
      <c r="K104" s="432">
        <f t="shared" si="11"/>
        <v>0</v>
      </c>
    </row>
    <row r="105" spans="1:11">
      <c r="A105" s="427" t="s">
        <v>124</v>
      </c>
      <c r="B105" s="1013"/>
      <c r="C105" s="1014"/>
      <c r="D105" s="1015"/>
      <c r="F105" s="435"/>
      <c r="G105" s="435"/>
      <c r="H105" s="433"/>
      <c r="I105" s="434">
        <f t="shared" si="10"/>
        <v>0</v>
      </c>
      <c r="J105" s="433"/>
      <c r="K105" s="432">
        <f t="shared" si="11"/>
        <v>0</v>
      </c>
    </row>
    <row r="106" spans="1:11">
      <c r="A106" s="427" t="s">
        <v>125</v>
      </c>
      <c r="B106" s="1013"/>
      <c r="C106" s="1014"/>
      <c r="D106" s="1015"/>
      <c r="F106" s="435"/>
      <c r="G106" s="435"/>
      <c r="H106" s="433"/>
      <c r="I106" s="434">
        <f t="shared" si="10"/>
        <v>0</v>
      </c>
      <c r="J106" s="433"/>
      <c r="K106" s="432">
        <f t="shared" si="11"/>
        <v>0</v>
      </c>
    </row>
    <row r="107" spans="1:11">
      <c r="A107" s="427" t="s">
        <v>126</v>
      </c>
      <c r="B107" s="1013"/>
      <c r="C107" s="1014"/>
      <c r="D107" s="1015"/>
      <c r="F107" s="435"/>
      <c r="G107" s="435"/>
      <c r="H107" s="433"/>
      <c r="I107" s="434">
        <f t="shared" si="10"/>
        <v>0</v>
      </c>
      <c r="J107" s="433"/>
      <c r="K107" s="432">
        <f t="shared" si="11"/>
        <v>0</v>
      </c>
    </row>
    <row r="108" spans="1:11">
      <c r="A108" s="427"/>
      <c r="B108" s="439"/>
    </row>
    <row r="109" spans="1:11">
      <c r="A109" s="422" t="s">
        <v>150</v>
      </c>
      <c r="B109" s="419" t="s">
        <v>151</v>
      </c>
      <c r="E109" s="419" t="s">
        <v>7</v>
      </c>
      <c r="F109" s="425" t="e">
        <f t="shared" ref="F109:K109" si="12">SUM(F97:F107)</f>
        <v>#VALUE!</v>
      </c>
      <c r="G109" s="425" t="e">
        <f t="shared" si="12"/>
        <v>#VALUE!</v>
      </c>
      <c r="H109" s="425" t="e">
        <f t="shared" si="12"/>
        <v>#VALUE!</v>
      </c>
      <c r="I109" s="425" t="e">
        <f t="shared" si="12"/>
        <v>#VALUE!</v>
      </c>
      <c r="J109" s="425" t="e">
        <f t="shared" si="12"/>
        <v>#VALUE!</v>
      </c>
      <c r="K109" s="425" t="e">
        <f t="shared" si="12"/>
        <v>#VALUE!</v>
      </c>
    </row>
    <row r="110" spans="1:11" ht="15.75" thickBot="1">
      <c r="A110" s="420"/>
      <c r="B110" s="419"/>
      <c r="F110" s="443"/>
      <c r="G110" s="443"/>
      <c r="H110" s="443"/>
      <c r="I110" s="443"/>
      <c r="J110" s="443"/>
      <c r="K110" s="443"/>
    </row>
    <row r="111" spans="1:11" ht="39">
      <c r="A111" s="420"/>
      <c r="F111" s="431" t="s">
        <v>9</v>
      </c>
      <c r="G111" s="431" t="s">
        <v>37</v>
      </c>
      <c r="H111" s="431" t="s">
        <v>29</v>
      </c>
      <c r="I111" s="431" t="s">
        <v>30</v>
      </c>
      <c r="J111" s="431" t="s">
        <v>33</v>
      </c>
      <c r="K111" s="431" t="s">
        <v>34</v>
      </c>
    </row>
    <row r="112" spans="1:11">
      <c r="A112" s="422" t="s">
        <v>130</v>
      </c>
      <c r="B112" s="419" t="s">
        <v>63</v>
      </c>
    </row>
    <row r="113" spans="1:12">
      <c r="A113" s="427" t="s">
        <v>131</v>
      </c>
      <c r="B113" s="439" t="s">
        <v>152</v>
      </c>
      <c r="F113" s="435"/>
      <c r="G113" s="435"/>
      <c r="H113" s="433"/>
      <c r="I113" s="434">
        <f>H113*F$125</f>
        <v>0</v>
      </c>
      <c r="J113" s="433"/>
      <c r="K113" s="432">
        <f>(H113+I113)-J113</f>
        <v>0</v>
      </c>
    </row>
    <row r="114" spans="1:12">
      <c r="A114" s="427" t="s">
        <v>132</v>
      </c>
      <c r="B114" s="987" t="s">
        <v>62</v>
      </c>
      <c r="C114" s="987"/>
      <c r="F114" s="435"/>
      <c r="G114" s="435"/>
      <c r="H114" s="433"/>
      <c r="I114" s="434">
        <f>H114*F$125</f>
        <v>0</v>
      </c>
      <c r="J114" s="433"/>
      <c r="K114" s="432">
        <f>(H114+I114)-J114</f>
        <v>0</v>
      </c>
    </row>
    <row r="115" spans="1:12">
      <c r="A115" s="427" t="s">
        <v>128</v>
      </c>
      <c r="B115" s="1013"/>
      <c r="C115" s="1014"/>
      <c r="D115" s="1015"/>
      <c r="F115" s="435"/>
      <c r="G115" s="435"/>
      <c r="H115" s="433"/>
      <c r="I115" s="434">
        <f>H115*F$125</f>
        <v>0</v>
      </c>
      <c r="J115" s="433"/>
      <c r="K115" s="432">
        <f>(H115+I115)-J115</f>
        <v>0</v>
      </c>
    </row>
    <row r="116" spans="1:12">
      <c r="A116" s="427" t="s">
        <v>127</v>
      </c>
      <c r="B116" s="1013"/>
      <c r="C116" s="1014"/>
      <c r="D116" s="1015"/>
      <c r="F116" s="435"/>
      <c r="G116" s="435"/>
      <c r="H116" s="433"/>
      <c r="I116" s="434">
        <f>H116*F$125</f>
        <v>0</v>
      </c>
      <c r="J116" s="433"/>
      <c r="K116" s="432">
        <f>(H116+I116)-J116</f>
        <v>0</v>
      </c>
    </row>
    <row r="117" spans="1:12">
      <c r="A117" s="427" t="s">
        <v>129</v>
      </c>
      <c r="B117" s="1013"/>
      <c r="C117" s="1014"/>
      <c r="D117" s="1015"/>
      <c r="F117" s="435"/>
      <c r="G117" s="435"/>
      <c r="H117" s="433"/>
      <c r="I117" s="434">
        <f>H117*F$125</f>
        <v>0</v>
      </c>
      <c r="J117" s="433"/>
      <c r="K117" s="432">
        <f>(H117+I117)-J117</f>
        <v>0</v>
      </c>
    </row>
    <row r="118" spans="1:12">
      <c r="A118" s="420"/>
      <c r="B118" s="419"/>
    </row>
    <row r="119" spans="1:12">
      <c r="A119" s="422" t="s">
        <v>153</v>
      </c>
      <c r="B119" s="447" t="s">
        <v>154</v>
      </c>
      <c r="E119" s="419" t="s">
        <v>7</v>
      </c>
      <c r="F119" s="425">
        <f t="shared" ref="F119:K119" si="13">SUM(F113:F117)</f>
        <v>0</v>
      </c>
      <c r="G119" s="425">
        <f t="shared" si="13"/>
        <v>0</v>
      </c>
      <c r="H119" s="432">
        <f t="shared" si="13"/>
        <v>0</v>
      </c>
      <c r="I119" s="432">
        <f t="shared" si="13"/>
        <v>0</v>
      </c>
      <c r="J119" s="432">
        <f t="shared" si="13"/>
        <v>0</v>
      </c>
      <c r="K119" s="432">
        <f t="shared" si="13"/>
        <v>0</v>
      </c>
      <c r="L119" s="442"/>
    </row>
    <row r="120" spans="1:12" ht="15.75" thickBot="1">
      <c r="A120" s="446"/>
      <c r="B120" s="445"/>
      <c r="C120" s="444"/>
      <c r="D120" s="444"/>
      <c r="E120" s="444"/>
      <c r="F120" s="443"/>
      <c r="G120" s="443"/>
      <c r="H120" s="443"/>
      <c r="I120" s="443"/>
      <c r="J120" s="443"/>
      <c r="K120" s="443"/>
      <c r="L120" s="442"/>
    </row>
    <row r="121" spans="1:12">
      <c r="A121" s="422" t="s">
        <v>156</v>
      </c>
      <c r="B121" s="419" t="s">
        <v>39</v>
      </c>
      <c r="L121" s="442"/>
    </row>
    <row r="122" spans="1:12">
      <c r="A122" s="422" t="s">
        <v>155</v>
      </c>
      <c r="B122" s="419" t="s">
        <v>164</v>
      </c>
      <c r="E122" s="419" t="s">
        <v>7</v>
      </c>
      <c r="F122" s="433">
        <v>8002482.5999999978</v>
      </c>
    </row>
    <row r="123" spans="1:12">
      <c r="A123" s="420"/>
      <c r="B123" s="419"/>
      <c r="E123" s="419"/>
      <c r="F123" s="441"/>
    </row>
    <row r="124" spans="1:12">
      <c r="A124" s="422"/>
      <c r="B124" s="419" t="s">
        <v>15</v>
      </c>
    </row>
    <row r="125" spans="1:12">
      <c r="A125" s="427" t="s">
        <v>171</v>
      </c>
      <c r="B125" s="439" t="s">
        <v>35</v>
      </c>
      <c r="F125" s="440">
        <f>'[33]9.Indirect Cost Ratio'!O79</f>
        <v>0.49693518777050483</v>
      </c>
    </row>
    <row r="126" spans="1:12">
      <c r="A126" s="427"/>
      <c r="B126" s="419"/>
    </row>
    <row r="127" spans="1:12">
      <c r="A127" s="427" t="s">
        <v>170</v>
      </c>
      <c r="B127" s="419" t="s">
        <v>16</v>
      </c>
    </row>
    <row r="128" spans="1:12">
      <c r="A128" s="427" t="s">
        <v>172</v>
      </c>
      <c r="B128" s="439" t="s">
        <v>17</v>
      </c>
      <c r="F128" s="433">
        <v>326739000</v>
      </c>
    </row>
    <row r="129" spans="1:11">
      <c r="A129" s="427" t="s">
        <v>173</v>
      </c>
      <c r="B129" s="418" t="s">
        <v>18</v>
      </c>
      <c r="F129" s="433">
        <v>3127000</v>
      </c>
    </row>
    <row r="130" spans="1:11">
      <c r="A130" s="427" t="s">
        <v>174</v>
      </c>
      <c r="B130" s="419" t="s">
        <v>19</v>
      </c>
      <c r="F130" s="438">
        <f>SUM(F128:F129)</f>
        <v>329866000</v>
      </c>
    </row>
    <row r="131" spans="1:11">
      <c r="A131" s="427"/>
      <c r="B131" s="419"/>
    </row>
    <row r="132" spans="1:11">
      <c r="A132" s="427" t="s">
        <v>167</v>
      </c>
      <c r="B132" s="419" t="s">
        <v>36</v>
      </c>
      <c r="F132" s="433">
        <v>319343921.03000003</v>
      </c>
    </row>
    <row r="133" spans="1:11">
      <c r="A133" s="427"/>
    </row>
    <row r="134" spans="1:11">
      <c r="A134" s="427" t="s">
        <v>175</v>
      </c>
      <c r="B134" s="419" t="s">
        <v>20</v>
      </c>
      <c r="F134" s="290">
        <f>F130-F132</f>
        <v>10522078.969999969</v>
      </c>
    </row>
    <row r="135" spans="1:11">
      <c r="A135" s="427"/>
    </row>
    <row r="136" spans="1:11">
      <c r="A136" s="427" t="s">
        <v>176</v>
      </c>
      <c r="B136" s="419" t="s">
        <v>21</v>
      </c>
      <c r="F136" s="437">
        <v>-2797000</v>
      </c>
    </row>
    <row r="137" spans="1:11">
      <c r="A137" s="427"/>
    </row>
    <row r="138" spans="1:11">
      <c r="A138" s="427" t="s">
        <v>177</v>
      </c>
      <c r="B138" s="419" t="s">
        <v>22</v>
      </c>
      <c r="F138" s="433">
        <f>F130-F132+F136</f>
        <v>7725078.969999969</v>
      </c>
    </row>
    <row r="139" spans="1:11">
      <c r="A139" s="427"/>
      <c r="B139" s="419"/>
      <c r="F139" s="436"/>
    </row>
    <row r="140" spans="1:11">
      <c r="A140" s="427"/>
      <c r="B140" s="419"/>
      <c r="F140" s="436"/>
    </row>
    <row r="141" spans="1:11">
      <c r="A141" s="427"/>
    </row>
    <row r="142" spans="1:11" ht="39">
      <c r="A142" s="420"/>
      <c r="F142" s="431" t="s">
        <v>9</v>
      </c>
      <c r="G142" s="431" t="s">
        <v>37</v>
      </c>
      <c r="H142" s="431" t="s">
        <v>29</v>
      </c>
      <c r="I142" s="431" t="s">
        <v>30</v>
      </c>
      <c r="J142" s="431" t="s">
        <v>33</v>
      </c>
      <c r="K142" s="431" t="s">
        <v>34</v>
      </c>
    </row>
    <row r="143" spans="1:11">
      <c r="A143" s="422" t="s">
        <v>157</v>
      </c>
      <c r="B143" s="419" t="s">
        <v>23</v>
      </c>
    </row>
    <row r="144" spans="1:11">
      <c r="A144" s="427" t="s">
        <v>158</v>
      </c>
      <c r="B144" s="418" t="s">
        <v>24</v>
      </c>
      <c r="F144" s="435"/>
      <c r="G144" s="435"/>
      <c r="H144" s="433"/>
      <c r="I144" s="434">
        <v>0</v>
      </c>
      <c r="J144" s="433"/>
      <c r="K144" s="432">
        <f>(H144+I144)-J144</f>
        <v>0</v>
      </c>
    </row>
    <row r="145" spans="1:11">
      <c r="A145" s="427" t="s">
        <v>159</v>
      </c>
      <c r="B145" s="418" t="s">
        <v>25</v>
      </c>
      <c r="F145" s="435"/>
      <c r="G145" s="435"/>
      <c r="H145" s="433"/>
      <c r="I145" s="434">
        <v>0</v>
      </c>
      <c r="J145" s="433"/>
      <c r="K145" s="432">
        <f>(H145+I145)-J145</f>
        <v>0</v>
      </c>
    </row>
    <row r="146" spans="1:11">
      <c r="A146" s="427" t="s">
        <v>160</v>
      </c>
      <c r="B146" s="1016"/>
      <c r="C146" s="1017"/>
      <c r="D146" s="1018"/>
      <c r="F146" s="435"/>
      <c r="G146" s="435"/>
      <c r="H146" s="433"/>
      <c r="I146" s="434">
        <v>0</v>
      </c>
      <c r="J146" s="433"/>
      <c r="K146" s="432">
        <f>(H146+I146)-J146</f>
        <v>0</v>
      </c>
    </row>
    <row r="147" spans="1:11">
      <c r="A147" s="427" t="s">
        <v>161</v>
      </c>
      <c r="B147" s="1016"/>
      <c r="C147" s="1017"/>
      <c r="D147" s="1018"/>
      <c r="F147" s="435"/>
      <c r="G147" s="435"/>
      <c r="H147" s="433"/>
      <c r="I147" s="434">
        <v>0</v>
      </c>
      <c r="J147" s="433"/>
      <c r="K147" s="432">
        <f>(H147+I147)-J147</f>
        <v>0</v>
      </c>
    </row>
    <row r="148" spans="1:11">
      <c r="A148" s="427" t="s">
        <v>162</v>
      </c>
      <c r="B148" s="1016"/>
      <c r="C148" s="1017"/>
      <c r="D148" s="1018"/>
      <c r="F148" s="435"/>
      <c r="G148" s="435"/>
      <c r="H148" s="433"/>
      <c r="I148" s="434">
        <v>0</v>
      </c>
      <c r="J148" s="433"/>
      <c r="K148" s="432">
        <f>(H148+I148)-J148</f>
        <v>0</v>
      </c>
    </row>
    <row r="149" spans="1:11">
      <c r="A149" s="422"/>
    </row>
    <row r="150" spans="1:11">
      <c r="A150" s="422" t="s">
        <v>163</v>
      </c>
      <c r="B150" s="419" t="s">
        <v>27</v>
      </c>
      <c r="F150" s="425">
        <f t="shared" ref="F150:K150" si="14">SUM(F144:F148)</f>
        <v>0</v>
      </c>
      <c r="G150" s="425">
        <f t="shared" si="14"/>
        <v>0</v>
      </c>
      <c r="H150" s="432">
        <f t="shared" si="14"/>
        <v>0</v>
      </c>
      <c r="I150" s="432">
        <f t="shared" si="14"/>
        <v>0</v>
      </c>
      <c r="J150" s="432">
        <f t="shared" si="14"/>
        <v>0</v>
      </c>
      <c r="K150" s="432">
        <f t="shared" si="14"/>
        <v>0</v>
      </c>
    </row>
    <row r="152" spans="1:11" ht="39">
      <c r="A152" s="420"/>
      <c r="F152" s="431" t="s">
        <v>9</v>
      </c>
      <c r="G152" s="431" t="s">
        <v>37</v>
      </c>
      <c r="H152" s="431" t="s">
        <v>29</v>
      </c>
      <c r="I152" s="431" t="s">
        <v>30</v>
      </c>
      <c r="J152" s="431" t="s">
        <v>33</v>
      </c>
      <c r="K152" s="431" t="s">
        <v>34</v>
      </c>
    </row>
    <row r="153" spans="1:11">
      <c r="A153" s="422" t="s">
        <v>166</v>
      </c>
      <c r="B153" s="419" t="s">
        <v>26</v>
      </c>
    </row>
    <row r="154" spans="1:11">
      <c r="A154" s="427" t="s">
        <v>137</v>
      </c>
      <c r="B154" s="419" t="s">
        <v>64</v>
      </c>
      <c r="F154" s="430" t="e">
        <f t="shared" ref="F154:K154" si="15">F36</f>
        <v>#VALUE!</v>
      </c>
      <c r="G154" s="430" t="e">
        <f t="shared" si="15"/>
        <v>#VALUE!</v>
      </c>
      <c r="H154" s="430" t="e">
        <f t="shared" si="15"/>
        <v>#VALUE!</v>
      </c>
      <c r="I154" s="430" t="e">
        <f t="shared" si="15"/>
        <v>#VALUE!</v>
      </c>
      <c r="J154" s="430" t="e">
        <f t="shared" si="15"/>
        <v>#VALUE!</v>
      </c>
      <c r="K154" s="430" t="e">
        <f t="shared" si="15"/>
        <v>#VALUE!</v>
      </c>
    </row>
    <row r="155" spans="1:11">
      <c r="A155" s="427" t="s">
        <v>142</v>
      </c>
      <c r="B155" s="419" t="s">
        <v>65</v>
      </c>
      <c r="F155" s="430" t="e">
        <f t="shared" ref="F155:K155" si="16">F49</f>
        <v>#VALUE!</v>
      </c>
      <c r="G155" s="430" t="e">
        <f t="shared" si="16"/>
        <v>#VALUE!</v>
      </c>
      <c r="H155" s="430" t="e">
        <f t="shared" si="16"/>
        <v>#VALUE!</v>
      </c>
      <c r="I155" s="430" t="e">
        <f t="shared" si="16"/>
        <v>#VALUE!</v>
      </c>
      <c r="J155" s="430" t="e">
        <f t="shared" si="16"/>
        <v>#VALUE!</v>
      </c>
      <c r="K155" s="430" t="e">
        <f t="shared" si="16"/>
        <v>#VALUE!</v>
      </c>
    </row>
    <row r="156" spans="1:11">
      <c r="A156" s="427" t="s">
        <v>144</v>
      </c>
      <c r="B156" s="419" t="s">
        <v>66</v>
      </c>
      <c r="F156" s="430" t="e">
        <f t="shared" ref="F156:K156" si="17">F64</f>
        <v>#VALUE!</v>
      </c>
      <c r="G156" s="430">
        <f t="shared" si="17"/>
        <v>0</v>
      </c>
      <c r="H156" s="430" t="e">
        <f t="shared" si="17"/>
        <v>#VALUE!</v>
      </c>
      <c r="I156" s="430" t="e">
        <f t="shared" si="17"/>
        <v>#VALUE!</v>
      </c>
      <c r="J156" s="430">
        <f t="shared" si="17"/>
        <v>0</v>
      </c>
      <c r="K156" s="430" t="e">
        <f t="shared" si="17"/>
        <v>#VALUE!</v>
      </c>
    </row>
    <row r="157" spans="1:11">
      <c r="A157" s="427" t="s">
        <v>146</v>
      </c>
      <c r="B157" s="419" t="s">
        <v>67</v>
      </c>
      <c r="F157" s="430" t="e">
        <f t="shared" ref="F157:K157" si="18">F74</f>
        <v>#VALUE!</v>
      </c>
      <c r="G157" s="430" t="e">
        <f t="shared" si="18"/>
        <v>#VALUE!</v>
      </c>
      <c r="H157" s="430" t="e">
        <f t="shared" si="18"/>
        <v>#VALUE!</v>
      </c>
      <c r="I157" s="430" t="e">
        <f t="shared" si="18"/>
        <v>#VALUE!</v>
      </c>
      <c r="J157" s="430" t="e">
        <f t="shared" si="18"/>
        <v>#VALUE!</v>
      </c>
      <c r="K157" s="430" t="e">
        <f t="shared" si="18"/>
        <v>#VALUE!</v>
      </c>
    </row>
    <row r="158" spans="1:11">
      <c r="A158" s="427" t="s">
        <v>148</v>
      </c>
      <c r="B158" s="419" t="s">
        <v>68</v>
      </c>
      <c r="F158" s="430" t="e">
        <f t="shared" ref="F158:K158" si="19">F82</f>
        <v>#VALUE!</v>
      </c>
      <c r="G158" s="430" t="e">
        <f t="shared" si="19"/>
        <v>#VALUE!</v>
      </c>
      <c r="H158" s="430" t="e">
        <f t="shared" si="19"/>
        <v>#VALUE!</v>
      </c>
      <c r="I158" s="430" t="e">
        <f t="shared" si="19"/>
        <v>#VALUE!</v>
      </c>
      <c r="J158" s="430" t="e">
        <f t="shared" si="19"/>
        <v>#VALUE!</v>
      </c>
      <c r="K158" s="430" t="e">
        <f t="shared" si="19"/>
        <v>#VALUE!</v>
      </c>
    </row>
    <row r="159" spans="1:11">
      <c r="A159" s="427" t="s">
        <v>150</v>
      </c>
      <c r="B159" s="419" t="s">
        <v>69</v>
      </c>
      <c r="F159" s="430" t="e">
        <f t="shared" ref="F159:K159" si="20">F109</f>
        <v>#VALUE!</v>
      </c>
      <c r="G159" s="430" t="e">
        <f t="shared" si="20"/>
        <v>#VALUE!</v>
      </c>
      <c r="H159" s="430" t="e">
        <f t="shared" si="20"/>
        <v>#VALUE!</v>
      </c>
      <c r="I159" s="430" t="e">
        <f t="shared" si="20"/>
        <v>#VALUE!</v>
      </c>
      <c r="J159" s="430" t="e">
        <f t="shared" si="20"/>
        <v>#VALUE!</v>
      </c>
      <c r="K159" s="430" t="e">
        <f t="shared" si="20"/>
        <v>#VALUE!</v>
      </c>
    </row>
    <row r="160" spans="1:11">
      <c r="A160" s="427" t="s">
        <v>153</v>
      </c>
      <c r="B160" s="419" t="s">
        <v>61</v>
      </c>
      <c r="F160" s="425">
        <f t="shared" ref="F160:K160" si="21">F119</f>
        <v>0</v>
      </c>
      <c r="G160" s="425">
        <f t="shared" si="21"/>
        <v>0</v>
      </c>
      <c r="H160" s="425">
        <f t="shared" si="21"/>
        <v>0</v>
      </c>
      <c r="I160" s="425">
        <f t="shared" si="21"/>
        <v>0</v>
      </c>
      <c r="J160" s="425">
        <f t="shared" si="21"/>
        <v>0</v>
      </c>
      <c r="K160" s="425">
        <f t="shared" si="21"/>
        <v>0</v>
      </c>
    </row>
    <row r="161" spans="1:11">
      <c r="A161" s="427" t="s">
        <v>155</v>
      </c>
      <c r="B161" s="419" t="s">
        <v>70</v>
      </c>
      <c r="F161" s="426" t="s">
        <v>73</v>
      </c>
      <c r="G161" s="426" t="s">
        <v>73</v>
      </c>
      <c r="H161" s="429" t="s">
        <v>73</v>
      </c>
      <c r="I161" s="429" t="s">
        <v>73</v>
      </c>
      <c r="J161" s="429" t="s">
        <v>73</v>
      </c>
      <c r="K161" s="428">
        <f>F122</f>
        <v>8002482.5999999978</v>
      </c>
    </row>
    <row r="162" spans="1:11">
      <c r="A162" s="427" t="s">
        <v>163</v>
      </c>
      <c r="B162" s="419" t="s">
        <v>71</v>
      </c>
      <c r="F162" s="425">
        <f t="shared" ref="F162:K162" si="22">F150</f>
        <v>0</v>
      </c>
      <c r="G162" s="425">
        <f t="shared" si="22"/>
        <v>0</v>
      </c>
      <c r="H162" s="425">
        <f t="shared" si="22"/>
        <v>0</v>
      </c>
      <c r="I162" s="425">
        <f t="shared" si="22"/>
        <v>0</v>
      </c>
      <c r="J162" s="425">
        <f t="shared" si="22"/>
        <v>0</v>
      </c>
      <c r="K162" s="425">
        <f t="shared" si="22"/>
        <v>0</v>
      </c>
    </row>
    <row r="163" spans="1:11">
      <c r="A163" s="427" t="s">
        <v>185</v>
      </c>
      <c r="B163" s="419" t="s">
        <v>186</v>
      </c>
      <c r="F163" s="426" t="s">
        <v>73</v>
      </c>
      <c r="G163" s="426" t="s">
        <v>73</v>
      </c>
      <c r="H163" s="425">
        <f>H18</f>
        <v>8243421.1981960637</v>
      </c>
      <c r="I163" s="425">
        <f>I18</f>
        <v>0</v>
      </c>
      <c r="J163" s="425">
        <f>J18</f>
        <v>7049155.8243681621</v>
      </c>
      <c r="K163" s="425">
        <f>K18</f>
        <v>1194265.3738279017</v>
      </c>
    </row>
    <row r="164" spans="1:11">
      <c r="A164" s="420"/>
      <c r="B164" s="419"/>
      <c r="F164" s="424"/>
      <c r="G164" s="424"/>
      <c r="H164" s="424"/>
      <c r="I164" s="424"/>
      <c r="J164" s="424"/>
      <c r="K164" s="424"/>
    </row>
    <row r="165" spans="1:11">
      <c r="A165" s="422" t="s">
        <v>165</v>
      </c>
      <c r="B165" s="419" t="s">
        <v>26</v>
      </c>
      <c r="F165" s="423" t="e">
        <f t="shared" ref="F165:K165" si="23">SUM(F154:F163)</f>
        <v>#VALUE!</v>
      </c>
      <c r="G165" s="423" t="e">
        <f t="shared" si="23"/>
        <v>#VALUE!</v>
      </c>
      <c r="H165" s="423" t="e">
        <f t="shared" si="23"/>
        <v>#VALUE!</v>
      </c>
      <c r="I165" s="423" t="e">
        <f t="shared" si="23"/>
        <v>#VALUE!</v>
      </c>
      <c r="J165" s="423" t="e">
        <f t="shared" si="23"/>
        <v>#VALUE!</v>
      </c>
      <c r="K165" s="423" t="e">
        <f t="shared" si="23"/>
        <v>#VALUE!</v>
      </c>
    </row>
    <row r="166" spans="1:11">
      <c r="A166" s="420"/>
    </row>
    <row r="167" spans="1:11">
      <c r="A167" s="422" t="s">
        <v>168</v>
      </c>
      <c r="B167" s="419" t="s">
        <v>28</v>
      </c>
      <c r="F167" s="421" t="e">
        <f>K165/F132</f>
        <v>#VALUE!</v>
      </c>
    </row>
    <row r="168" spans="1:11">
      <c r="A168" s="422" t="s">
        <v>169</v>
      </c>
      <c r="B168" s="419" t="s">
        <v>72</v>
      </c>
      <c r="F168" s="421" t="e">
        <f>K165/F138</f>
        <v>#VALUE!</v>
      </c>
      <c r="G168" s="419"/>
    </row>
    <row r="169" spans="1:11">
      <c r="A169" s="420"/>
      <c r="G169" s="419"/>
    </row>
  </sheetData>
  <mergeCells count="33">
    <mergeCell ref="C10:G10"/>
    <mergeCell ref="D2:H2"/>
    <mergeCell ref="C5:G5"/>
    <mergeCell ref="C6:G6"/>
    <mergeCell ref="C7:G7"/>
    <mergeCell ref="C9:G9"/>
    <mergeCell ref="B59:D59"/>
    <mergeCell ref="C11:G11"/>
    <mergeCell ref="B30:D30"/>
    <mergeCell ref="B31:D31"/>
    <mergeCell ref="B34:D34"/>
    <mergeCell ref="B41:C41"/>
    <mergeCell ref="B44:D44"/>
    <mergeCell ref="B45:D45"/>
    <mergeCell ref="B46:D46"/>
    <mergeCell ref="B47:D47"/>
    <mergeCell ref="B52:C52"/>
    <mergeCell ref="B53:D53"/>
    <mergeCell ref="B55:D55"/>
    <mergeCell ref="B56:D56"/>
    <mergeCell ref="B57:D57"/>
    <mergeCell ref="B148:D148"/>
    <mergeCell ref="B105:D105"/>
    <mergeCell ref="B106:D106"/>
    <mergeCell ref="B107:D107"/>
    <mergeCell ref="B114:C114"/>
    <mergeCell ref="B115:D115"/>
    <mergeCell ref="B116:D116"/>
    <mergeCell ref="B62:D62"/>
    <mergeCell ref="B117:D117"/>
    <mergeCell ref="B146:D146"/>
    <mergeCell ref="B147:D147"/>
    <mergeCell ref="B101:C101"/>
  </mergeCells>
  <hyperlinks>
    <hyperlink ref="C11" r:id="rId1"/>
  </hyperlinks>
  <pageMargins left="0.7" right="0.7" top="0.75" bottom="0.75" header="0.3" footer="0.3"/>
  <pageSetup scale="65"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3" tint="0.59999389629810485"/>
    <pageSetUpPr fitToPage="1"/>
  </sheetPr>
  <dimension ref="A1:F60"/>
  <sheetViews>
    <sheetView zoomScaleNormal="100" workbookViewId="0">
      <selection activeCell="D16" sqref="D16"/>
    </sheetView>
  </sheetViews>
  <sheetFormatPr defaultRowHeight="15"/>
  <cols>
    <col min="1" max="1" width="11.5703125" style="54" customWidth="1"/>
    <col min="2" max="2" width="40.28515625" style="54" bestFit="1" customWidth="1"/>
    <col min="3" max="3" width="19.140625" style="355" bestFit="1" customWidth="1"/>
    <col min="4" max="4" width="20.5703125" style="71" customWidth="1"/>
    <col min="5" max="5" width="23.28515625" style="355" customWidth="1"/>
    <col min="6" max="6" width="25" style="54" customWidth="1"/>
    <col min="7" max="16384" width="9.140625" style="54"/>
  </cols>
  <sheetData>
    <row r="1" spans="1:6" ht="23.25">
      <c r="B1" s="70" t="s">
        <v>692</v>
      </c>
      <c r="C1" s="70"/>
    </row>
    <row r="2" spans="1:6">
      <c r="B2" s="66" t="s">
        <v>964</v>
      </c>
    </row>
    <row r="3" spans="1:6">
      <c r="B3" s="66"/>
    </row>
    <row r="4" spans="1:6" s="76" customFormat="1" ht="31.5">
      <c r="A4" s="55"/>
      <c r="B4" s="73" t="s">
        <v>963</v>
      </c>
      <c r="C4" s="356" t="s">
        <v>252</v>
      </c>
      <c r="D4" s="75" t="s">
        <v>965</v>
      </c>
      <c r="E4" s="356" t="s">
        <v>253</v>
      </c>
      <c r="F4" s="74" t="s">
        <v>254</v>
      </c>
    </row>
    <row r="5" spans="1:6">
      <c r="A5" s="61">
        <v>1</v>
      </c>
      <c r="B5" s="54" t="s">
        <v>200</v>
      </c>
      <c r="C5" s="826">
        <v>0</v>
      </c>
      <c r="D5" s="826">
        <v>301350.7</v>
      </c>
      <c r="E5" s="826">
        <v>5020441.197984389</v>
      </c>
      <c r="F5" s="826">
        <f t="shared" ref="F5:F36" si="0">C5+D5+E5</f>
        <v>5321791.8979843892</v>
      </c>
    </row>
    <row r="6" spans="1:6">
      <c r="A6" s="61">
        <v>2</v>
      </c>
      <c r="B6" s="54" t="s">
        <v>285</v>
      </c>
      <c r="C6" s="827">
        <v>91315600</v>
      </c>
      <c r="D6" s="827">
        <v>1430282.4</v>
      </c>
      <c r="E6" s="827">
        <v>57147372.12642327</v>
      </c>
      <c r="F6" s="827">
        <f t="shared" si="0"/>
        <v>149893254.52642328</v>
      </c>
    </row>
    <row r="7" spans="1:6">
      <c r="A7" s="61">
        <v>3</v>
      </c>
      <c r="B7" s="54" t="s">
        <v>286</v>
      </c>
      <c r="C7" s="827">
        <v>4388670</v>
      </c>
      <c r="D7" s="827">
        <v>249192.55458999999</v>
      </c>
      <c r="E7" s="827">
        <v>24439745.643381238</v>
      </c>
      <c r="F7" s="827">
        <f t="shared" si="0"/>
        <v>29077608.19797124</v>
      </c>
    </row>
    <row r="8" spans="1:6">
      <c r="A8" s="61">
        <v>4</v>
      </c>
      <c r="B8" s="54" t="s">
        <v>287</v>
      </c>
      <c r="C8" s="827">
        <v>2657999.9999999995</v>
      </c>
      <c r="D8" s="827">
        <v>461351.2</v>
      </c>
      <c r="E8" s="827">
        <v>28728872.810317833</v>
      </c>
      <c r="F8" s="827">
        <f t="shared" si="0"/>
        <v>31848224.010317832</v>
      </c>
    </row>
    <row r="9" spans="1:6">
      <c r="A9" s="61">
        <v>5</v>
      </c>
      <c r="B9" s="54" t="s">
        <v>201</v>
      </c>
      <c r="C9" s="827">
        <v>0</v>
      </c>
      <c r="D9" s="827">
        <v>337093.7</v>
      </c>
      <c r="E9" s="827">
        <v>15677120.919128336</v>
      </c>
      <c r="F9" s="827">
        <f t="shared" si="0"/>
        <v>16014214.619128335</v>
      </c>
    </row>
    <row r="10" spans="1:6" s="67" customFormat="1">
      <c r="A10" s="61">
        <v>6</v>
      </c>
      <c r="B10" s="67" t="s">
        <v>288</v>
      </c>
      <c r="C10" s="828">
        <v>0</v>
      </c>
      <c r="D10" s="828">
        <v>77692</v>
      </c>
      <c r="E10" s="828">
        <v>3182026.7462192797</v>
      </c>
      <c r="F10" s="828">
        <f t="shared" si="0"/>
        <v>3259718.7462192797</v>
      </c>
    </row>
    <row r="11" spans="1:6">
      <c r="A11" s="61">
        <v>8</v>
      </c>
      <c r="B11" s="54" t="s">
        <v>289</v>
      </c>
      <c r="C11" s="827">
        <v>4874380</v>
      </c>
      <c r="D11" s="827">
        <v>470759.60000000009</v>
      </c>
      <c r="E11" s="827">
        <v>15019121.904604373</v>
      </c>
      <c r="F11" s="827">
        <f t="shared" si="0"/>
        <v>20364261.504604373</v>
      </c>
    </row>
    <row r="12" spans="1:6">
      <c r="A12" s="61">
        <v>9</v>
      </c>
      <c r="B12" s="54" t="s">
        <v>290</v>
      </c>
      <c r="C12" s="827">
        <v>110114790.00000001</v>
      </c>
      <c r="D12" s="827">
        <v>2132419</v>
      </c>
      <c r="E12" s="827">
        <v>47504296.082301326</v>
      </c>
      <c r="F12" s="827">
        <f t="shared" si="0"/>
        <v>159751505.08230135</v>
      </c>
    </row>
    <row r="13" spans="1:6">
      <c r="A13" s="61">
        <v>10</v>
      </c>
      <c r="B13" s="54" t="s">
        <v>291</v>
      </c>
      <c r="C13" s="827">
        <v>0</v>
      </c>
      <c r="D13" s="827">
        <v>59897.899999999994</v>
      </c>
      <c r="E13" s="827">
        <v>1266421.3125753</v>
      </c>
      <c r="F13" s="827">
        <f t="shared" si="0"/>
        <v>1326319.2125752999</v>
      </c>
    </row>
    <row r="14" spans="1:6">
      <c r="A14" s="61">
        <v>11</v>
      </c>
      <c r="B14" s="54" t="s">
        <v>202</v>
      </c>
      <c r="C14" s="827">
        <v>6863969.9999999981</v>
      </c>
      <c r="D14" s="827">
        <v>404669.9</v>
      </c>
      <c r="E14" s="827">
        <v>20607771.36793375</v>
      </c>
      <c r="F14" s="827">
        <f t="shared" si="0"/>
        <v>27876411.267933749</v>
      </c>
    </row>
    <row r="15" spans="1:6">
      <c r="A15" s="61">
        <v>12</v>
      </c>
      <c r="B15" s="54" t="s">
        <v>292</v>
      </c>
      <c r="C15" s="827">
        <v>15453348</v>
      </c>
      <c r="D15" s="827">
        <v>684516.8</v>
      </c>
      <c r="E15" s="827">
        <v>4699062.1854604939</v>
      </c>
      <c r="F15" s="827">
        <f t="shared" si="0"/>
        <v>20836926.985460494</v>
      </c>
    </row>
    <row r="16" spans="1:6">
      <c r="A16" s="61">
        <v>13</v>
      </c>
      <c r="B16" s="54" t="s">
        <v>203</v>
      </c>
      <c r="C16" s="827">
        <v>0</v>
      </c>
      <c r="D16" s="827">
        <v>87398</v>
      </c>
      <c r="E16" s="827">
        <v>5832640.2878585672</v>
      </c>
      <c r="F16" s="827">
        <f t="shared" si="0"/>
        <v>5920038.2878585672</v>
      </c>
    </row>
    <row r="17" spans="1:6">
      <c r="A17" s="61">
        <v>15</v>
      </c>
      <c r="B17" s="54" t="s">
        <v>293</v>
      </c>
      <c r="C17" s="827">
        <v>8467280</v>
      </c>
      <c r="D17" s="827">
        <v>469792.19999999995</v>
      </c>
      <c r="E17" s="827">
        <v>9984648.725259766</v>
      </c>
      <c r="F17" s="827">
        <f t="shared" si="0"/>
        <v>18921720.925259765</v>
      </c>
    </row>
    <row r="18" spans="1:6">
      <c r="A18" s="61">
        <v>16</v>
      </c>
      <c r="B18" s="54" t="s">
        <v>294</v>
      </c>
      <c r="C18" s="827">
        <v>0</v>
      </c>
      <c r="D18" s="827">
        <v>245900.4</v>
      </c>
      <c r="E18" s="827">
        <v>18531752.581749819</v>
      </c>
      <c r="F18" s="827">
        <f t="shared" si="0"/>
        <v>18777652.981749818</v>
      </c>
    </row>
    <row r="19" spans="1:6" s="67" customFormat="1">
      <c r="A19" s="61">
        <v>17</v>
      </c>
      <c r="B19" s="67" t="s">
        <v>295</v>
      </c>
      <c r="C19" s="828">
        <v>0</v>
      </c>
      <c r="D19" s="828">
        <v>42302</v>
      </c>
      <c r="E19" s="828">
        <v>2803142.9965130896</v>
      </c>
      <c r="F19" s="828">
        <f t="shared" si="0"/>
        <v>2845444.9965130896</v>
      </c>
    </row>
    <row r="20" spans="1:6">
      <c r="A20" s="61">
        <v>18</v>
      </c>
      <c r="B20" s="54" t="s">
        <v>296</v>
      </c>
      <c r="C20" s="827">
        <v>0</v>
      </c>
      <c r="D20" s="827">
        <v>166869.1</v>
      </c>
      <c r="E20" s="827">
        <v>4161429.4506887151</v>
      </c>
      <c r="F20" s="827">
        <f t="shared" si="0"/>
        <v>4328298.5506887147</v>
      </c>
    </row>
    <row r="21" spans="1:6">
      <c r="A21" s="61">
        <v>19</v>
      </c>
      <c r="B21" s="54" t="s">
        <v>297</v>
      </c>
      <c r="C21" s="827">
        <v>0</v>
      </c>
      <c r="D21" s="827">
        <v>412641.5</v>
      </c>
      <c r="E21" s="827">
        <v>8633325.5233652126</v>
      </c>
      <c r="F21" s="827">
        <f t="shared" si="0"/>
        <v>9045967.0233652126</v>
      </c>
    </row>
    <row r="22" spans="1:6">
      <c r="A22" s="61">
        <v>22</v>
      </c>
      <c r="B22" s="54" t="s">
        <v>298</v>
      </c>
      <c r="C22" s="827">
        <v>339710.00000000006</v>
      </c>
      <c r="D22" s="827">
        <v>280578.5</v>
      </c>
      <c r="E22" s="827">
        <v>5164262.6129817329</v>
      </c>
      <c r="F22" s="827">
        <f t="shared" si="0"/>
        <v>5784551.1129817329</v>
      </c>
    </row>
    <row r="23" spans="1:6">
      <c r="A23" s="61">
        <v>23</v>
      </c>
      <c r="B23" s="54" t="s">
        <v>299</v>
      </c>
      <c r="C23" s="827">
        <v>0</v>
      </c>
      <c r="D23" s="827">
        <v>541867.80000000005</v>
      </c>
      <c r="E23" s="827">
        <v>3814643.5129556763</v>
      </c>
      <c r="F23" s="827">
        <f t="shared" si="0"/>
        <v>4356511.3129556766</v>
      </c>
    </row>
    <row r="24" spans="1:6">
      <c r="A24" s="61">
        <v>24</v>
      </c>
      <c r="B24" s="54" t="s">
        <v>300</v>
      </c>
      <c r="C24" s="827">
        <v>11093490.000000002</v>
      </c>
      <c r="D24" s="827">
        <v>406581.9</v>
      </c>
      <c r="E24" s="827">
        <v>6854624.764536676</v>
      </c>
      <c r="F24" s="827">
        <f t="shared" si="0"/>
        <v>18354696.664536677</v>
      </c>
    </row>
    <row r="25" spans="1:6">
      <c r="A25" s="61">
        <v>27</v>
      </c>
      <c r="B25" s="54" t="s">
        <v>301</v>
      </c>
      <c r="C25" s="827">
        <v>0</v>
      </c>
      <c r="D25" s="827">
        <v>314237.3</v>
      </c>
      <c r="E25" s="827">
        <v>10430905.436920121</v>
      </c>
      <c r="F25" s="827">
        <f t="shared" si="0"/>
        <v>10745142.736920122</v>
      </c>
    </row>
    <row r="26" spans="1:6">
      <c r="A26" s="61">
        <v>28</v>
      </c>
      <c r="B26" s="54" t="s">
        <v>302</v>
      </c>
      <c r="C26" s="827">
        <v>0</v>
      </c>
      <c r="D26" s="827">
        <v>154603</v>
      </c>
      <c r="E26" s="827">
        <v>2105531.1407355331</v>
      </c>
      <c r="F26" s="827">
        <f t="shared" si="0"/>
        <v>2260134.1407355331</v>
      </c>
    </row>
    <row r="27" spans="1:6">
      <c r="A27" s="61">
        <v>29</v>
      </c>
      <c r="B27" s="54" t="s">
        <v>303</v>
      </c>
      <c r="C27" s="827">
        <v>22226999.999999996</v>
      </c>
      <c r="D27" s="827">
        <v>596807.29999999993</v>
      </c>
      <c r="E27" s="827">
        <v>17582499.778704155</v>
      </c>
      <c r="F27" s="827">
        <f t="shared" si="0"/>
        <v>40406307.078704149</v>
      </c>
    </row>
    <row r="28" spans="1:6">
      <c r="A28" s="61">
        <v>30</v>
      </c>
      <c r="B28" s="54" t="s">
        <v>304</v>
      </c>
      <c r="C28" s="827">
        <v>0</v>
      </c>
      <c r="D28" s="827">
        <v>62791.8</v>
      </c>
      <c r="E28" s="827">
        <v>1514324.0054815444</v>
      </c>
      <c r="F28" s="827">
        <f t="shared" si="0"/>
        <v>1577115.8054815445</v>
      </c>
    </row>
    <row r="29" spans="1:6">
      <c r="A29" s="61">
        <v>32</v>
      </c>
      <c r="B29" s="54" t="s">
        <v>305</v>
      </c>
      <c r="C29" s="827">
        <v>0</v>
      </c>
      <c r="D29" s="827">
        <v>153372.9</v>
      </c>
      <c r="E29" s="827">
        <v>1127877.8680724802</v>
      </c>
      <c r="F29" s="827">
        <f t="shared" si="0"/>
        <v>1281250.7680724801</v>
      </c>
    </row>
    <row r="30" spans="1:6">
      <c r="A30" s="61">
        <v>33</v>
      </c>
      <c r="B30" s="54" t="s">
        <v>306</v>
      </c>
      <c r="C30" s="827">
        <v>0</v>
      </c>
      <c r="D30" s="827">
        <v>249075.20000000001</v>
      </c>
      <c r="E30" s="827">
        <v>2577788.0002062405</v>
      </c>
      <c r="F30" s="827">
        <f t="shared" si="0"/>
        <v>2826863.2002062406</v>
      </c>
    </row>
    <row r="31" spans="1:6">
      <c r="A31" s="61">
        <v>34</v>
      </c>
      <c r="B31" s="54" t="s">
        <v>307</v>
      </c>
      <c r="C31" s="827">
        <v>4637050</v>
      </c>
      <c r="D31" s="827">
        <v>201141</v>
      </c>
      <c r="E31" s="827">
        <v>4375595.3982766671</v>
      </c>
      <c r="F31" s="827">
        <f t="shared" si="0"/>
        <v>9213786.398276668</v>
      </c>
    </row>
    <row r="32" spans="1:6">
      <c r="A32" s="61">
        <v>35</v>
      </c>
      <c r="B32" s="54" t="s">
        <v>308</v>
      </c>
      <c r="C32" s="827">
        <v>0</v>
      </c>
      <c r="D32" s="827">
        <v>137003.90000000002</v>
      </c>
      <c r="E32" s="827">
        <v>2085247.8783364499</v>
      </c>
      <c r="F32" s="827">
        <f t="shared" si="0"/>
        <v>2222251.77833645</v>
      </c>
    </row>
    <row r="33" spans="1:6">
      <c r="A33" s="61">
        <v>37</v>
      </c>
      <c r="B33" s="54" t="s">
        <v>309</v>
      </c>
      <c r="C33" s="827">
        <v>0</v>
      </c>
      <c r="D33" s="827">
        <v>186358.59999999998</v>
      </c>
      <c r="E33" s="827">
        <v>3758169.2021614369</v>
      </c>
      <c r="F33" s="827">
        <f t="shared" si="0"/>
        <v>3944527.802161437</v>
      </c>
    </row>
    <row r="34" spans="1:6">
      <c r="A34" s="61">
        <v>38</v>
      </c>
      <c r="B34" s="54" t="s">
        <v>310</v>
      </c>
      <c r="C34" s="827">
        <v>4028359.9999999991</v>
      </c>
      <c r="D34" s="827">
        <v>186645</v>
      </c>
      <c r="E34" s="827">
        <v>11966806.688567741</v>
      </c>
      <c r="F34" s="827">
        <f t="shared" si="0"/>
        <v>16181811.688567739</v>
      </c>
    </row>
    <row r="35" spans="1:6">
      <c r="A35" s="61">
        <v>39</v>
      </c>
      <c r="B35" s="54" t="s">
        <v>311</v>
      </c>
      <c r="C35" s="827">
        <v>0</v>
      </c>
      <c r="D35" s="827">
        <v>138862.9</v>
      </c>
      <c r="E35" s="827">
        <v>6199557.6742040804</v>
      </c>
      <c r="F35" s="827">
        <f t="shared" si="0"/>
        <v>6338420.5742040807</v>
      </c>
    </row>
    <row r="36" spans="1:6">
      <c r="A36" s="61">
        <v>40</v>
      </c>
      <c r="B36" s="54" t="s">
        <v>312</v>
      </c>
      <c r="C36" s="827">
        <v>0</v>
      </c>
      <c r="D36" s="827">
        <v>248252.7</v>
      </c>
      <c r="E36" s="827">
        <v>3878864.2916594874</v>
      </c>
      <c r="F36" s="827">
        <f t="shared" si="0"/>
        <v>4127116.9916594876</v>
      </c>
    </row>
    <row r="37" spans="1:6">
      <c r="A37" s="61">
        <v>43</v>
      </c>
      <c r="B37" s="54" t="s">
        <v>313</v>
      </c>
      <c r="C37" s="827">
        <v>422730</v>
      </c>
      <c r="D37" s="827">
        <v>376812.79999999999</v>
      </c>
      <c r="E37" s="827">
        <v>10775824.99325351</v>
      </c>
      <c r="F37" s="827">
        <f t="shared" ref="F37:F57" si="1">C37+D37+E37</f>
        <v>11575367.793253511</v>
      </c>
    </row>
    <row r="38" spans="1:6">
      <c r="A38" s="61">
        <v>44</v>
      </c>
      <c r="B38" s="54" t="s">
        <v>207</v>
      </c>
      <c r="C38" s="827">
        <v>4976559.9999999991</v>
      </c>
      <c r="D38" s="827">
        <v>421137.7</v>
      </c>
      <c r="E38" s="827">
        <v>2309767.3176642605</v>
      </c>
      <c r="F38" s="827">
        <f t="shared" si="1"/>
        <v>7707465.0176642593</v>
      </c>
    </row>
    <row r="39" spans="1:6">
      <c r="A39" s="61">
        <v>45</v>
      </c>
      <c r="B39" s="54" t="s">
        <v>208</v>
      </c>
      <c r="C39" s="827">
        <v>0</v>
      </c>
      <c r="D39" s="827">
        <v>16124</v>
      </c>
      <c r="E39" s="827">
        <v>218520.74085106948</v>
      </c>
      <c r="F39" s="827">
        <f t="shared" si="1"/>
        <v>234644.74085106948</v>
      </c>
    </row>
    <row r="40" spans="1:6">
      <c r="A40" s="61">
        <v>48</v>
      </c>
      <c r="B40" s="54" t="s">
        <v>314</v>
      </c>
      <c r="C40" s="827">
        <v>0</v>
      </c>
      <c r="D40" s="827">
        <v>278901.59999999998</v>
      </c>
      <c r="E40" s="827">
        <v>4378118.576343393</v>
      </c>
      <c r="F40" s="827">
        <f t="shared" si="1"/>
        <v>4657020.1763433926</v>
      </c>
    </row>
    <row r="41" spans="1:6">
      <c r="A41" s="61">
        <v>49</v>
      </c>
      <c r="B41" s="54" t="s">
        <v>315</v>
      </c>
      <c r="C41" s="827">
        <v>0</v>
      </c>
      <c r="D41" s="827">
        <v>190046</v>
      </c>
      <c r="E41" s="827">
        <v>4821891.8694068613</v>
      </c>
      <c r="F41" s="827">
        <f t="shared" si="1"/>
        <v>5011937.8694068613</v>
      </c>
    </row>
    <row r="42" spans="1:6" s="67" customFormat="1">
      <c r="A42" s="61">
        <v>51</v>
      </c>
      <c r="B42" s="67" t="s">
        <v>316</v>
      </c>
      <c r="C42" s="828">
        <v>0</v>
      </c>
      <c r="D42" s="828">
        <v>216854.5</v>
      </c>
      <c r="E42" s="828">
        <v>12769983.907453788</v>
      </c>
      <c r="F42" s="828">
        <f t="shared" si="1"/>
        <v>12986838.407453788</v>
      </c>
    </row>
    <row r="43" spans="1:6">
      <c r="A43" s="61">
        <v>55</v>
      </c>
      <c r="B43" s="54" t="s">
        <v>317</v>
      </c>
      <c r="C43" s="827">
        <v>0</v>
      </c>
      <c r="D43" s="827">
        <v>121542.1</v>
      </c>
      <c r="E43" s="827">
        <v>6600778.8067273032</v>
      </c>
      <c r="F43" s="827">
        <f t="shared" si="1"/>
        <v>6722320.9067273028</v>
      </c>
    </row>
    <row r="44" spans="1:6" s="67" customFormat="1">
      <c r="A44" s="61">
        <v>60</v>
      </c>
      <c r="B44" s="54" t="s">
        <v>318</v>
      </c>
      <c r="C44" s="827">
        <v>0</v>
      </c>
      <c r="D44" s="827">
        <v>46156.625</v>
      </c>
      <c r="E44" s="827">
        <v>1281923.7827894478</v>
      </c>
      <c r="F44" s="827">
        <f t="shared" si="1"/>
        <v>1328080.4077894478</v>
      </c>
    </row>
    <row r="45" spans="1:6">
      <c r="A45" s="61">
        <v>61</v>
      </c>
      <c r="B45" s="67" t="s">
        <v>209</v>
      </c>
      <c r="C45" s="828">
        <v>0</v>
      </c>
      <c r="D45" s="828">
        <v>99487.1</v>
      </c>
      <c r="E45" s="828">
        <v>3941120.3638901808</v>
      </c>
      <c r="F45" s="828">
        <f t="shared" si="1"/>
        <v>4040607.4638901809</v>
      </c>
    </row>
    <row r="46" spans="1:6" s="67" customFormat="1">
      <c r="A46" s="61">
        <v>62</v>
      </c>
      <c r="B46" s="67" t="s">
        <v>319</v>
      </c>
      <c r="C46" s="828">
        <v>0</v>
      </c>
      <c r="D46" s="828">
        <v>289966.60000000009</v>
      </c>
      <c r="E46" s="828">
        <v>2896946.3226634078</v>
      </c>
      <c r="F46" s="828">
        <f t="shared" si="1"/>
        <v>3186912.9226634079</v>
      </c>
    </row>
    <row r="47" spans="1:6">
      <c r="A47" s="61">
        <v>63</v>
      </c>
      <c r="B47" s="54" t="s">
        <v>320</v>
      </c>
      <c r="C47" s="827">
        <v>0</v>
      </c>
      <c r="D47" s="827">
        <v>337661.5</v>
      </c>
      <c r="E47" s="827">
        <v>7583292.473587729</v>
      </c>
      <c r="F47" s="827">
        <f t="shared" si="1"/>
        <v>7920953.973587729</v>
      </c>
    </row>
    <row r="48" spans="1:6">
      <c r="A48" s="61">
        <v>64</v>
      </c>
      <c r="B48" s="54" t="s">
        <v>321</v>
      </c>
      <c r="C48" s="828">
        <v>0</v>
      </c>
      <c r="D48" s="828">
        <v>53610.200000000012</v>
      </c>
      <c r="E48" s="828">
        <v>8023393.5563029321</v>
      </c>
      <c r="F48" s="828">
        <f t="shared" si="1"/>
        <v>8077003.7563029323</v>
      </c>
    </row>
    <row r="49" spans="1:6">
      <c r="A49" s="61">
        <v>65</v>
      </c>
      <c r="B49" s="783" t="s">
        <v>868</v>
      </c>
      <c r="C49" s="827">
        <v>0</v>
      </c>
      <c r="D49" s="827">
        <v>0</v>
      </c>
      <c r="E49" s="827">
        <v>0</v>
      </c>
      <c r="F49" s="827">
        <f t="shared" si="1"/>
        <v>0</v>
      </c>
    </row>
    <row r="50" spans="1:6">
      <c r="A50" s="61">
        <v>2001</v>
      </c>
      <c r="B50" s="54" t="s">
        <v>322</v>
      </c>
      <c r="C50" s="831">
        <v>4287880</v>
      </c>
      <c r="D50" s="831">
        <v>83135</v>
      </c>
      <c r="E50" s="831">
        <v>99264.091734143309</v>
      </c>
      <c r="F50" s="831">
        <f t="shared" si="1"/>
        <v>4470279.091734143</v>
      </c>
    </row>
    <row r="51" spans="1:6" s="67" customFormat="1">
      <c r="A51" s="61">
        <v>2004</v>
      </c>
      <c r="B51" s="67" t="s">
        <v>323</v>
      </c>
      <c r="C51" s="827">
        <v>3914080</v>
      </c>
      <c r="D51" s="827">
        <v>295736.8</v>
      </c>
      <c r="E51" s="827">
        <v>873883.71740163036</v>
      </c>
      <c r="F51" s="827">
        <f t="shared" si="1"/>
        <v>5083700.5174016301</v>
      </c>
    </row>
    <row r="52" spans="1:6">
      <c r="A52" s="61">
        <v>3029</v>
      </c>
      <c r="B52" s="67" t="s">
        <v>324</v>
      </c>
      <c r="C52" s="827">
        <v>0</v>
      </c>
      <c r="D52" s="827">
        <v>50000</v>
      </c>
      <c r="E52" s="827">
        <v>0</v>
      </c>
      <c r="F52" s="827">
        <f t="shared" si="1"/>
        <v>50000</v>
      </c>
    </row>
    <row r="53" spans="1:6">
      <c r="A53" s="61">
        <v>3478</v>
      </c>
      <c r="B53" s="67" t="s">
        <v>325</v>
      </c>
      <c r="C53" s="827">
        <v>0</v>
      </c>
      <c r="D53" s="827">
        <v>0</v>
      </c>
      <c r="E53" s="827">
        <v>0</v>
      </c>
      <c r="F53" s="827">
        <f t="shared" si="1"/>
        <v>0</v>
      </c>
    </row>
    <row r="54" spans="1:6">
      <c r="A54" s="61">
        <v>4000</v>
      </c>
      <c r="B54" s="54" t="s">
        <v>250</v>
      </c>
      <c r="C54" s="827">
        <v>2359270</v>
      </c>
      <c r="D54" s="827">
        <v>137929.4</v>
      </c>
      <c r="E54" s="827">
        <v>0</v>
      </c>
      <c r="F54" s="827">
        <f t="shared" si="1"/>
        <v>2497199.4</v>
      </c>
    </row>
    <row r="55" spans="1:6">
      <c r="A55" s="61">
        <v>4013</v>
      </c>
      <c r="B55" s="54" t="s">
        <v>284</v>
      </c>
      <c r="C55" s="827">
        <v>199999</v>
      </c>
      <c r="D55" s="827">
        <v>0</v>
      </c>
      <c r="E55" s="827">
        <v>0</v>
      </c>
      <c r="F55" s="827">
        <f t="shared" si="1"/>
        <v>199999</v>
      </c>
    </row>
    <row r="56" spans="1:6" ht="13.5" customHeight="1">
      <c r="A56" s="54">
        <v>5034</v>
      </c>
      <c r="B56" s="54" t="s">
        <v>326</v>
      </c>
      <c r="C56" s="123">
        <v>0</v>
      </c>
      <c r="D56" s="123">
        <v>53308.449000000001</v>
      </c>
      <c r="E56" s="123">
        <v>0</v>
      </c>
      <c r="F56" s="123">
        <f t="shared" si="1"/>
        <v>53308.449000000001</v>
      </c>
    </row>
    <row r="57" spans="1:6">
      <c r="A57" s="54">
        <v>5050</v>
      </c>
      <c r="B57" s="54" t="s">
        <v>327</v>
      </c>
      <c r="C57" s="827">
        <v>0</v>
      </c>
      <c r="D57" s="827">
        <v>375189.8</v>
      </c>
      <c r="E57" s="827">
        <v>4891604.1360780802</v>
      </c>
      <c r="F57" s="827">
        <f t="shared" si="1"/>
        <v>5266793.93607808</v>
      </c>
    </row>
    <row r="58" spans="1:6">
      <c r="A58" s="783" t="s">
        <v>210</v>
      </c>
      <c r="C58" s="829">
        <f>SUM(C5:C57)</f>
        <v>302622167</v>
      </c>
      <c r="D58" s="830">
        <f>SUM(D5:D57)</f>
        <v>15335908.928590002</v>
      </c>
      <c r="E58" s="829">
        <f>SUM(E5:E57)</f>
        <v>428142204.77171254</v>
      </c>
      <c r="F58" s="830">
        <f>SUM(F5:F57)</f>
        <v>746100280.70030272</v>
      </c>
    </row>
    <row r="60" spans="1:6">
      <c r="B60" s="357" t="s">
        <v>688</v>
      </c>
    </row>
  </sheetData>
  <sheetProtection algorithmName="SHA-512" hashValue="L2C7TbpNgXLu53KhPi7etgbh3rdBWlC4JzgUm0GXgzSKpvDWp0TqZ56Pr/I57mbBPxXNm3wThtZkbXV2d3KYzA==" saltValue="QVF3UkyyKJ8cs0WXKU+8aA==" spinCount="100000" sheet="1" objects="1" scenarios="1"/>
  <sortState ref="A5:F57">
    <sortCondition ref="A5:A57"/>
  </sortState>
  <pageMargins left="0.7" right="0.7" top="0.75" bottom="0.75" header="0.3" footer="0.3"/>
  <pageSetup scale="6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249977111117893"/>
    <pageSetUpPr fitToPage="1"/>
  </sheetPr>
  <dimension ref="A1:AX65"/>
  <sheetViews>
    <sheetView zoomScale="80" zoomScaleNormal="80" workbookViewId="0">
      <pane xSplit="2" ySplit="2" topLeftCell="C3" activePane="bottomRight" state="frozen"/>
      <selection pane="topRight" activeCell="C1" sqref="C1"/>
      <selection pane="bottomLeft" activeCell="A3" sqref="A3"/>
      <selection pane="bottomRight" activeCell="F52" sqref="F52"/>
    </sheetView>
  </sheetViews>
  <sheetFormatPr defaultRowHeight="15"/>
  <cols>
    <col min="1" max="1" width="12.140625" style="54" customWidth="1"/>
    <col min="2" max="2" width="41.42578125" style="54" bestFit="1" customWidth="1"/>
    <col min="3" max="3" width="10.7109375" style="129" customWidth="1"/>
    <col min="4" max="4" width="16.42578125" style="54" customWidth="1"/>
    <col min="5" max="5" width="21" style="123" customWidth="1"/>
    <col min="6" max="6" width="20.85546875" style="123" customWidth="1"/>
    <col min="7" max="7" width="18.7109375" style="79" customWidth="1"/>
    <col min="8" max="8" width="20.28515625" style="79" customWidth="1"/>
    <col min="9" max="9" width="15.28515625" style="72" customWidth="1"/>
    <col min="10" max="10" width="23.5703125" style="131" customWidth="1"/>
    <col min="11" max="11" width="30.5703125" style="79" customWidth="1"/>
    <col min="12" max="12" width="18.28515625" style="123" bestFit="1" customWidth="1"/>
    <col min="13" max="13" width="18.28515625" style="54" bestFit="1" customWidth="1"/>
    <col min="14" max="16384" width="9.140625" style="54"/>
  </cols>
  <sheetData>
    <row r="1" spans="1:13" ht="27.75" customHeight="1">
      <c r="A1" s="889" t="s">
        <v>975</v>
      </c>
      <c r="B1" s="889"/>
      <c r="C1" s="889"/>
    </row>
    <row r="2" spans="1:13" s="76" customFormat="1" ht="75">
      <c r="A2" s="105" t="s">
        <v>216</v>
      </c>
      <c r="B2" s="105" t="s">
        <v>222</v>
      </c>
      <c r="C2" s="106" t="s">
        <v>276</v>
      </c>
      <c r="D2" s="107" t="s">
        <v>277</v>
      </c>
      <c r="E2" s="108" t="s">
        <v>278</v>
      </c>
      <c r="F2" s="108" t="s">
        <v>279</v>
      </c>
      <c r="G2" s="107" t="s">
        <v>977</v>
      </c>
      <c r="H2" s="107" t="s">
        <v>1022</v>
      </c>
      <c r="I2" s="109" t="s">
        <v>280</v>
      </c>
      <c r="J2" s="107" t="s">
        <v>970</v>
      </c>
      <c r="K2" s="110" t="s">
        <v>976</v>
      </c>
      <c r="L2" s="109" t="s">
        <v>281</v>
      </c>
      <c r="M2" s="108" t="s">
        <v>282</v>
      </c>
    </row>
    <row r="3" spans="1:13">
      <c r="A3" s="61">
        <v>1</v>
      </c>
      <c r="B3" s="54" t="s">
        <v>200</v>
      </c>
      <c r="C3" s="112" t="str">
        <f>'#1-Meritus'!$C$7</f>
        <v>1984</v>
      </c>
      <c r="D3" s="112">
        <f>'#1-Meritus'!$F$108</f>
        <v>826</v>
      </c>
      <c r="E3" s="112">
        <f>'#1-Meritus'!$F$121</f>
        <v>298834515</v>
      </c>
      <c r="F3" s="112">
        <f>'#1-Meritus'!$K$152</f>
        <v>21327823.062399998</v>
      </c>
      <c r="G3" s="114">
        <f>'ACA Expansion Expense'!H4</f>
        <v>877146.5</v>
      </c>
      <c r="H3" s="860">
        <f t="shared" ref="H3:H34" si="0">F3+G3</f>
        <v>22204969.562399998</v>
      </c>
      <c r="I3" s="729">
        <f t="shared" ref="I3:I34" si="1">F3/E3</f>
        <v>7.1370012471283648E-2</v>
      </c>
      <c r="J3" s="114">
        <f>'Rate Support-Attachment I'!F5</f>
        <v>5321791.8979843892</v>
      </c>
      <c r="K3" s="115">
        <f t="shared" ref="K3:K34" si="2">H3-J3</f>
        <v>16883177.664415609</v>
      </c>
      <c r="L3" s="113">
        <f t="shared" ref="L3:L34" si="3">K3/E3</f>
        <v>5.6496745914425613E-2</v>
      </c>
      <c r="M3" s="112">
        <f>'#1-Meritus'!$F$111</f>
        <v>4027266</v>
      </c>
    </row>
    <row r="4" spans="1:13">
      <c r="A4" s="61">
        <v>2</v>
      </c>
      <c r="B4" s="54" t="s">
        <v>285</v>
      </c>
      <c r="C4" s="112">
        <f>'#2-UMMC'!$C$7</f>
        <v>8244</v>
      </c>
      <c r="D4" s="112">
        <f>'#2-UMMC'!$F$108</f>
        <v>1001.6</v>
      </c>
      <c r="E4" s="112">
        <f>'#2-UMMC'!$F$121</f>
        <v>1362492000</v>
      </c>
      <c r="F4" s="112">
        <f>'#2-UMMC'!$K$152</f>
        <v>207723792.14334887</v>
      </c>
      <c r="G4" s="114">
        <f>'ACA Expansion Expense'!H5+'ACA Expansion Expense'!H52</f>
        <v>16635897</v>
      </c>
      <c r="H4" s="860">
        <f t="shared" si="0"/>
        <v>224359689.14334887</v>
      </c>
      <c r="I4" s="729">
        <f t="shared" si="1"/>
        <v>0.15245872426652698</v>
      </c>
      <c r="J4" s="114">
        <f>'Rate Support-Attachment I'!F6</f>
        <v>149893254.52642328</v>
      </c>
      <c r="K4" s="115">
        <f t="shared" si="2"/>
        <v>74466434.616925597</v>
      </c>
      <c r="L4" s="113">
        <f t="shared" si="3"/>
        <v>5.4654584846682105E-2</v>
      </c>
      <c r="M4" s="112">
        <f>'#2-UMMC'!$F$111</f>
        <v>52771968.829999998</v>
      </c>
    </row>
    <row r="5" spans="1:13">
      <c r="A5" s="61">
        <v>3</v>
      </c>
      <c r="B5" s="54" t="s">
        <v>286</v>
      </c>
      <c r="C5" s="112">
        <f>'#3-Prince Georges Hospital'!$C$7</f>
        <v>1733</v>
      </c>
      <c r="D5" s="112">
        <f>'#3-Prince Georges Hospital'!$F$108</f>
        <v>1800</v>
      </c>
      <c r="E5" s="112">
        <f>'#3-Prince Georges Hospital'!$F$121</f>
        <v>220302100</v>
      </c>
      <c r="F5" s="112">
        <f>'#3-Prince Georges Hospital'!$K$152</f>
        <v>63794575.321999997</v>
      </c>
      <c r="G5" s="114">
        <f>'ACA Expansion Expense'!H6</f>
        <v>1796433.5</v>
      </c>
      <c r="H5" s="860">
        <f t="shared" si="0"/>
        <v>65591008.821999997</v>
      </c>
      <c r="I5" s="729">
        <f t="shared" si="1"/>
        <v>0.28957769954076695</v>
      </c>
      <c r="J5" s="114">
        <f>'Rate Support-Attachment I'!F7</f>
        <v>29077608.19797124</v>
      </c>
      <c r="K5" s="115">
        <f t="shared" si="2"/>
        <v>36513400.624028757</v>
      </c>
      <c r="L5" s="113">
        <f t="shared" si="3"/>
        <v>0.16574240837481238</v>
      </c>
      <c r="M5" s="112">
        <f>'#3-Prince Georges Hospital'!$F$111</f>
        <v>15079327</v>
      </c>
    </row>
    <row r="6" spans="1:13">
      <c r="A6" s="61">
        <v>4</v>
      </c>
      <c r="B6" s="54" t="s">
        <v>287</v>
      </c>
      <c r="C6" s="112">
        <f>'#4-Holy Cross Hospital'!$C$7</f>
        <v>3499</v>
      </c>
      <c r="D6" s="112">
        <f>'#4-Holy Cross Hospital'!$F$108</f>
        <v>6899.6</v>
      </c>
      <c r="E6" s="112">
        <f>'#4-Holy Cross Hospital'!$F$121</f>
        <v>378544267.5</v>
      </c>
      <c r="F6" s="112">
        <f>'#4-Holy Cross Hospital'!$K$152</f>
        <v>56371399</v>
      </c>
      <c r="G6" s="114">
        <f>'ACA Expansion Expense'!H7</f>
        <v>642200.5</v>
      </c>
      <c r="H6" s="860">
        <f t="shared" si="0"/>
        <v>57013599.5</v>
      </c>
      <c r="I6" s="729">
        <f t="shared" si="1"/>
        <v>0.14891626644432016</v>
      </c>
      <c r="J6" s="114">
        <f>'Rate Support-Attachment I'!F8</f>
        <v>31848224.010317832</v>
      </c>
      <c r="K6" s="115">
        <f t="shared" si="2"/>
        <v>25165375.489682168</v>
      </c>
      <c r="L6" s="113">
        <f t="shared" si="3"/>
        <v>6.6479346407437453E-2</v>
      </c>
      <c r="M6" s="112">
        <f>'#4-Holy Cross Hospital'!$F$111</f>
        <v>29924630</v>
      </c>
    </row>
    <row r="7" spans="1:13">
      <c r="A7" s="61">
        <v>5</v>
      </c>
      <c r="B7" s="54" t="s">
        <v>201</v>
      </c>
      <c r="C7" s="112" t="str">
        <f>'#5-Frederick Memorial Hospital'!$C$7</f>
        <v>1740</v>
      </c>
      <c r="D7" s="112">
        <f>'#5-Frederick Memorial Hospital'!$F$108</f>
        <v>0</v>
      </c>
      <c r="E7" s="112">
        <f>'#5-Frederick Memorial Hospital'!$F$121</f>
        <v>323272000</v>
      </c>
      <c r="F7" s="112">
        <f>'#5-Frederick Memorial Hospital'!$K$152</f>
        <v>27152850.343600005</v>
      </c>
      <c r="G7" s="114">
        <f>'ACA Expansion Expense'!H8</f>
        <v>2320848.5</v>
      </c>
      <c r="H7" s="860">
        <f t="shared" si="0"/>
        <v>29473698.843600005</v>
      </c>
      <c r="I7" s="729">
        <f t="shared" si="1"/>
        <v>8.3993820509045025E-2</v>
      </c>
      <c r="J7" s="114">
        <f>'Rate Support-Attachment I'!F9</f>
        <v>16014214.619128335</v>
      </c>
      <c r="K7" s="115">
        <f t="shared" si="2"/>
        <v>13459484.22447167</v>
      </c>
      <c r="L7" s="113">
        <f t="shared" si="3"/>
        <v>4.1635168602513269E-2</v>
      </c>
      <c r="M7" s="112">
        <f>'#5-Frederick Memorial Hospital'!$F$111</f>
        <v>10472000</v>
      </c>
    </row>
    <row r="8" spans="1:13">
      <c r="A8" s="61">
        <v>6</v>
      </c>
      <c r="B8" s="67" t="s">
        <v>288</v>
      </c>
      <c r="C8" s="112">
        <f>'#6-UM Harford Memorial'!$C$7</f>
        <v>810</v>
      </c>
      <c r="D8" s="112">
        <f>'#6-UM Harford Memorial'!$F$108</f>
        <v>613.19999999999993</v>
      </c>
      <c r="E8" s="112">
        <f>'#6-UM Harford Memorial'!$F$121</f>
        <v>79992100</v>
      </c>
      <c r="F8" s="112">
        <f>'#6-UM Harford Memorial'!$K$152</f>
        <v>7680636.1010099994</v>
      </c>
      <c r="G8" s="114">
        <f>'ACA Expansion Expense'!H9</f>
        <v>578685.5</v>
      </c>
      <c r="H8" s="860">
        <f t="shared" si="0"/>
        <v>8259321.6010099994</v>
      </c>
      <c r="I8" s="729">
        <f t="shared" si="1"/>
        <v>9.6017432984132178E-2</v>
      </c>
      <c r="J8" s="114">
        <f>'Rate Support-Attachment I'!F10</f>
        <v>3259718.7462192797</v>
      </c>
      <c r="K8" s="115">
        <f t="shared" si="2"/>
        <v>4999602.8547907192</v>
      </c>
      <c r="L8" s="113">
        <f t="shared" si="3"/>
        <v>6.2501207679142301E-2</v>
      </c>
      <c r="M8" s="112">
        <f>'#6-UM Harford Memorial'!$F$111</f>
        <v>3080091</v>
      </c>
    </row>
    <row r="9" spans="1:13">
      <c r="A9" s="61">
        <v>8</v>
      </c>
      <c r="B9" s="54" t="s">
        <v>289</v>
      </c>
      <c r="C9" s="112" t="str">
        <f>'#8-Mercy'!$C$7</f>
        <v>3224</v>
      </c>
      <c r="D9" s="112">
        <f>'#8-Mercy'!$F$108</f>
        <v>2554</v>
      </c>
      <c r="E9" s="112">
        <f>'#8-Mercy'!$F$121</f>
        <v>440636000</v>
      </c>
      <c r="F9" s="112">
        <f>'#8-Mercy'!$K$152</f>
        <v>59330416.081999995</v>
      </c>
      <c r="G9" s="114">
        <f>'ACA Expansion Expense'!H10</f>
        <v>3138796.5</v>
      </c>
      <c r="H9" s="860">
        <f t="shared" si="0"/>
        <v>62469212.581999995</v>
      </c>
      <c r="I9" s="729">
        <f t="shared" si="1"/>
        <v>0.13464722828366268</v>
      </c>
      <c r="J9" s="114">
        <f>'Rate Support-Attachment I'!F11</f>
        <v>20364261.504604373</v>
      </c>
      <c r="K9" s="115">
        <f t="shared" si="2"/>
        <v>42104951.077395618</v>
      </c>
      <c r="L9" s="113">
        <f t="shared" si="3"/>
        <v>9.5554950293202587E-2</v>
      </c>
      <c r="M9" s="112">
        <f>'#8-Mercy'!$F$111</f>
        <v>17927395</v>
      </c>
    </row>
    <row r="10" spans="1:13">
      <c r="A10" s="61">
        <v>9</v>
      </c>
      <c r="B10" s="54" t="s">
        <v>290</v>
      </c>
      <c r="C10" s="112">
        <f>'#9-Johns Hopkins'!$C$7</f>
        <v>0</v>
      </c>
      <c r="D10" s="112">
        <f>'#9-Johns Hopkins'!$F$108</f>
        <v>7633.5</v>
      </c>
      <c r="E10" s="112">
        <f>'#9-Johns Hopkins'!$F$121</f>
        <v>2047447000</v>
      </c>
      <c r="F10" s="112">
        <f>'#9-Johns Hopkins'!$K$152</f>
        <v>193469131.4724589</v>
      </c>
      <c r="G10" s="114">
        <f>'ACA Expansion Expense'!H11</f>
        <v>11043439.5</v>
      </c>
      <c r="H10" s="860">
        <f t="shared" si="0"/>
        <v>204512570.9724589</v>
      </c>
      <c r="I10" s="729">
        <f t="shared" si="1"/>
        <v>9.4492864270703414E-2</v>
      </c>
      <c r="J10" s="114">
        <f>'Rate Support-Attachment I'!F12</f>
        <v>159751505.08230135</v>
      </c>
      <c r="K10" s="115">
        <f t="shared" si="2"/>
        <v>44761065.890157551</v>
      </c>
      <c r="L10" s="113">
        <f t="shared" si="3"/>
        <v>2.1861892342100942E-2</v>
      </c>
      <c r="M10" s="112">
        <f>'#9-Johns Hopkins'!$F$111</f>
        <v>30276000</v>
      </c>
    </row>
    <row r="11" spans="1:13">
      <c r="A11" s="61">
        <v>10</v>
      </c>
      <c r="B11" s="54" t="s">
        <v>291</v>
      </c>
      <c r="C11" s="112">
        <f>'#10-UM Shore Health Dorchester'!$C$7</f>
        <v>649</v>
      </c>
      <c r="D11" s="112">
        <f>'#10-UM Shore Health Dorchester'!$F$108</f>
        <v>375</v>
      </c>
      <c r="E11" s="112">
        <f>'#10-UM Shore Health Dorchester'!$F$121</f>
        <v>38814754</v>
      </c>
      <c r="F11" s="112">
        <f>'#10-UM Shore Health Dorchester'!$K$152</f>
        <v>4850284.5340130012</v>
      </c>
      <c r="G11" s="114">
        <f>'ACA Expansion Expense'!H12</f>
        <v>993488</v>
      </c>
      <c r="H11" s="860">
        <f t="shared" si="0"/>
        <v>5843772.5340130012</v>
      </c>
      <c r="I11" s="729">
        <f t="shared" si="1"/>
        <v>0.12495981641447479</v>
      </c>
      <c r="J11" s="114">
        <f>'Rate Support-Attachment I'!F13</f>
        <v>1326319.2125752999</v>
      </c>
      <c r="K11" s="115">
        <f t="shared" si="2"/>
        <v>4517453.3214377016</v>
      </c>
      <c r="L11" s="113">
        <f t="shared" si="3"/>
        <v>0.11638495303712866</v>
      </c>
      <c r="M11" s="112">
        <f>'#10-UM Shore Health Dorchester'!$F$111</f>
        <v>1542184</v>
      </c>
    </row>
    <row r="12" spans="1:13">
      <c r="A12" s="61">
        <v>11</v>
      </c>
      <c r="B12" s="54" t="s">
        <v>202</v>
      </c>
      <c r="C12" s="112">
        <f>'#11-St. Agnes Hospital'!$C$7</f>
        <v>2734</v>
      </c>
      <c r="D12" s="112">
        <f>'#11-St. Agnes Hospital'!$F$108</f>
        <v>0</v>
      </c>
      <c r="E12" s="112">
        <f>'#11-St. Agnes Hospital'!$F$121</f>
        <v>415945815.00999999</v>
      </c>
      <c r="F12" s="112">
        <f>'#11-St. Agnes Hospital'!$K$152</f>
        <v>34708326.217624396</v>
      </c>
      <c r="G12" s="114">
        <f>'ACA Expansion Expense'!H13</f>
        <v>8971992.5</v>
      </c>
      <c r="H12" s="860">
        <f t="shared" si="0"/>
        <v>43680318.717624396</v>
      </c>
      <c r="I12" s="729">
        <f t="shared" si="1"/>
        <v>8.344434530923206E-2</v>
      </c>
      <c r="J12" s="114">
        <f>'Rate Support-Attachment I'!F14</f>
        <v>27876411.267933749</v>
      </c>
      <c r="K12" s="115">
        <f t="shared" si="2"/>
        <v>15803907.449690647</v>
      </c>
      <c r="L12" s="113">
        <f t="shared" si="3"/>
        <v>3.7995111092320275E-2</v>
      </c>
      <c r="M12" s="112">
        <f>'#11-St. Agnes Hospital'!$F$111</f>
        <v>17827207.693</v>
      </c>
    </row>
    <row r="13" spans="1:13">
      <c r="A13" s="61">
        <v>12</v>
      </c>
      <c r="B13" s="54" t="s">
        <v>292</v>
      </c>
      <c r="C13" s="112">
        <f>'#12-Sinai'!$C$7</f>
        <v>4713</v>
      </c>
      <c r="D13" s="112">
        <f>'#12-Sinai'!$F$108</f>
        <v>7643</v>
      </c>
      <c r="E13" s="112">
        <f>'#12-Sinai'!$F$121</f>
        <v>690482000</v>
      </c>
      <c r="F13" s="112">
        <f>'#12-Sinai'!$K$152</f>
        <v>50421644.302000001</v>
      </c>
      <c r="G13" s="114">
        <f>'ACA Expansion Expense'!H14</f>
        <v>2384635</v>
      </c>
      <c r="H13" s="860">
        <f t="shared" si="0"/>
        <v>52806279.302000001</v>
      </c>
      <c r="I13" s="729">
        <f t="shared" si="1"/>
        <v>7.3023835960966399E-2</v>
      </c>
      <c r="J13" s="114">
        <f>'Rate Support-Attachment I'!F15</f>
        <v>20836926.985460494</v>
      </c>
      <c r="K13" s="115">
        <f t="shared" si="2"/>
        <v>31969352.316539507</v>
      </c>
      <c r="L13" s="113">
        <f t="shared" si="3"/>
        <v>4.6300051726966822E-2</v>
      </c>
      <c r="M13" s="112">
        <f>'#12-Sinai'!$F$111</f>
        <v>4172967</v>
      </c>
    </row>
    <row r="14" spans="1:13">
      <c r="A14" s="61">
        <v>13</v>
      </c>
      <c r="B14" s="54" t="s">
        <v>203</v>
      </c>
      <c r="C14" s="112">
        <f>'#13-Bon Secours'!$C$7</f>
        <v>725</v>
      </c>
      <c r="D14" s="112">
        <f>'#13-Bon Secours'!$F$108</f>
        <v>0</v>
      </c>
      <c r="E14" s="112">
        <f>'#13-Bon Secours'!$F$121</f>
        <v>111386997</v>
      </c>
      <c r="F14" s="112">
        <f>'#13-Bon Secours'!$K$152</f>
        <v>9648218</v>
      </c>
      <c r="G14" s="114">
        <f>'ACA Expansion Expense'!H15</f>
        <v>-824401.5</v>
      </c>
      <c r="H14" s="860">
        <f t="shared" si="0"/>
        <v>8823816.5</v>
      </c>
      <c r="I14" s="729">
        <f t="shared" si="1"/>
        <v>8.6618889635744462E-2</v>
      </c>
      <c r="J14" s="114">
        <f>'Rate Support-Attachment I'!F16</f>
        <v>5920038.2878585672</v>
      </c>
      <c r="K14" s="115">
        <f t="shared" si="2"/>
        <v>2903778.2121414328</v>
      </c>
      <c r="L14" s="113">
        <f t="shared" si="3"/>
        <v>2.6069274604300832E-2</v>
      </c>
      <c r="M14" s="112">
        <f>'#13-Bon Secours'!$F$111</f>
        <v>2390079</v>
      </c>
    </row>
    <row r="15" spans="1:13">
      <c r="A15" s="61">
        <v>15</v>
      </c>
      <c r="B15" s="54" t="s">
        <v>293</v>
      </c>
      <c r="C15" s="112">
        <f>'#15-MedStar Franklin Square'!$C$7</f>
        <v>3426</v>
      </c>
      <c r="D15" s="112">
        <f>'#15-MedStar Franklin Square'!$F$108</f>
        <v>2714</v>
      </c>
      <c r="E15" s="112">
        <f>'#15-MedStar Franklin Square'!$F$121</f>
        <v>486989680</v>
      </c>
      <c r="F15" s="112">
        <f>'#15-MedStar Franklin Square'!$K$152</f>
        <v>29884752</v>
      </c>
      <c r="G15" s="114">
        <f>'ACA Expansion Expense'!H16</f>
        <v>5209403</v>
      </c>
      <c r="H15" s="860">
        <f t="shared" si="0"/>
        <v>35094155</v>
      </c>
      <c r="I15" s="729">
        <f t="shared" si="1"/>
        <v>6.1366294250835049E-2</v>
      </c>
      <c r="J15" s="114">
        <f>'Rate Support-Attachment I'!F17</f>
        <v>18921720.925259765</v>
      </c>
      <c r="K15" s="115">
        <f t="shared" si="2"/>
        <v>16172434.074740235</v>
      </c>
      <c r="L15" s="113">
        <f t="shared" si="3"/>
        <v>3.3208987251516775E-2</v>
      </c>
      <c r="M15" s="112">
        <f>'#15-MedStar Franklin Square'!$F$111</f>
        <v>6028378</v>
      </c>
    </row>
    <row r="16" spans="1:13">
      <c r="A16" s="61">
        <v>16</v>
      </c>
      <c r="B16" s="387" t="s">
        <v>695</v>
      </c>
      <c r="C16" s="112">
        <f>'#16-Washington Adventist'!$C$7</f>
        <v>1354</v>
      </c>
      <c r="D16" s="112">
        <f>'#16-Washington Adventist'!$F$108</f>
        <v>4256.2468952321578</v>
      </c>
      <c r="E16" s="112">
        <f>'#16-Washington Adventist'!$F$121</f>
        <v>213524356</v>
      </c>
      <c r="F16" s="112">
        <f>'#16-Washington Adventist'!$K$152</f>
        <v>36176232.479814164</v>
      </c>
      <c r="G16" s="114">
        <f>'ACA Expansion Expense'!H17</f>
        <v>3074905</v>
      </c>
      <c r="H16" s="860">
        <f t="shared" si="0"/>
        <v>39251137.479814164</v>
      </c>
      <c r="I16" s="729">
        <f t="shared" si="1"/>
        <v>0.16942438397900689</v>
      </c>
      <c r="J16" s="114">
        <f>'Rate Support-Attachment I'!F18</f>
        <v>18777652.981749818</v>
      </c>
      <c r="K16" s="115">
        <f t="shared" si="2"/>
        <v>20473484.498064347</v>
      </c>
      <c r="L16" s="113">
        <f t="shared" si="3"/>
        <v>9.5883602609082907E-2</v>
      </c>
      <c r="M16" s="112">
        <f>'#16-Washington Adventist'!$F$111</f>
        <v>9217135.790000001</v>
      </c>
    </row>
    <row r="17" spans="1:13">
      <c r="A17" s="61">
        <v>17</v>
      </c>
      <c r="B17" s="67" t="s">
        <v>295</v>
      </c>
      <c r="C17" s="112">
        <f>'#17-Garrett County Memorial'!$C$7</f>
        <v>363</v>
      </c>
      <c r="D17" s="112">
        <f>'#17-Garrett County Memorial'!$F$108</f>
        <v>45</v>
      </c>
      <c r="E17" s="112">
        <f>'#17-Garrett County Memorial'!$F$121</f>
        <v>38506317</v>
      </c>
      <c r="F17" s="112">
        <f>'#17-Garrett County Memorial'!$K$152</f>
        <v>3316683.0866226</v>
      </c>
      <c r="G17" s="114">
        <f>'ACA Expansion Expense'!H18</f>
        <v>187988</v>
      </c>
      <c r="H17" s="860">
        <f t="shared" si="0"/>
        <v>3504671.0866226</v>
      </c>
      <c r="I17" s="729">
        <f t="shared" si="1"/>
        <v>8.613348003712222E-2</v>
      </c>
      <c r="J17" s="114">
        <f>'Rate Support-Attachment I'!F19</f>
        <v>2845444.9965130896</v>
      </c>
      <c r="K17" s="115">
        <f t="shared" si="2"/>
        <v>659226.09010951035</v>
      </c>
      <c r="L17" s="113">
        <f t="shared" si="3"/>
        <v>1.7119946581998748E-2</v>
      </c>
      <c r="M17" s="112">
        <f>'#17-Garrett County Memorial'!$F$111</f>
        <v>2561792</v>
      </c>
    </row>
    <row r="18" spans="1:13">
      <c r="A18" s="61">
        <v>18</v>
      </c>
      <c r="B18" s="54" t="s">
        <v>296</v>
      </c>
      <c r="C18" s="112">
        <f>'#18-MedStar Montgomery General'!$C$7</f>
        <v>1340</v>
      </c>
      <c r="D18" s="112">
        <f>'#18-MedStar Montgomery General'!$F$108</f>
        <v>200</v>
      </c>
      <c r="E18" s="112">
        <f>'#18-MedStar Montgomery General'!$F$121</f>
        <v>148463817</v>
      </c>
      <c r="F18" s="112">
        <f>'#18-MedStar Montgomery General'!$K$152</f>
        <v>7225262</v>
      </c>
      <c r="G18" s="114">
        <f>'ACA Expansion Expense'!H19</f>
        <v>1070598</v>
      </c>
      <c r="H18" s="860">
        <f t="shared" si="0"/>
        <v>8295860</v>
      </c>
      <c r="I18" s="729">
        <f t="shared" si="1"/>
        <v>4.8666820953417893E-2</v>
      </c>
      <c r="J18" s="114">
        <f>'Rate Support-Attachment I'!F20</f>
        <v>4328298.5506887147</v>
      </c>
      <c r="K18" s="115">
        <f t="shared" si="2"/>
        <v>3967561.4493112853</v>
      </c>
      <c r="L18" s="113">
        <f t="shared" si="3"/>
        <v>2.6724097018947623E-2</v>
      </c>
      <c r="M18" s="112">
        <f>'#18-MedStar Montgomery General'!$F$111</f>
        <v>3172151</v>
      </c>
    </row>
    <row r="19" spans="1:13">
      <c r="A19" s="61">
        <v>19</v>
      </c>
      <c r="B19" s="54" t="s">
        <v>297</v>
      </c>
      <c r="C19" s="112">
        <f>'#19-Peninsula Regional'!$C$7</f>
        <v>2639</v>
      </c>
      <c r="D19" s="112">
        <f>'#19-Peninsula Regional'!$F$108</f>
        <v>203</v>
      </c>
      <c r="E19" s="112">
        <f>'#19-Peninsula Regional'!$F$121</f>
        <v>378327991</v>
      </c>
      <c r="F19" s="112">
        <f>'#19-Peninsula Regional'!$K$152</f>
        <v>33681798.228</v>
      </c>
      <c r="G19" s="114">
        <f>'ACA Expansion Expense'!H20</f>
        <v>2856268</v>
      </c>
      <c r="H19" s="860">
        <f t="shared" si="0"/>
        <v>36538066.228</v>
      </c>
      <c r="I19" s="729">
        <f t="shared" si="1"/>
        <v>8.902803659589649E-2</v>
      </c>
      <c r="J19" s="114">
        <f>'Rate Support-Attachment I'!F21</f>
        <v>9045967.0233652126</v>
      </c>
      <c r="K19" s="115">
        <f t="shared" si="2"/>
        <v>27492099.204634786</v>
      </c>
      <c r="L19" s="113">
        <f t="shared" si="3"/>
        <v>7.2667367624498033E-2</v>
      </c>
      <c r="M19" s="112">
        <f>'#19-Peninsula Regional'!$F$111</f>
        <v>6622800</v>
      </c>
    </row>
    <row r="20" spans="1:13" s="775" customFormat="1">
      <c r="A20" s="774">
        <v>22</v>
      </c>
      <c r="B20" s="775" t="s">
        <v>298</v>
      </c>
      <c r="C20" s="777">
        <f>'#22-Suburban'!$C$7</f>
        <v>1776</v>
      </c>
      <c r="D20" s="777">
        <f>'#22-Suburban'!$F$108</f>
        <v>846.34299999999996</v>
      </c>
      <c r="E20" s="777">
        <f>'#22-Suburban'!$F$121</f>
        <v>263831000</v>
      </c>
      <c r="F20" s="777">
        <f>'#22-Suburban'!$K$152</f>
        <v>21373204.379256986</v>
      </c>
      <c r="G20" s="114">
        <f>'ACA Expansion Expense'!H21</f>
        <v>1343697</v>
      </c>
      <c r="H20" s="860">
        <f t="shared" si="0"/>
        <v>22716901.379256986</v>
      </c>
      <c r="I20" s="778">
        <f t="shared" si="1"/>
        <v>8.1010966790320271E-2</v>
      </c>
      <c r="J20" s="779">
        <f>'Rate Support-Attachment I'!F22</f>
        <v>5784551.1129817329</v>
      </c>
      <c r="K20" s="115">
        <f t="shared" si="2"/>
        <v>16932350.266275253</v>
      </c>
      <c r="L20" s="780">
        <f t="shared" si="3"/>
        <v>6.4178774542321612E-2</v>
      </c>
      <c r="M20" s="777">
        <f>'#22-Suburban'!$F$111</f>
        <v>4093000</v>
      </c>
    </row>
    <row r="21" spans="1:13" s="775" customFormat="1">
      <c r="A21" s="774">
        <v>23</v>
      </c>
      <c r="B21" s="775" t="s">
        <v>299</v>
      </c>
      <c r="C21" s="777">
        <f>'#23-AAMC'!$C$7</f>
        <v>0</v>
      </c>
      <c r="D21" s="777">
        <f>'#23-AAMC'!$F$108</f>
        <v>3459</v>
      </c>
      <c r="E21" s="777">
        <f>'#23-AAMC'!$F$121</f>
        <v>520531000</v>
      </c>
      <c r="F21" s="777">
        <f>'#23-AAMC'!$K$152</f>
        <v>40713388.001199998</v>
      </c>
      <c r="G21" s="114">
        <f>'ACA Expansion Expense'!H22</f>
        <v>2056020</v>
      </c>
      <c r="H21" s="860">
        <f t="shared" si="0"/>
        <v>42769408.001199998</v>
      </c>
      <c r="I21" s="778">
        <f t="shared" si="1"/>
        <v>7.8215107267770798E-2</v>
      </c>
      <c r="J21" s="779">
        <f>'Rate Support-Attachment I'!F23</f>
        <v>4356511.3129556766</v>
      </c>
      <c r="K21" s="115">
        <f t="shared" si="2"/>
        <v>38412896.68824432</v>
      </c>
      <c r="L21" s="780">
        <f t="shared" si="3"/>
        <v>7.3795598510452448E-2</v>
      </c>
      <c r="M21" s="777">
        <f>'#23-AAMC'!$F$111</f>
        <v>2703700</v>
      </c>
    </row>
    <row r="22" spans="1:13">
      <c r="A22" s="61">
        <v>24</v>
      </c>
      <c r="B22" s="54" t="s">
        <v>300</v>
      </c>
      <c r="C22" s="112">
        <f>'#24-MedStar Union Memorial'!$C$7</f>
        <v>2369</v>
      </c>
      <c r="D22" s="112">
        <f>'#24-MedStar Union Memorial'!$F$108</f>
        <v>40</v>
      </c>
      <c r="E22" s="112">
        <f>'#24-MedStar Union Memorial'!$F$121</f>
        <v>420732086.70999998</v>
      </c>
      <c r="F22" s="112">
        <f>'#24-MedStar Union Memorial'!$K$152</f>
        <v>33392443.710000001</v>
      </c>
      <c r="G22" s="114">
        <f>'ACA Expansion Expense'!H23</f>
        <v>3875916.5</v>
      </c>
      <c r="H22" s="860">
        <f t="shared" si="0"/>
        <v>37268360.210000001</v>
      </c>
      <c r="I22" s="729">
        <f t="shared" si="1"/>
        <v>7.9367475799430931E-2</v>
      </c>
      <c r="J22" s="114">
        <f>'Rate Support-Attachment I'!F24</f>
        <v>18354696.664536677</v>
      </c>
      <c r="K22" s="115">
        <f t="shared" si="2"/>
        <v>18913663.545463324</v>
      </c>
      <c r="L22" s="113">
        <f t="shared" si="3"/>
        <v>4.4954174266485257E-2</v>
      </c>
      <c r="M22" s="112">
        <f>'#24-MedStar Union Memorial'!$F$111</f>
        <v>4022477.38</v>
      </c>
    </row>
    <row r="23" spans="1:13">
      <c r="A23" s="61">
        <v>27</v>
      </c>
      <c r="B23" s="54" t="s">
        <v>301</v>
      </c>
      <c r="C23" s="112">
        <f>'#27-Western Maryland Regional'!$C$7</f>
        <v>1826</v>
      </c>
      <c r="D23" s="112">
        <f>'#27-Western Maryland Regional'!$F$108</f>
        <v>245</v>
      </c>
      <c r="E23" s="112">
        <f>'#27-Western Maryland Regional'!$F$121</f>
        <v>290767947</v>
      </c>
      <c r="F23" s="112">
        <f>'#27-Western Maryland Regional'!$K$152</f>
        <v>36954026.219014004</v>
      </c>
      <c r="G23" s="114">
        <f>'ACA Expansion Expense'!H24</f>
        <v>1439182</v>
      </c>
      <c r="H23" s="860">
        <f t="shared" si="0"/>
        <v>38393208.219014004</v>
      </c>
      <c r="I23" s="729">
        <f t="shared" si="1"/>
        <v>0.12709112747910278</v>
      </c>
      <c r="J23" s="114">
        <f>'Rate Support-Attachment I'!F25</f>
        <v>10745142.736920122</v>
      </c>
      <c r="K23" s="115">
        <f t="shared" si="2"/>
        <v>27648065.482093882</v>
      </c>
      <c r="L23" s="113">
        <f t="shared" si="3"/>
        <v>9.5086359302505516E-2</v>
      </c>
      <c r="M23" s="112">
        <f>'#27-Western Maryland Regional'!$F$111</f>
        <v>9705306</v>
      </c>
    </row>
    <row r="24" spans="1:13">
      <c r="A24" s="61">
        <v>28</v>
      </c>
      <c r="B24" s="54" t="s">
        <v>302</v>
      </c>
      <c r="C24" s="112">
        <f>'#28-MedStar St. Marys'!$C$7</f>
        <v>1200</v>
      </c>
      <c r="D24" s="112">
        <f>'#28-MedStar St. Marys'!$F$108</f>
        <v>8720</v>
      </c>
      <c r="E24" s="112">
        <f>'#28-MedStar St. Marys'!$F$121</f>
        <v>139396080</v>
      </c>
      <c r="F24" s="112">
        <f>'#28-MedStar St. Marys'!$K$152</f>
        <v>9866196</v>
      </c>
      <c r="G24" s="114">
        <f>'ACA Expansion Expense'!H25</f>
        <v>1071769.5</v>
      </c>
      <c r="H24" s="860">
        <f t="shared" si="0"/>
        <v>10937965.5</v>
      </c>
      <c r="I24" s="729">
        <f t="shared" si="1"/>
        <v>7.0778145267786585E-2</v>
      </c>
      <c r="J24" s="114">
        <f>'Rate Support-Attachment I'!F26</f>
        <v>2260134.1407355331</v>
      </c>
      <c r="K24" s="115">
        <f t="shared" si="2"/>
        <v>8677831.3592644669</v>
      </c>
      <c r="L24" s="113">
        <f t="shared" si="3"/>
        <v>6.2253051586992021E-2</v>
      </c>
      <c r="M24" s="112">
        <f>'#28-MedStar St. Marys'!$F$111</f>
        <v>1782643</v>
      </c>
    </row>
    <row r="25" spans="1:13" s="775" customFormat="1">
      <c r="A25" s="774">
        <v>29</v>
      </c>
      <c r="B25" s="775" t="s">
        <v>303</v>
      </c>
      <c r="C25" s="777">
        <f>'#29-JH Bayview'!$C$7</f>
        <v>3392</v>
      </c>
      <c r="D25" s="777">
        <f>'#29-JH Bayview'!$F$108</f>
        <v>1025</v>
      </c>
      <c r="E25" s="777">
        <f>'#29-JH Bayview'!$F$121</f>
        <v>563029000</v>
      </c>
      <c r="F25" s="777">
        <f>'#29-JH Bayview'!$K$152</f>
        <v>53566258</v>
      </c>
      <c r="G25" s="114">
        <f>'ACA Expansion Expense'!H26</f>
        <v>3197265.5</v>
      </c>
      <c r="H25" s="860">
        <f t="shared" si="0"/>
        <v>56763523.5</v>
      </c>
      <c r="I25" s="778">
        <f t="shared" si="1"/>
        <v>9.5139429762942943E-2</v>
      </c>
      <c r="J25" s="779">
        <f>'Rate Support-Attachment I'!F27</f>
        <v>40406307.078704149</v>
      </c>
      <c r="K25" s="115">
        <f t="shared" si="2"/>
        <v>16357216.421295851</v>
      </c>
      <c r="L25" s="780">
        <f t="shared" si="3"/>
        <v>2.9052173904533962E-2</v>
      </c>
      <c r="M25" s="777">
        <f>'#29-JH Bayview'!$F$111</f>
        <v>16531000</v>
      </c>
    </row>
    <row r="26" spans="1:13">
      <c r="A26" s="61">
        <v>30</v>
      </c>
      <c r="B26" s="54" t="s">
        <v>304</v>
      </c>
      <c r="C26" s="112">
        <f>'#30-UM Shore Health Chestertown'!$C$7</f>
        <v>330</v>
      </c>
      <c r="D26" s="112">
        <f>'#30-UM Shore Health Chestertown'!$F$108</f>
        <v>742</v>
      </c>
      <c r="E26" s="112">
        <f>'#30-UM Shore Health Chestertown'!$F$121</f>
        <v>49362348</v>
      </c>
      <c r="F26" s="112">
        <f>'#30-UM Shore Health Chestertown'!$K$152</f>
        <v>8186909.6853828197</v>
      </c>
      <c r="G26" s="114">
        <f>'ACA Expansion Expense'!H27</f>
        <v>671314.5</v>
      </c>
      <c r="H26" s="860">
        <f t="shared" si="0"/>
        <v>8858224.1853828207</v>
      </c>
      <c r="I26" s="729">
        <f t="shared" si="1"/>
        <v>0.16585332783162623</v>
      </c>
      <c r="J26" s="114">
        <f>'Rate Support-Attachment I'!F28</f>
        <v>1577115.8054815445</v>
      </c>
      <c r="K26" s="115">
        <f t="shared" si="2"/>
        <v>7281108.379901276</v>
      </c>
      <c r="L26" s="113">
        <f t="shared" si="3"/>
        <v>0.14750328286452816</v>
      </c>
      <c r="M26" s="112">
        <f>'#30-UM Shore Health Chestertown'!$F$111</f>
        <v>1230831</v>
      </c>
    </row>
    <row r="27" spans="1:13">
      <c r="A27" s="61">
        <v>32</v>
      </c>
      <c r="B27" s="54" t="s">
        <v>305</v>
      </c>
      <c r="C27" s="112">
        <f>'#32-Union Hospital Cecil Co'!$C$7</f>
        <v>1082</v>
      </c>
      <c r="D27" s="112">
        <f>'#32-Union Hospital Cecil Co'!$F$108</f>
        <v>2188.5</v>
      </c>
      <c r="E27" s="112">
        <f>'#32-Union Hospital Cecil Co'!$F$121</f>
        <v>150962001</v>
      </c>
      <c r="F27" s="112">
        <f>'#32-Union Hospital Cecil Co'!$K$152</f>
        <v>7690587</v>
      </c>
      <c r="G27" s="114">
        <f>'ACA Expansion Expense'!H28</f>
        <v>1893165</v>
      </c>
      <c r="H27" s="860">
        <f t="shared" si="0"/>
        <v>9583752</v>
      </c>
      <c r="I27" s="729">
        <f t="shared" si="1"/>
        <v>5.0943859706788067E-2</v>
      </c>
      <c r="J27" s="114">
        <f>'Rate Support-Attachment I'!F29</f>
        <v>1281250.7680724801</v>
      </c>
      <c r="K27" s="115">
        <f t="shared" si="2"/>
        <v>8302501.2319275197</v>
      </c>
      <c r="L27" s="113">
        <f t="shared" si="3"/>
        <v>5.499729188093843E-2</v>
      </c>
      <c r="M27" s="112">
        <f>'#32-Union Hospital Cecil Co'!$F$111</f>
        <v>833308</v>
      </c>
    </row>
    <row r="28" spans="1:13">
      <c r="A28" s="61">
        <v>33</v>
      </c>
      <c r="B28" s="54" t="s">
        <v>306</v>
      </c>
      <c r="C28" s="112">
        <f>'#33-Carroll Hospital Center'!$C$7</f>
        <v>2179</v>
      </c>
      <c r="D28" s="112">
        <f>'#33-Carroll Hospital Center'!$F$108</f>
        <v>2100</v>
      </c>
      <c r="E28" s="112">
        <f>'#33-Carroll Hospital Center'!$F$121</f>
        <v>219182979</v>
      </c>
      <c r="F28" s="112">
        <f>'#33-Carroll Hospital Center'!$K$152</f>
        <v>15118005.914682779</v>
      </c>
      <c r="G28" s="114">
        <f>'ACA Expansion Expense'!H29</f>
        <v>1962553</v>
      </c>
      <c r="H28" s="860">
        <f t="shared" si="0"/>
        <v>17080558.914682779</v>
      </c>
      <c r="I28" s="729">
        <f t="shared" si="1"/>
        <v>6.8974360982121605E-2</v>
      </c>
      <c r="J28" s="114">
        <f>'Rate Support-Attachment I'!F30</f>
        <v>2826863.2002062406</v>
      </c>
      <c r="K28" s="115">
        <f t="shared" si="2"/>
        <v>14253695.714476539</v>
      </c>
      <c r="L28" s="113">
        <f t="shared" si="3"/>
        <v>6.5031033794264378E-2</v>
      </c>
      <c r="M28" s="112">
        <f>'#33-Carroll Hospital Center'!$F$111</f>
        <v>1228796</v>
      </c>
    </row>
    <row r="29" spans="1:13">
      <c r="A29" s="61">
        <v>34</v>
      </c>
      <c r="B29" s="54" t="s">
        <v>307</v>
      </c>
      <c r="C29" s="112">
        <f>'#34-MedStar Harbor Hospital'!$C$7</f>
        <v>1185</v>
      </c>
      <c r="D29" s="112">
        <f>'#34-MedStar Harbor Hospital'!$F$108</f>
        <v>198</v>
      </c>
      <c r="E29" s="112">
        <f>'#34-MedStar Harbor Hospital'!$F$121</f>
        <v>191580981</v>
      </c>
      <c r="F29" s="112">
        <f>'#34-MedStar Harbor Hospital'!$K$152</f>
        <v>19108297</v>
      </c>
      <c r="G29" s="114">
        <f>'ACA Expansion Expense'!H30</f>
        <v>2059139</v>
      </c>
      <c r="H29" s="860">
        <f t="shared" si="0"/>
        <v>21167436</v>
      </c>
      <c r="I29" s="729">
        <f t="shared" si="1"/>
        <v>9.9740051962673687E-2</v>
      </c>
      <c r="J29" s="114">
        <f>'Rate Support-Attachment I'!F31</f>
        <v>9213786.398276668</v>
      </c>
      <c r="K29" s="115">
        <f t="shared" si="2"/>
        <v>11953649.601723332</v>
      </c>
      <c r="L29" s="113">
        <f t="shared" si="3"/>
        <v>6.2394761418010133E-2</v>
      </c>
      <c r="M29" s="112">
        <f>'#34-MedStar Harbor Hospital'!$F$111</f>
        <v>2859045</v>
      </c>
    </row>
    <row r="30" spans="1:13">
      <c r="A30" s="61">
        <v>35</v>
      </c>
      <c r="B30" s="54" t="s">
        <v>308</v>
      </c>
      <c r="C30" s="112">
        <f>'#35-UM Charles Regional'!$C$7</f>
        <v>890</v>
      </c>
      <c r="D30" s="112">
        <f>'#35-UM Charles Regional'!$F$108</f>
        <v>1670</v>
      </c>
      <c r="E30" s="112">
        <f>'#35-UM Charles Regional'!$F$121</f>
        <v>109684000</v>
      </c>
      <c r="F30" s="112">
        <f>'#35-UM Charles Regional'!$K$152</f>
        <v>11036988</v>
      </c>
      <c r="G30" s="114">
        <f>'ACA Expansion Expense'!H31</f>
        <v>718577</v>
      </c>
      <c r="H30" s="860">
        <f t="shared" si="0"/>
        <v>11755565</v>
      </c>
      <c r="I30" s="729">
        <f t="shared" si="1"/>
        <v>0.10062532365705117</v>
      </c>
      <c r="J30" s="114">
        <f>'Rate Support-Attachment I'!F32</f>
        <v>2222251.77833645</v>
      </c>
      <c r="K30" s="115">
        <f t="shared" si="2"/>
        <v>9533313.2216635495</v>
      </c>
      <c r="L30" s="113">
        <f t="shared" si="3"/>
        <v>8.6916170286126956E-2</v>
      </c>
      <c r="M30" s="112">
        <f>'#35-UM Charles Regional'!$F$111</f>
        <v>1464645</v>
      </c>
    </row>
    <row r="31" spans="1:13">
      <c r="A31" s="61">
        <v>37</v>
      </c>
      <c r="B31" s="54" t="s">
        <v>309</v>
      </c>
      <c r="C31" s="112">
        <f>'#37-UM Shore Health Easton'!$C$7</f>
        <v>1353</v>
      </c>
      <c r="D31" s="112">
        <f>'#37-UM Shore Health Easton'!$F$108</f>
        <v>960</v>
      </c>
      <c r="E31" s="112">
        <f>'#37-UM Shore Health Easton'!$F$121</f>
        <v>169250126</v>
      </c>
      <c r="F31" s="112">
        <f>'#37-UM Shore Health Easton'!$K$152</f>
        <v>15738036.040801466</v>
      </c>
      <c r="G31" s="114">
        <f>'ACA Expansion Expense'!H32</f>
        <v>1851904</v>
      </c>
      <c r="H31" s="860">
        <f t="shared" si="0"/>
        <v>17589940.040801466</v>
      </c>
      <c r="I31" s="729">
        <f t="shared" si="1"/>
        <v>9.2986849775234234E-2</v>
      </c>
      <c r="J31" s="114">
        <f>'Rate Support-Attachment I'!F33</f>
        <v>3944527.802161437</v>
      </c>
      <c r="K31" s="115">
        <f t="shared" si="2"/>
        <v>13645412.238640029</v>
      </c>
      <c r="L31" s="113">
        <f t="shared" si="3"/>
        <v>8.0622759705597083E-2</v>
      </c>
      <c r="M31" s="112">
        <f>'#37-UM Shore Health Easton'!$F$111</f>
        <v>4177836.0000000005</v>
      </c>
    </row>
    <row r="32" spans="1:13">
      <c r="A32" s="61">
        <v>38</v>
      </c>
      <c r="B32" s="54" t="s">
        <v>310</v>
      </c>
      <c r="C32" s="112" t="str">
        <f>'#38-UM Midtown'!$C$7</f>
        <v>1480</v>
      </c>
      <c r="D32" s="112">
        <f>'#38-UM Midtown'!$F$108</f>
        <v>312</v>
      </c>
      <c r="E32" s="112">
        <f>'#38-UM Midtown'!$F$121</f>
        <v>192081024.80000001</v>
      </c>
      <c r="F32" s="112">
        <f>'#38-UM Midtown'!$K$152</f>
        <v>38357586.330876403</v>
      </c>
      <c r="G32" s="114">
        <f>'ACA Expansion Expense'!H33</f>
        <v>4490175.5</v>
      </c>
      <c r="H32" s="860">
        <f t="shared" si="0"/>
        <v>42847761.830876403</v>
      </c>
      <c r="I32" s="729">
        <f t="shared" si="1"/>
        <v>0.19969482342576714</v>
      </c>
      <c r="J32" s="114">
        <f>'Rate Support-Attachment I'!F34</f>
        <v>16181811.688567739</v>
      </c>
      <c r="K32" s="115">
        <f t="shared" si="2"/>
        <v>26665950.142308664</v>
      </c>
      <c r="L32" s="113">
        <f t="shared" si="3"/>
        <v>0.13882657159953191</v>
      </c>
      <c r="M32" s="112">
        <f>'#38-UM Midtown'!$F$111</f>
        <v>13771000</v>
      </c>
    </row>
    <row r="33" spans="1:13">
      <c r="A33" s="61">
        <v>39</v>
      </c>
      <c r="B33" s="54" t="s">
        <v>311</v>
      </c>
      <c r="C33" s="112">
        <f>'#39-Calvert Memorial'!$C$7</f>
        <v>1105</v>
      </c>
      <c r="D33" s="112">
        <f>'#39-Calvert Memorial'!$F$108</f>
        <v>13</v>
      </c>
      <c r="E33" s="112">
        <f>'#39-Calvert Memorial'!$F$121</f>
        <v>124536666</v>
      </c>
      <c r="F33" s="112">
        <f>'#39-Calvert Memorial'!$K$152</f>
        <v>16781438</v>
      </c>
      <c r="G33" s="114">
        <f>'ACA Expansion Expense'!H34</f>
        <v>930667</v>
      </c>
      <c r="H33" s="860">
        <f t="shared" si="0"/>
        <v>17712105</v>
      </c>
      <c r="I33" s="729">
        <f t="shared" si="1"/>
        <v>0.13475098169080582</v>
      </c>
      <c r="J33" s="114">
        <f>'Rate Support-Attachment I'!F35</f>
        <v>6338420.5742040807</v>
      </c>
      <c r="K33" s="115">
        <f t="shared" si="2"/>
        <v>11373684.42579592</v>
      </c>
      <c r="L33" s="113">
        <f t="shared" si="3"/>
        <v>9.1327998340632627E-2</v>
      </c>
      <c r="M33" s="112">
        <f>'#39-Calvert Memorial'!$F$111</f>
        <v>3943515</v>
      </c>
    </row>
    <row r="34" spans="1:13">
      <c r="A34" s="61">
        <v>40</v>
      </c>
      <c r="B34" s="54" t="s">
        <v>312</v>
      </c>
      <c r="C34" s="112">
        <f>'#40-Lifebridge Northwest'!$C$7</f>
        <v>1658</v>
      </c>
      <c r="D34" s="112">
        <f>'#40-Lifebridge Northwest'!$F$108</f>
        <v>481</v>
      </c>
      <c r="E34" s="112">
        <f>'#40-Lifebridge Northwest'!$F$121</f>
        <v>217152668</v>
      </c>
      <c r="F34" s="112">
        <f>'#40-Lifebridge Northwest'!$K$152</f>
        <v>15826911.102499999</v>
      </c>
      <c r="G34" s="114">
        <f>'ACA Expansion Expense'!H35</f>
        <v>1512284.5</v>
      </c>
      <c r="H34" s="860">
        <f t="shared" si="0"/>
        <v>17339195.602499999</v>
      </c>
      <c r="I34" s="729">
        <f t="shared" si="1"/>
        <v>7.2883797598563227E-2</v>
      </c>
      <c r="J34" s="114">
        <f>'Rate Support-Attachment I'!F36</f>
        <v>4127116.9916594876</v>
      </c>
      <c r="K34" s="115">
        <f t="shared" si="2"/>
        <v>13212078.610840511</v>
      </c>
      <c r="L34" s="113">
        <f t="shared" si="3"/>
        <v>6.0842349912276973E-2</v>
      </c>
      <c r="M34" s="112">
        <f>'#40-Lifebridge Northwest'!$F$111</f>
        <v>3226996</v>
      </c>
    </row>
    <row r="35" spans="1:13">
      <c r="A35" s="61">
        <v>43</v>
      </c>
      <c r="B35" s="54" t="s">
        <v>313</v>
      </c>
      <c r="C35" s="112">
        <f>'#43-UM BWMC'!$C$7</f>
        <v>2906</v>
      </c>
      <c r="D35" s="112">
        <f>'#43-UM BWMC'!$F$108</f>
        <v>2876</v>
      </c>
      <c r="E35" s="112">
        <f>'#43-UM BWMC'!$F$121</f>
        <v>328186000</v>
      </c>
      <c r="F35" s="112">
        <f>'#43-UM BWMC'!$K$152</f>
        <v>26584903.726358186</v>
      </c>
      <c r="G35" s="114">
        <f>'ACA Expansion Expense'!H36</f>
        <v>3599390.5</v>
      </c>
      <c r="H35" s="860">
        <f t="shared" ref="H35:H55" si="4">F35+G35</f>
        <v>30184294.226358186</v>
      </c>
      <c r="I35" s="729">
        <f t="shared" ref="I35:I55" si="5">F35/E35</f>
        <v>8.1005599648852136E-2</v>
      </c>
      <c r="J35" s="114">
        <f>'Rate Support-Attachment I'!F37</f>
        <v>11575367.793253511</v>
      </c>
      <c r="K35" s="115">
        <f t="shared" ref="K35:K55" si="6">H35-J35</f>
        <v>18608926.433104675</v>
      </c>
      <c r="L35" s="113">
        <f t="shared" ref="L35:L55" si="7">K35/E35</f>
        <v>5.6702377411299312E-2</v>
      </c>
      <c r="M35" s="112">
        <f>'#43-UM BWMC'!$F$111</f>
        <v>8041930</v>
      </c>
    </row>
    <row r="36" spans="1:13">
      <c r="A36" s="61">
        <v>44</v>
      </c>
      <c r="B36" s="54" t="s">
        <v>207</v>
      </c>
      <c r="C36" s="112">
        <f>'#44-GBMC'!$C$7</f>
        <v>2498</v>
      </c>
      <c r="D36" s="112">
        <f>'#44-GBMC'!$F$108</f>
        <v>6450</v>
      </c>
      <c r="E36" s="112">
        <f>'#44-GBMC'!$F$121</f>
        <v>392457000</v>
      </c>
      <c r="F36" s="112">
        <f>'#44-GBMC'!$K$152</f>
        <v>16166773.672046002</v>
      </c>
      <c r="G36" s="114">
        <f>'ACA Expansion Expense'!H37</f>
        <v>1020662</v>
      </c>
      <c r="H36" s="860">
        <f t="shared" si="4"/>
        <v>17187435.672046002</v>
      </c>
      <c r="I36" s="729">
        <f t="shared" si="5"/>
        <v>4.1193745230804907E-2</v>
      </c>
      <c r="J36" s="114">
        <f>'Rate Support-Attachment I'!F38</f>
        <v>7707465.0176642593</v>
      </c>
      <c r="K36" s="115">
        <f t="shared" si="6"/>
        <v>9479970.6543817427</v>
      </c>
      <c r="L36" s="113">
        <f t="shared" si="7"/>
        <v>2.4155437804349884E-2</v>
      </c>
      <c r="M36" s="112">
        <f>'#44-GBMC'!$F$111</f>
        <v>1674433</v>
      </c>
    </row>
    <row r="37" spans="1:13">
      <c r="A37" s="61">
        <v>45</v>
      </c>
      <c r="B37" s="54" t="s">
        <v>208</v>
      </c>
      <c r="C37" s="112">
        <f>'#45-McCready'!$C$7</f>
        <v>0</v>
      </c>
      <c r="D37" s="112">
        <f>'#45-McCready'!$F$108</f>
        <v>26</v>
      </c>
      <c r="E37" s="112">
        <f>'#45-McCready'!$F$121</f>
        <v>14814155</v>
      </c>
      <c r="F37" s="112">
        <f>'#45-McCready'!$K$152</f>
        <v>502427.02400000003</v>
      </c>
      <c r="G37" s="114">
        <f>'ACA Expansion Expense'!H38</f>
        <v>146795.5</v>
      </c>
      <c r="H37" s="860">
        <f t="shared" si="4"/>
        <v>649222.52399999998</v>
      </c>
      <c r="I37" s="729">
        <f t="shared" si="5"/>
        <v>3.391533462421583E-2</v>
      </c>
      <c r="J37" s="114">
        <f>'Rate Support-Attachment I'!F39</f>
        <v>234644.74085106948</v>
      </c>
      <c r="K37" s="115">
        <f t="shared" si="6"/>
        <v>414577.78314893052</v>
      </c>
      <c r="L37" s="113">
        <f t="shared" si="7"/>
        <v>2.7985246755480184E-2</v>
      </c>
      <c r="M37" s="112">
        <f>'#45-McCready'!$F$111</f>
        <v>278769</v>
      </c>
    </row>
    <row r="38" spans="1:13">
      <c r="A38" s="61">
        <v>48</v>
      </c>
      <c r="B38" s="54" t="s">
        <v>314</v>
      </c>
      <c r="C38" s="112">
        <f>'#48-Howard County'!$C$7</f>
        <v>1754</v>
      </c>
      <c r="D38" s="112">
        <f>'#48-Howard County'!$F$108</f>
        <v>1711.5</v>
      </c>
      <c r="E38" s="112">
        <f>'#48-Howard County'!$F$121</f>
        <v>237010000</v>
      </c>
      <c r="F38" s="112">
        <f>'#48-Howard County'!$K$152</f>
        <v>18479754.73878647</v>
      </c>
      <c r="G38" s="114">
        <f>'ACA Expansion Expense'!H39</f>
        <v>832540</v>
      </c>
      <c r="H38" s="860">
        <f t="shared" si="4"/>
        <v>19312294.73878647</v>
      </c>
      <c r="I38" s="729">
        <f t="shared" si="5"/>
        <v>7.7970358798305855E-2</v>
      </c>
      <c r="J38" s="114">
        <f>'Rate Support-Attachment I'!F40</f>
        <v>4657020.1763433926</v>
      </c>
      <c r="K38" s="115">
        <f t="shared" si="6"/>
        <v>14655274.562443078</v>
      </c>
      <c r="L38" s="113">
        <f t="shared" si="7"/>
        <v>6.1833992500076276E-2</v>
      </c>
      <c r="M38" s="112">
        <f>'#48-Howard County'!$F$111</f>
        <v>3169655.23</v>
      </c>
    </row>
    <row r="39" spans="1:13">
      <c r="A39" s="61">
        <v>49</v>
      </c>
      <c r="B39" s="54" t="s">
        <v>315</v>
      </c>
      <c r="C39" s="112">
        <f>'#49-UM Upper Chesapeake Medical'!$C$7</f>
        <v>2349</v>
      </c>
      <c r="D39" s="112">
        <f>'#49-UM Upper Chesapeake Medical'!$F$108</f>
        <v>1430.8</v>
      </c>
      <c r="E39" s="112">
        <f>'#49-UM Upper Chesapeake Medical'!$F$121</f>
        <v>241611000</v>
      </c>
      <c r="F39" s="112">
        <f>'#49-UM Upper Chesapeake Medical'!$K$152</f>
        <v>15230271.502979998</v>
      </c>
      <c r="G39" s="114">
        <f>'ACA Expansion Expense'!H40</f>
        <v>920017.5</v>
      </c>
      <c r="H39" s="860">
        <f t="shared" si="4"/>
        <v>16150289.002979998</v>
      </c>
      <c r="I39" s="729">
        <f t="shared" si="5"/>
        <v>6.3036333209084014E-2</v>
      </c>
      <c r="J39" s="114">
        <f>'Rate Support-Attachment I'!F41</f>
        <v>5011937.8694068613</v>
      </c>
      <c r="K39" s="115">
        <f t="shared" si="6"/>
        <v>11138351.133573137</v>
      </c>
      <c r="L39" s="113">
        <f t="shared" si="7"/>
        <v>4.6100347805245363E-2</v>
      </c>
      <c r="M39" s="112">
        <f>'#49-UM Upper Chesapeake Medical'!$F$111</f>
        <v>4942659</v>
      </c>
    </row>
    <row r="40" spans="1:13">
      <c r="A40" s="61">
        <v>51</v>
      </c>
      <c r="B40" s="67" t="s">
        <v>316</v>
      </c>
      <c r="C40" s="112">
        <f>'#51-Doctors Community Hospital'!$C$7</f>
        <v>1449</v>
      </c>
      <c r="D40" s="112">
        <f>'#51-Doctors Community Hospital'!$F$108</f>
        <v>162</v>
      </c>
      <c r="E40" s="112">
        <f>'#51-Doctors Community Hospital'!$F$121</f>
        <v>176703878</v>
      </c>
      <c r="F40" s="112">
        <f>'#51-Doctors Community Hospital'!$K$152</f>
        <v>15690214.300000001</v>
      </c>
      <c r="G40" s="114">
        <f>'ACA Expansion Expense'!H41</f>
        <v>2341520</v>
      </c>
      <c r="H40" s="860">
        <f t="shared" si="4"/>
        <v>18031734.300000001</v>
      </c>
      <c r="I40" s="729">
        <f t="shared" si="5"/>
        <v>8.8793831112184196E-2</v>
      </c>
      <c r="J40" s="114">
        <f>'Rate Support-Attachment I'!F42</f>
        <v>12986838.407453788</v>
      </c>
      <c r="K40" s="115">
        <f t="shared" si="6"/>
        <v>5044895.8925462123</v>
      </c>
      <c r="L40" s="113">
        <f t="shared" si="7"/>
        <v>2.8550000994014474E-2</v>
      </c>
      <c r="M40" s="112">
        <f>'#51-Doctors Community Hospital'!$F$111</f>
        <v>10947888</v>
      </c>
    </row>
    <row r="41" spans="1:13">
      <c r="A41" s="61">
        <v>55</v>
      </c>
      <c r="B41" s="54" t="s">
        <v>317</v>
      </c>
      <c r="C41" s="112">
        <f>'#55-Laurel Regional'!$C$7</f>
        <v>645</v>
      </c>
      <c r="D41" s="112">
        <f>'#55-Laurel Regional'!$F$108</f>
        <v>800</v>
      </c>
      <c r="E41" s="112">
        <f>'#55-Laurel Regional'!$F$121</f>
        <v>96291500</v>
      </c>
      <c r="F41" s="112">
        <f>'#55-Laurel Regional'!$K$152</f>
        <v>43392661.656300008</v>
      </c>
      <c r="G41" s="114">
        <f>'ACA Expansion Expense'!H42</f>
        <v>616813</v>
      </c>
      <c r="H41" s="860">
        <f t="shared" si="4"/>
        <v>44009474.656300008</v>
      </c>
      <c r="I41" s="729">
        <f t="shared" si="5"/>
        <v>0.45063854708151818</v>
      </c>
      <c r="J41" s="114">
        <f>'Rate Support-Attachment I'!F43</f>
        <v>6722320.9067273028</v>
      </c>
      <c r="K41" s="115">
        <f t="shared" si="6"/>
        <v>37287153.749572709</v>
      </c>
      <c r="L41" s="113">
        <f t="shared" si="7"/>
        <v>0.38723203761051295</v>
      </c>
      <c r="M41" s="112">
        <f>'#55-Laurel Regional'!$F$111</f>
        <v>4726000</v>
      </c>
    </row>
    <row r="42" spans="1:13">
      <c r="A42" s="61">
        <v>60</v>
      </c>
      <c r="B42" s="374" t="s">
        <v>693</v>
      </c>
      <c r="C42" s="112">
        <f>'#60-Fort Washington'!$C$7</f>
        <v>433</v>
      </c>
      <c r="D42" s="112">
        <f>'#60-Fort Washington'!$F$108</f>
        <v>0</v>
      </c>
      <c r="E42" s="112">
        <f>'#60-Fort Washington'!$F$121</f>
        <v>40859307</v>
      </c>
      <c r="F42" s="112">
        <f>'#60-Fort Washington'!$K$152</f>
        <v>1839676.27</v>
      </c>
      <c r="G42" s="114">
        <f>'ACA Expansion Expense'!H43</f>
        <v>151985.5</v>
      </c>
      <c r="H42" s="860">
        <f t="shared" si="4"/>
        <v>1991661.77</v>
      </c>
      <c r="I42" s="729">
        <f t="shared" si="5"/>
        <v>4.5024656683482177E-2</v>
      </c>
      <c r="J42" s="114">
        <f>'Rate Support-Attachment I'!F44</f>
        <v>1328080.4077894478</v>
      </c>
      <c r="K42" s="115">
        <f t="shared" si="6"/>
        <v>663581.36221055221</v>
      </c>
      <c r="L42" s="113">
        <f t="shared" si="7"/>
        <v>1.6240641629349028E-2</v>
      </c>
      <c r="M42" s="112">
        <f>'#60-Fort Washington'!$F$111</f>
        <v>1455012</v>
      </c>
    </row>
    <row r="43" spans="1:13">
      <c r="A43" s="61">
        <v>61</v>
      </c>
      <c r="B43" s="365" t="s">
        <v>209</v>
      </c>
      <c r="C43" s="112">
        <f>'#61-Atlantic General'!$C$7</f>
        <v>850</v>
      </c>
      <c r="D43" s="112">
        <f>'#61-Atlantic General'!$F$108</f>
        <v>62</v>
      </c>
      <c r="E43" s="112">
        <f>'#61-Atlantic General'!$F$121</f>
        <v>108255887</v>
      </c>
      <c r="F43" s="112">
        <f>'#61-Atlantic General'!$K$152</f>
        <v>12102749.723999999</v>
      </c>
      <c r="G43" s="114">
        <f>'ACA Expansion Expense'!H44</f>
        <v>821325.5</v>
      </c>
      <c r="H43" s="860">
        <f t="shared" si="4"/>
        <v>12924075.223999999</v>
      </c>
      <c r="I43" s="729">
        <f t="shared" si="5"/>
        <v>0.111797612669323</v>
      </c>
      <c r="J43" s="114">
        <f>'Rate Support-Attachment I'!F45</f>
        <v>4040607.4638901809</v>
      </c>
      <c r="K43" s="115">
        <f t="shared" si="6"/>
        <v>8883467.7601098195</v>
      </c>
      <c r="L43" s="113">
        <f t="shared" si="7"/>
        <v>8.2059904604631986E-2</v>
      </c>
      <c r="M43" s="112">
        <f>'#61-Atlantic General'!$F$111</f>
        <v>2952568</v>
      </c>
    </row>
    <row r="44" spans="1:13">
      <c r="A44" s="61">
        <v>62</v>
      </c>
      <c r="B44" s="365" t="s">
        <v>319</v>
      </c>
      <c r="C44" s="112">
        <f>'#62-MedStar Southern Maryland'!$C$7</f>
        <v>1605</v>
      </c>
      <c r="D44" s="112">
        <f>'#62-MedStar Southern Maryland'!$F$108</f>
        <v>11722</v>
      </c>
      <c r="E44" s="112">
        <f>'#62-MedStar Southern Maryland'!$F$121</f>
        <v>233355690</v>
      </c>
      <c r="F44" s="112">
        <f>'#62-MedStar Southern Maryland'!$K$152</f>
        <v>10765960</v>
      </c>
      <c r="G44" s="114">
        <f>'ACA Expansion Expense'!H45</f>
        <v>3124485</v>
      </c>
      <c r="H44" s="860">
        <f t="shared" si="4"/>
        <v>13890445</v>
      </c>
      <c r="I44" s="729">
        <f t="shared" si="5"/>
        <v>4.6135408140251473E-2</v>
      </c>
      <c r="J44" s="114">
        <f>'Rate Support-Attachment I'!F46</f>
        <v>3186912.9226634079</v>
      </c>
      <c r="K44" s="115">
        <f t="shared" si="6"/>
        <v>10703532.077336593</v>
      </c>
      <c r="L44" s="113">
        <f t="shared" si="7"/>
        <v>4.5867885532752992E-2</v>
      </c>
      <c r="M44" s="112">
        <f>'#62-MedStar Southern Maryland'!$F$111</f>
        <v>2514686</v>
      </c>
    </row>
    <row r="45" spans="1:13" s="775" customFormat="1">
      <c r="A45" s="61">
        <v>63</v>
      </c>
      <c r="B45" s="365" t="s">
        <v>320</v>
      </c>
      <c r="C45" s="777">
        <f>'#63-UM St Joseph'!$C$7</f>
        <v>2044</v>
      </c>
      <c r="D45" s="777">
        <f>'#63-UM St Joseph'!$F$108</f>
        <v>0</v>
      </c>
      <c r="E45" s="777">
        <f>'#63-UM St Joseph'!$F$121</f>
        <v>319343921.02999997</v>
      </c>
      <c r="F45" s="777">
        <f>'#63-UM St Joseph'!$K$152</f>
        <v>36491872</v>
      </c>
      <c r="G45" s="114">
        <f>'ACA Expansion Expense'!H46</f>
        <v>34163.5</v>
      </c>
      <c r="H45" s="860">
        <f t="shared" si="4"/>
        <v>36526035.5</v>
      </c>
      <c r="I45" s="778">
        <f t="shared" si="5"/>
        <v>0.11427138453833872</v>
      </c>
      <c r="J45" s="114">
        <f>'Rate Support-Attachment I'!F47</f>
        <v>7920953.973587729</v>
      </c>
      <c r="K45" s="115">
        <f t="shared" si="6"/>
        <v>28605081.526412271</v>
      </c>
      <c r="L45" s="780">
        <f t="shared" si="7"/>
        <v>8.9574529661158128E-2</v>
      </c>
      <c r="M45" s="777">
        <f>'#63-UM St Joseph'!$F$111</f>
        <v>8002482.5999999996</v>
      </c>
    </row>
    <row r="46" spans="1:13" s="67" customFormat="1">
      <c r="A46" s="61">
        <v>64</v>
      </c>
      <c r="B46" s="365" t="s">
        <v>248</v>
      </c>
      <c r="C46" s="839">
        <f>'#64-Levindale'!$C$7</f>
        <v>805</v>
      </c>
      <c r="D46" s="839">
        <f>'#64-Levindale'!$F$108</f>
        <v>520</v>
      </c>
      <c r="E46" s="839">
        <f>'#64-Levindale'!$F$121</f>
        <v>72485946</v>
      </c>
      <c r="F46" s="839">
        <f>'#64-Levindale'!$K$152</f>
        <v>2842192.2861680002</v>
      </c>
      <c r="G46" s="854">
        <v>0</v>
      </c>
      <c r="H46" s="860">
        <f t="shared" si="4"/>
        <v>2842192.2861680002</v>
      </c>
      <c r="I46" s="840">
        <f t="shared" si="5"/>
        <v>3.921025306295927E-2</v>
      </c>
      <c r="J46" s="114">
        <f>'Rate Support-Attachment I'!F48</f>
        <v>8077003.7563029323</v>
      </c>
      <c r="K46" s="115">
        <f t="shared" si="6"/>
        <v>-5234811.4701349325</v>
      </c>
      <c r="L46" s="841">
        <f t="shared" si="7"/>
        <v>-7.2218295531866719E-2</v>
      </c>
      <c r="M46" s="839">
        <f>'#64-Levindale'!$F$111</f>
        <v>930520</v>
      </c>
    </row>
    <row r="47" spans="1:13" s="67" customFormat="1">
      <c r="A47" s="837">
        <v>65</v>
      </c>
      <c r="B47" s="838" t="s">
        <v>908</v>
      </c>
      <c r="C47" s="839">
        <f>'#65-Holy Cross Germantown'!$C$7</f>
        <v>632</v>
      </c>
      <c r="D47" s="839">
        <f>'#65-Holy Cross Germantown'!$F$108</f>
        <v>789.6</v>
      </c>
      <c r="E47" s="839">
        <f>'#65-Holy Cross Germantown'!$F$121</f>
        <v>68283992.670000002</v>
      </c>
      <c r="F47" s="839">
        <f>'#65-Holy Cross Germantown'!$K$152</f>
        <v>5248540.49</v>
      </c>
      <c r="G47" s="114">
        <f>'ACA Expansion Expense'!H48</f>
        <v>190964</v>
      </c>
      <c r="H47" s="860">
        <f t="shared" si="4"/>
        <v>5439504.4900000002</v>
      </c>
      <c r="I47" s="840">
        <f t="shared" si="5"/>
        <v>7.6863409486977799E-2</v>
      </c>
      <c r="J47" s="114">
        <f>'Rate Support-Attachment I'!F49</f>
        <v>0</v>
      </c>
      <c r="K47" s="115">
        <f t="shared" si="6"/>
        <v>5439504.4900000002</v>
      </c>
      <c r="L47" s="841">
        <f t="shared" si="7"/>
        <v>7.9660023928123366E-2</v>
      </c>
      <c r="M47" s="839">
        <f>'#65-Holy Cross Germantown'!$F$111</f>
        <v>2108744.4900000002</v>
      </c>
    </row>
    <row r="48" spans="1:13">
      <c r="A48" s="61">
        <v>2001</v>
      </c>
      <c r="B48" s="54" t="s">
        <v>322</v>
      </c>
      <c r="C48" s="112">
        <f>'#2001-UM ROI'!$C$7</f>
        <v>557</v>
      </c>
      <c r="D48" s="112">
        <f>'#2001-UM ROI'!$F$108</f>
        <v>656</v>
      </c>
      <c r="E48" s="112">
        <f>'#2001-UM ROI'!$F$121</f>
        <v>106210000</v>
      </c>
      <c r="F48" s="112">
        <f>'#2001-UM ROI'!$K$152</f>
        <v>9207691.7943200003</v>
      </c>
      <c r="G48" s="114">
        <f>'ACA Expansion Expense'!H49</f>
        <v>1543767.5</v>
      </c>
      <c r="H48" s="860">
        <f t="shared" si="4"/>
        <v>10751459.29432</v>
      </c>
      <c r="I48" s="729">
        <f t="shared" si="5"/>
        <v>8.669326611731476E-2</v>
      </c>
      <c r="J48" s="114">
        <f>'Rate Support-Attachment I'!F50</f>
        <v>4470279.091734143</v>
      </c>
      <c r="K48" s="115">
        <f t="shared" si="6"/>
        <v>6281180.2025858574</v>
      </c>
      <c r="L48" s="113">
        <f t="shared" si="7"/>
        <v>5.9139254331850646E-2</v>
      </c>
      <c r="M48" s="112">
        <f>'#2001-UM ROI'!$F$111</f>
        <v>877000</v>
      </c>
    </row>
    <row r="49" spans="1:50">
      <c r="A49" s="61">
        <v>2004</v>
      </c>
      <c r="B49" s="67" t="s">
        <v>323</v>
      </c>
      <c r="C49" s="112">
        <f>'#2004-MedStar Good Samaritan'!$C$7</f>
        <v>2200</v>
      </c>
      <c r="D49" s="112">
        <f>'#2004-MedStar Good Samaritan'!$F$108</f>
        <v>1164.5</v>
      </c>
      <c r="E49" s="112">
        <f>'#2004-MedStar Good Samaritan'!$F$121</f>
        <v>303538841</v>
      </c>
      <c r="F49" s="112">
        <f>'#2004-MedStar Good Samaritan'!$K$152</f>
        <v>20857499</v>
      </c>
      <c r="G49" s="114">
        <f>'ACA Expansion Expense'!H50</f>
        <v>2261663.5</v>
      </c>
      <c r="H49" s="860">
        <f t="shared" si="4"/>
        <v>23119162.5</v>
      </c>
      <c r="I49" s="729">
        <f t="shared" si="5"/>
        <v>6.8714431837736373E-2</v>
      </c>
      <c r="J49" s="114">
        <f>'Rate Support-Attachment I'!F51</f>
        <v>5083700.5174016301</v>
      </c>
      <c r="K49" s="115">
        <f t="shared" si="6"/>
        <v>18035461.982598372</v>
      </c>
      <c r="L49" s="113">
        <f t="shared" si="7"/>
        <v>5.9417311877389592E-2</v>
      </c>
      <c r="M49" s="112">
        <f>'#2004-MedStar Good Samaritan'!$F$111</f>
        <v>3151845</v>
      </c>
    </row>
    <row r="50" spans="1:50" s="730" customFormat="1">
      <c r="A50" s="781">
        <v>3029</v>
      </c>
      <c r="B50" s="734" t="s">
        <v>697</v>
      </c>
      <c r="C50" s="732">
        <f>'#3029-Adventist Rehab'!$C$7</f>
        <v>485</v>
      </c>
      <c r="D50" s="732">
        <f>'#3029-Adventist Rehab'!$F$108</f>
        <v>332.07686881191415</v>
      </c>
      <c r="E50" s="732">
        <f>'#3029-Adventist Rehab'!$F$121</f>
        <v>35485321</v>
      </c>
      <c r="F50" s="732">
        <f>'#3029-Adventist Rehab'!$K$152</f>
        <v>3968899.0849058889</v>
      </c>
      <c r="G50" s="853">
        <v>0</v>
      </c>
      <c r="H50" s="860">
        <f t="shared" si="4"/>
        <v>3968899.0849058889</v>
      </c>
      <c r="I50" s="729">
        <f t="shared" si="5"/>
        <v>0.1118462218477857</v>
      </c>
      <c r="J50" s="114">
        <f>'Rate Support-Attachment I'!F52</f>
        <v>50000</v>
      </c>
      <c r="K50" s="115">
        <f t="shared" si="6"/>
        <v>3918899.0849058889</v>
      </c>
      <c r="L50" s="113">
        <f t="shared" si="7"/>
        <v>0.11043718851820133</v>
      </c>
      <c r="M50" s="732">
        <f>'#3029-Adventist Rehab'!$F$111</f>
        <v>2086400.4000000001</v>
      </c>
    </row>
    <row r="51" spans="1:50" s="730" customFormat="1">
      <c r="A51" s="781">
        <v>3478</v>
      </c>
      <c r="B51" s="734" t="s">
        <v>698</v>
      </c>
      <c r="C51" s="732">
        <f>'#3478-ABH-ES'!$C$7</f>
        <v>120</v>
      </c>
      <c r="D51" s="732">
        <f>'#3478-ABH-ES'!$F$108</f>
        <v>0</v>
      </c>
      <c r="E51" s="732">
        <f>'#3478-ABH-ES'!$F$121</f>
        <v>9590451</v>
      </c>
      <c r="F51" s="732">
        <f>'#3478-ABH-ES'!$K$152</f>
        <v>886125.14944997872</v>
      </c>
      <c r="G51" s="853">
        <v>0</v>
      </c>
      <c r="H51" s="860">
        <f t="shared" si="4"/>
        <v>886125.14944997872</v>
      </c>
      <c r="I51" s="729">
        <f t="shared" si="5"/>
        <v>9.2396608819541301E-2</v>
      </c>
      <c r="J51" s="114">
        <f>'Rate Support-Attachment I'!F53</f>
        <v>0</v>
      </c>
      <c r="K51" s="115">
        <f t="shared" si="6"/>
        <v>886125.14944997872</v>
      </c>
      <c r="L51" s="113">
        <f t="shared" si="7"/>
        <v>9.2396608819541301E-2</v>
      </c>
      <c r="M51" s="732">
        <f>'#3478-ABH-ES'!$F$111</f>
        <v>32068.649999999994</v>
      </c>
    </row>
    <row r="52" spans="1:50" s="730" customFormat="1">
      <c r="A52" s="781">
        <v>4000</v>
      </c>
      <c r="B52" s="733" t="s">
        <v>250</v>
      </c>
      <c r="C52" s="732">
        <f>'#4000-Sheppard Pratt'!$C$7</f>
        <v>2586</v>
      </c>
      <c r="D52" s="732">
        <f>'#4000-Sheppard Pratt'!$F$108</f>
        <v>380</v>
      </c>
      <c r="E52" s="732">
        <f>'#4000-Sheppard Pratt'!$F$121</f>
        <v>205790209</v>
      </c>
      <c r="F52" s="732">
        <f>'#4000-Sheppard Pratt'!$K$152</f>
        <v>11024642.297124</v>
      </c>
      <c r="G52" s="853">
        <v>0</v>
      </c>
      <c r="H52" s="860">
        <f t="shared" si="4"/>
        <v>11024642.297124</v>
      </c>
      <c r="I52" s="729">
        <f t="shared" si="5"/>
        <v>5.357223917841495E-2</v>
      </c>
      <c r="J52" s="114">
        <f>'Rate Support-Attachment I'!F54</f>
        <v>2497199.4</v>
      </c>
      <c r="K52" s="115">
        <f t="shared" si="6"/>
        <v>8527442.8971239999</v>
      </c>
      <c r="L52" s="113">
        <f t="shared" si="7"/>
        <v>4.1437553995214614E-2</v>
      </c>
      <c r="M52" s="732">
        <f>'#4000-Sheppard Pratt'!$F$111</f>
        <v>4858679.1399999997</v>
      </c>
    </row>
    <row r="53" spans="1:50" s="731" customFormat="1">
      <c r="A53" s="781">
        <v>4013</v>
      </c>
      <c r="B53" s="733" t="s">
        <v>699</v>
      </c>
      <c r="C53" s="732">
        <f>'#4013-ABH-Rockville'!$C$7</f>
        <v>373</v>
      </c>
      <c r="D53" s="732">
        <f>'#4013-ABH-Rockville'!$F$108</f>
        <v>0</v>
      </c>
      <c r="E53" s="732">
        <f>'#4013-ABH-Rockville'!$F$121</f>
        <v>34810449</v>
      </c>
      <c r="F53" s="732">
        <f>'#4013-ABH-Rockville'!$K$152</f>
        <v>2732332.8091199528</v>
      </c>
      <c r="G53" s="853">
        <v>0</v>
      </c>
      <c r="H53" s="860">
        <f t="shared" si="4"/>
        <v>2732332.8091199528</v>
      </c>
      <c r="I53" s="729">
        <f t="shared" si="5"/>
        <v>7.84917427844712E-2</v>
      </c>
      <c r="J53" s="114">
        <f>'Rate Support-Attachment I'!F55</f>
        <v>199999</v>
      </c>
      <c r="K53" s="115">
        <f t="shared" si="6"/>
        <v>2532333.8091199528</v>
      </c>
      <c r="L53" s="113">
        <f t="shared" si="7"/>
        <v>7.2746370180975059E-2</v>
      </c>
      <c r="M53" s="732">
        <f>'#4013-ABH-Rockville'!$F$111</f>
        <v>818859.83999999985</v>
      </c>
    </row>
    <row r="54" spans="1:50" s="735" customFormat="1">
      <c r="A54" s="782">
        <v>5034</v>
      </c>
      <c r="B54" s="730" t="s">
        <v>326</v>
      </c>
      <c r="C54" s="732">
        <f>'#5034-Mt Washington Pediatric'!$C$7</f>
        <v>660</v>
      </c>
      <c r="D54" s="732">
        <f>'#5034-Mt Washington Pediatric'!$F$108</f>
        <v>1381</v>
      </c>
      <c r="E54" s="732">
        <f>'#5034-Mt Washington Pediatric'!$F$121</f>
        <v>54688892</v>
      </c>
      <c r="F54" s="732">
        <f>'#5034-Mt Washington Pediatric'!$K$152</f>
        <v>1654433.9150000003</v>
      </c>
      <c r="G54" s="853">
        <v>0</v>
      </c>
      <c r="H54" s="860">
        <f t="shared" si="4"/>
        <v>1654433.9150000003</v>
      </c>
      <c r="I54" s="729">
        <f t="shared" si="5"/>
        <v>3.0251735855244613E-2</v>
      </c>
      <c r="J54" s="114">
        <f>'Rate Support-Attachment I'!F56</f>
        <v>53308.449000000001</v>
      </c>
      <c r="K54" s="115">
        <f t="shared" si="6"/>
        <v>1601125.4660000002</v>
      </c>
      <c r="L54" s="113">
        <f t="shared" si="7"/>
        <v>2.9276977599034193E-2</v>
      </c>
      <c r="M54" s="732">
        <f>'#5034-Mt Washington Pediatric'!$F$111</f>
        <v>109595</v>
      </c>
    </row>
    <row r="55" spans="1:50" s="66" customFormat="1">
      <c r="A55" s="61">
        <v>5050</v>
      </c>
      <c r="B55" s="388" t="s">
        <v>696</v>
      </c>
      <c r="C55" s="112">
        <f>'#5050-Shady Grove Adventist'!$C$7</f>
        <v>2001</v>
      </c>
      <c r="D55" s="112">
        <f>'#5050-Shady Grove Adventist'!$F$108</f>
        <v>5322.5223905521725</v>
      </c>
      <c r="E55" s="112">
        <f>'#5050-Shady Grove Adventist'!$F$121</f>
        <v>317638545</v>
      </c>
      <c r="F55" s="112">
        <f>'#5050-Shady Grove Adventist'!$K$152</f>
        <v>31158934.468197189</v>
      </c>
      <c r="G55" s="114">
        <f>'ACA Expansion Expense'!H51</f>
        <v>1499088</v>
      </c>
      <c r="H55" s="860">
        <f t="shared" si="4"/>
        <v>32658022.468197189</v>
      </c>
      <c r="I55" s="729">
        <f t="shared" si="5"/>
        <v>9.8095571078117075E-2</v>
      </c>
      <c r="J55" s="114">
        <f>'Rate Support-Attachment I'!F57</f>
        <v>5266793.93607808</v>
      </c>
      <c r="K55" s="115">
        <f t="shared" si="6"/>
        <v>27391228.53211911</v>
      </c>
      <c r="L55" s="113">
        <f t="shared" si="7"/>
        <v>8.6233956688471516E-2</v>
      </c>
      <c r="M55" s="112">
        <f>'#5050-Shady Grove Adventist'!$F$111</f>
        <v>10238460.698000001</v>
      </c>
    </row>
    <row r="56" spans="1:50">
      <c r="A56" s="111"/>
      <c r="B56" s="885" t="s">
        <v>1029</v>
      </c>
      <c r="C56" s="117">
        <f t="shared" ref="C56:H56" si="8">SUM(C3:C55)</f>
        <v>79526</v>
      </c>
      <c r="D56" s="118">
        <f t="shared" si="8"/>
        <v>95549.98915459626</v>
      </c>
      <c r="E56" s="119">
        <f t="shared" si="8"/>
        <v>14693452601.719999</v>
      </c>
      <c r="F56" s="119">
        <f t="shared" si="8"/>
        <v>1477302655.667362</v>
      </c>
      <c r="G56" s="119">
        <f t="shared" si="8"/>
        <v>109137134.5</v>
      </c>
      <c r="H56" s="119">
        <f t="shared" si="8"/>
        <v>1586439790.1673622</v>
      </c>
      <c r="I56" s="120">
        <f t="shared" ref="I56" si="9">F56/E56</f>
        <v>0.10054156063323269</v>
      </c>
      <c r="J56" s="119">
        <f>SUM(J3:J55)</f>
        <v>746100280.70030272</v>
      </c>
      <c r="K56" s="121">
        <f>SUM(K3:K55)</f>
        <v>840339509.46705949</v>
      </c>
      <c r="L56" s="120">
        <f t="shared" ref="L56" si="10">K56/E56</f>
        <v>5.7191426157300176E-2</v>
      </c>
      <c r="M56" s="119">
        <f>SUM(M3:M55)</f>
        <v>362585726.74099994</v>
      </c>
    </row>
    <row r="57" spans="1:50">
      <c r="A57" s="61"/>
      <c r="B57" s="61"/>
      <c r="C57" s="117"/>
      <c r="D57" s="118"/>
      <c r="E57" s="119"/>
      <c r="F57" s="119"/>
      <c r="G57" s="120"/>
      <c r="H57" s="120"/>
      <c r="I57" s="119"/>
      <c r="J57" s="121"/>
      <c r="K57" s="120"/>
      <c r="L57" s="119"/>
    </row>
    <row r="58" spans="1:50">
      <c r="C58" s="117">
        <f>AVERAGE(C3:C55)</f>
        <v>1622.9795918367347</v>
      </c>
      <c r="D58" s="117">
        <f>AVERAGE(D3:D55)</f>
        <v>1802.829984048986</v>
      </c>
      <c r="E58" s="122"/>
      <c r="F58" s="122"/>
      <c r="G58" s="120">
        <f>AVERAGE(I3:I55)</f>
        <v>0.10003988439075562</v>
      </c>
      <c r="H58" s="120"/>
      <c r="I58" s="886">
        <f>AVERAGE(I3:I55)</f>
        <v>0.10003988439075562</v>
      </c>
      <c r="J58" s="121"/>
      <c r="K58" s="120">
        <f>AVERAGE(L3:L55)</f>
        <v>6.8299837747888309E-2</v>
      </c>
      <c r="L58" s="119"/>
    </row>
    <row r="59" spans="1:50" ht="96.75" customHeight="1">
      <c r="A59" s="129"/>
      <c r="B59" s="891" t="s">
        <v>1028</v>
      </c>
      <c r="C59" s="891"/>
      <c r="D59" s="891"/>
      <c r="E59" s="891"/>
      <c r="F59" s="879"/>
      <c r="G59" s="882"/>
      <c r="H59" s="882"/>
      <c r="I59" s="883"/>
      <c r="J59" s="884"/>
      <c r="K59" s="882"/>
      <c r="L59" s="881"/>
      <c r="M59" s="880"/>
      <c r="N59" s="880"/>
      <c r="O59" s="880"/>
      <c r="P59" s="880"/>
      <c r="Q59" s="880"/>
      <c r="R59" s="880"/>
      <c r="S59" s="880"/>
      <c r="T59" s="880"/>
      <c r="U59" s="880"/>
      <c r="V59" s="880"/>
      <c r="W59" s="880"/>
      <c r="X59" s="880"/>
      <c r="Y59" s="880"/>
      <c r="Z59" s="880"/>
      <c r="AA59" s="880"/>
      <c r="AB59" s="880"/>
      <c r="AC59" s="880"/>
      <c r="AD59" s="880"/>
      <c r="AE59" s="880"/>
      <c r="AF59" s="880"/>
      <c r="AG59" s="880"/>
      <c r="AH59" s="880"/>
      <c r="AI59" s="880"/>
      <c r="AJ59" s="880"/>
      <c r="AK59" s="880"/>
      <c r="AL59" s="880"/>
      <c r="AM59" s="880"/>
      <c r="AN59" s="880"/>
      <c r="AO59" s="880"/>
      <c r="AP59" s="880"/>
      <c r="AQ59" s="880"/>
      <c r="AR59" s="880"/>
      <c r="AS59" s="880"/>
      <c r="AT59" s="880"/>
      <c r="AU59" s="880"/>
      <c r="AV59" s="880"/>
      <c r="AW59" s="880"/>
      <c r="AX59" s="880"/>
    </row>
    <row r="60" spans="1:50">
      <c r="A60" s="61"/>
      <c r="B60" s="61"/>
      <c r="C60" s="381"/>
      <c r="D60" s="61"/>
      <c r="E60" s="382"/>
      <c r="F60" s="382"/>
      <c r="G60" s="383"/>
      <c r="H60" s="383"/>
      <c r="I60" s="384"/>
      <c r="J60" s="385"/>
      <c r="K60" s="386"/>
      <c r="L60" s="382"/>
    </row>
    <row r="61" spans="1:50">
      <c r="C61" s="890"/>
      <c r="D61" s="890"/>
      <c r="E61" s="890"/>
      <c r="F61" s="890"/>
      <c r="G61" s="890"/>
      <c r="H61" s="890"/>
      <c r="I61" s="890"/>
      <c r="J61" s="890"/>
      <c r="K61" s="890"/>
    </row>
    <row r="62" spans="1:50">
      <c r="C62" s="124"/>
      <c r="D62" s="125"/>
      <c r="E62" s="126"/>
      <c r="F62" s="126"/>
      <c r="G62" s="127"/>
      <c r="H62" s="127"/>
      <c r="I62" s="78"/>
      <c r="J62" s="128"/>
      <c r="K62" s="127"/>
    </row>
    <row r="65" spans="4:4">
      <c r="D65" s="130"/>
    </row>
  </sheetData>
  <sheetProtection algorithmName="SHA-512" hashValue="WQUqY/EYv9EKjAH5IN5I8lasPzo/Kc6lCkHbLvmRrWtfBWnZjBXfVJ2tDcMlP/cgILLoV1VXaCHkSx5nZ+js+g==" saltValue="odEWHLCeXG15HRchP4xrzQ==" spinCount="100000" sheet="1" objects="1" scenarios="1"/>
  <sortState ref="A3:M55">
    <sortCondition ref="A3:A55"/>
  </sortState>
  <dataConsolidate/>
  <mergeCells count="3">
    <mergeCell ref="A1:C1"/>
    <mergeCell ref="C61:K61"/>
    <mergeCell ref="B59:E59"/>
  </mergeCells>
  <pageMargins left="0.51" right="0.11" top="0.48" bottom="0.28000000000000003" header="0.3" footer="0.3"/>
  <pageSetup paperSize="5" scale="63" orientation="landscape" r:id="rId1"/>
  <headerFooter>
    <oddHeader xml:space="preserve">&amp;L&amp;12ATTACHMENT II
&amp;C&amp;12FY2015 Analysis - Acute Hospitals&amp;10
&amp;R
</oddHeader>
  </headerFooter>
  <ignoredErrors>
    <ignoredError sqref="I56 L56"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7" tint="-0.249977111117893"/>
    <pageSetUpPr fitToPage="1"/>
  </sheetPr>
  <dimension ref="A1:O127"/>
  <sheetViews>
    <sheetView tabSelected="1" view="pageBreakPreview" zoomScaleNormal="100" zoomScaleSheetLayoutView="100" workbookViewId="0">
      <selection activeCell="H13" sqref="H13"/>
    </sheetView>
  </sheetViews>
  <sheetFormatPr defaultRowHeight="12.75"/>
  <cols>
    <col min="1" max="1" width="6.28515625" style="291" customWidth="1"/>
    <col min="2" max="2" width="4.42578125" style="291" customWidth="1"/>
    <col min="3" max="3" width="56" style="291" customWidth="1"/>
    <col min="4" max="4" width="0.85546875" style="291" hidden="1" customWidth="1"/>
    <col min="5" max="5" width="5.140625" style="291" hidden="1" customWidth="1"/>
    <col min="6" max="6" width="11.42578125" style="291" customWidth="1"/>
    <col min="7" max="7" width="28.140625" style="291" customWidth="1"/>
    <col min="8" max="8" width="19.28515625" style="291" bestFit="1" customWidth="1"/>
    <col min="9" max="9" width="17.7109375" style="291" bestFit="1" customWidth="1"/>
    <col min="10" max="10" width="16.7109375" style="291" bestFit="1" customWidth="1"/>
    <col min="11" max="11" width="17" style="291" bestFit="1" customWidth="1"/>
    <col min="12" max="13" width="17.7109375" style="291" bestFit="1" customWidth="1"/>
    <col min="14" max="14" width="14.85546875" style="291" bestFit="1" customWidth="1"/>
    <col min="15" max="15" width="16" style="291" bestFit="1" customWidth="1"/>
    <col min="16" max="16" width="14.85546875" style="291" bestFit="1" customWidth="1"/>
    <col min="17" max="17" width="16" style="291" bestFit="1" customWidth="1"/>
    <col min="18" max="18" width="12.7109375" style="291" bestFit="1" customWidth="1"/>
    <col min="19" max="19" width="14.85546875" style="291" bestFit="1" customWidth="1"/>
    <col min="20" max="257" width="9.140625" style="291"/>
    <col min="258" max="258" width="6.28515625" style="291" customWidth="1"/>
    <col min="259" max="259" width="4.42578125" style="291" customWidth="1"/>
    <col min="260" max="260" width="38.42578125" style="291" customWidth="1"/>
    <col min="261" max="262" width="0" style="291" hidden="1" customWidth="1"/>
    <col min="263" max="263" width="28.140625" style="291" customWidth="1"/>
    <col min="264" max="264" width="19.28515625" style="291" bestFit="1" customWidth="1"/>
    <col min="265" max="265" width="18" style="291" bestFit="1" customWidth="1"/>
    <col min="266" max="266" width="16.28515625" style="291" bestFit="1" customWidth="1"/>
    <col min="267" max="267" width="16.5703125" style="291" bestFit="1" customWidth="1"/>
    <col min="268" max="268" width="16.42578125" style="291" bestFit="1" customWidth="1"/>
    <col min="269" max="269" width="15.5703125" style="291" bestFit="1" customWidth="1"/>
    <col min="270" max="270" width="14.85546875" style="291" bestFit="1" customWidth="1"/>
    <col min="271" max="271" width="16" style="291" bestFit="1" customWidth="1"/>
    <col min="272" max="272" width="14.85546875" style="291" bestFit="1" customWidth="1"/>
    <col min="273" max="273" width="16" style="291" bestFit="1" customWidth="1"/>
    <col min="274" max="274" width="12.7109375" style="291" bestFit="1" customWidth="1"/>
    <col min="275" max="275" width="14.85546875" style="291" bestFit="1" customWidth="1"/>
    <col min="276" max="513" width="9.140625" style="291"/>
    <col min="514" max="514" width="6.28515625" style="291" customWidth="1"/>
    <col min="515" max="515" width="4.42578125" style="291" customWidth="1"/>
    <col min="516" max="516" width="38.42578125" style="291" customWidth="1"/>
    <col min="517" max="518" width="0" style="291" hidden="1" customWidth="1"/>
    <col min="519" max="519" width="28.140625" style="291" customWidth="1"/>
    <col min="520" max="520" width="19.28515625" style="291" bestFit="1" customWidth="1"/>
    <col min="521" max="521" width="18" style="291" bestFit="1" customWidth="1"/>
    <col min="522" max="522" width="16.28515625" style="291" bestFit="1" customWidth="1"/>
    <col min="523" max="523" width="16.5703125" style="291" bestFit="1" customWidth="1"/>
    <col min="524" max="524" width="16.42578125" style="291" bestFit="1" customWidth="1"/>
    <col min="525" max="525" width="15.5703125" style="291" bestFit="1" customWidth="1"/>
    <col min="526" max="526" width="14.85546875" style="291" bestFit="1" customWidth="1"/>
    <col min="527" max="527" width="16" style="291" bestFit="1" customWidth="1"/>
    <col min="528" max="528" width="14.85546875" style="291" bestFit="1" customWidth="1"/>
    <col min="529" max="529" width="16" style="291" bestFit="1" customWidth="1"/>
    <col min="530" max="530" width="12.7109375" style="291" bestFit="1" customWidth="1"/>
    <col min="531" max="531" width="14.85546875" style="291" bestFit="1" customWidth="1"/>
    <col min="532" max="769" width="9.140625" style="291"/>
    <col min="770" max="770" width="6.28515625" style="291" customWidth="1"/>
    <col min="771" max="771" width="4.42578125" style="291" customWidth="1"/>
    <col min="772" max="772" width="38.42578125" style="291" customWidth="1"/>
    <col min="773" max="774" width="0" style="291" hidden="1" customWidth="1"/>
    <col min="775" max="775" width="28.140625" style="291" customWidth="1"/>
    <col min="776" max="776" width="19.28515625" style="291" bestFit="1" customWidth="1"/>
    <col min="777" max="777" width="18" style="291" bestFit="1" customWidth="1"/>
    <col min="778" max="778" width="16.28515625" style="291" bestFit="1" customWidth="1"/>
    <col min="779" max="779" width="16.5703125" style="291" bestFit="1" customWidth="1"/>
    <col min="780" max="780" width="16.42578125" style="291" bestFit="1" customWidth="1"/>
    <col min="781" max="781" width="15.5703125" style="291" bestFit="1" customWidth="1"/>
    <col min="782" max="782" width="14.85546875" style="291" bestFit="1" customWidth="1"/>
    <col min="783" max="783" width="16" style="291" bestFit="1" customWidth="1"/>
    <col min="784" max="784" width="14.85546875" style="291" bestFit="1" customWidth="1"/>
    <col min="785" max="785" width="16" style="291" bestFit="1" customWidth="1"/>
    <col min="786" max="786" width="12.7109375" style="291" bestFit="1" customWidth="1"/>
    <col min="787" max="787" width="14.85546875" style="291" bestFit="1" customWidth="1"/>
    <col min="788" max="1025" width="9.140625" style="291"/>
    <col min="1026" max="1026" width="6.28515625" style="291" customWidth="1"/>
    <col min="1027" max="1027" width="4.42578125" style="291" customWidth="1"/>
    <col min="1028" max="1028" width="38.42578125" style="291" customWidth="1"/>
    <col min="1029" max="1030" width="0" style="291" hidden="1" customWidth="1"/>
    <col min="1031" max="1031" width="28.140625" style="291" customWidth="1"/>
    <col min="1032" max="1032" width="19.28515625" style="291" bestFit="1" customWidth="1"/>
    <col min="1033" max="1033" width="18" style="291" bestFit="1" customWidth="1"/>
    <col min="1034" max="1034" width="16.28515625" style="291" bestFit="1" customWidth="1"/>
    <col min="1035" max="1035" width="16.5703125" style="291" bestFit="1" customWidth="1"/>
    <col min="1036" max="1036" width="16.42578125" style="291" bestFit="1" customWidth="1"/>
    <col min="1037" max="1037" width="15.5703125" style="291" bestFit="1" customWidth="1"/>
    <col min="1038" max="1038" width="14.85546875" style="291" bestFit="1" customWidth="1"/>
    <col min="1039" max="1039" width="16" style="291" bestFit="1" customWidth="1"/>
    <col min="1040" max="1040" width="14.85546875" style="291" bestFit="1" customWidth="1"/>
    <col min="1041" max="1041" width="16" style="291" bestFit="1" customWidth="1"/>
    <col min="1042" max="1042" width="12.7109375" style="291" bestFit="1" customWidth="1"/>
    <col min="1043" max="1043" width="14.85546875" style="291" bestFit="1" customWidth="1"/>
    <col min="1044" max="1281" width="9.140625" style="291"/>
    <col min="1282" max="1282" width="6.28515625" style="291" customWidth="1"/>
    <col min="1283" max="1283" width="4.42578125" style="291" customWidth="1"/>
    <col min="1284" max="1284" width="38.42578125" style="291" customWidth="1"/>
    <col min="1285" max="1286" width="0" style="291" hidden="1" customWidth="1"/>
    <col min="1287" max="1287" width="28.140625" style="291" customWidth="1"/>
    <col min="1288" max="1288" width="19.28515625" style="291" bestFit="1" customWidth="1"/>
    <col min="1289" max="1289" width="18" style="291" bestFit="1" customWidth="1"/>
    <col min="1290" max="1290" width="16.28515625" style="291" bestFit="1" customWidth="1"/>
    <col min="1291" max="1291" width="16.5703125" style="291" bestFit="1" customWidth="1"/>
    <col min="1292" max="1292" width="16.42578125" style="291" bestFit="1" customWidth="1"/>
    <col min="1293" max="1293" width="15.5703125" style="291" bestFit="1" customWidth="1"/>
    <col min="1294" max="1294" width="14.85546875" style="291" bestFit="1" customWidth="1"/>
    <col min="1295" max="1295" width="16" style="291" bestFit="1" customWidth="1"/>
    <col min="1296" max="1296" width="14.85546875" style="291" bestFit="1" customWidth="1"/>
    <col min="1297" max="1297" width="16" style="291" bestFit="1" customWidth="1"/>
    <col min="1298" max="1298" width="12.7109375" style="291" bestFit="1" customWidth="1"/>
    <col min="1299" max="1299" width="14.85546875" style="291" bestFit="1" customWidth="1"/>
    <col min="1300" max="1537" width="9.140625" style="291"/>
    <col min="1538" max="1538" width="6.28515625" style="291" customWidth="1"/>
    <col min="1539" max="1539" width="4.42578125" style="291" customWidth="1"/>
    <col min="1540" max="1540" width="38.42578125" style="291" customWidth="1"/>
    <col min="1541" max="1542" width="0" style="291" hidden="1" customWidth="1"/>
    <col min="1543" max="1543" width="28.140625" style="291" customWidth="1"/>
    <col min="1544" max="1544" width="19.28515625" style="291" bestFit="1" customWidth="1"/>
    <col min="1545" max="1545" width="18" style="291" bestFit="1" customWidth="1"/>
    <col min="1546" max="1546" width="16.28515625" style="291" bestFit="1" customWidth="1"/>
    <col min="1547" max="1547" width="16.5703125" style="291" bestFit="1" customWidth="1"/>
    <col min="1548" max="1548" width="16.42578125" style="291" bestFit="1" customWidth="1"/>
    <col min="1549" max="1549" width="15.5703125" style="291" bestFit="1" customWidth="1"/>
    <col min="1550" max="1550" width="14.85546875" style="291" bestFit="1" customWidth="1"/>
    <col min="1551" max="1551" width="16" style="291" bestFit="1" customWidth="1"/>
    <col min="1552" max="1552" width="14.85546875" style="291" bestFit="1" customWidth="1"/>
    <col min="1553" max="1553" width="16" style="291" bestFit="1" customWidth="1"/>
    <col min="1554" max="1554" width="12.7109375" style="291" bestFit="1" customWidth="1"/>
    <col min="1555" max="1555" width="14.85546875" style="291" bestFit="1" customWidth="1"/>
    <col min="1556" max="1793" width="9.140625" style="291"/>
    <col min="1794" max="1794" width="6.28515625" style="291" customWidth="1"/>
    <col min="1795" max="1795" width="4.42578125" style="291" customWidth="1"/>
    <col min="1796" max="1796" width="38.42578125" style="291" customWidth="1"/>
    <col min="1797" max="1798" width="0" style="291" hidden="1" customWidth="1"/>
    <col min="1799" max="1799" width="28.140625" style="291" customWidth="1"/>
    <col min="1800" max="1800" width="19.28515625" style="291" bestFit="1" customWidth="1"/>
    <col min="1801" max="1801" width="18" style="291" bestFit="1" customWidth="1"/>
    <col min="1802" max="1802" width="16.28515625" style="291" bestFit="1" customWidth="1"/>
    <col min="1803" max="1803" width="16.5703125" style="291" bestFit="1" customWidth="1"/>
    <col min="1804" max="1804" width="16.42578125" style="291" bestFit="1" customWidth="1"/>
    <col min="1805" max="1805" width="15.5703125" style="291" bestFit="1" customWidth="1"/>
    <col min="1806" max="1806" width="14.85546875" style="291" bestFit="1" customWidth="1"/>
    <col min="1807" max="1807" width="16" style="291" bestFit="1" customWidth="1"/>
    <col min="1808" max="1808" width="14.85546875" style="291" bestFit="1" customWidth="1"/>
    <col min="1809" max="1809" width="16" style="291" bestFit="1" customWidth="1"/>
    <col min="1810" max="1810" width="12.7109375" style="291" bestFit="1" customWidth="1"/>
    <col min="1811" max="1811" width="14.85546875" style="291" bestFit="1" customWidth="1"/>
    <col min="1812" max="2049" width="9.140625" style="291"/>
    <col min="2050" max="2050" width="6.28515625" style="291" customWidth="1"/>
    <col min="2051" max="2051" width="4.42578125" style="291" customWidth="1"/>
    <col min="2052" max="2052" width="38.42578125" style="291" customWidth="1"/>
    <col min="2053" max="2054" width="0" style="291" hidden="1" customWidth="1"/>
    <col min="2055" max="2055" width="28.140625" style="291" customWidth="1"/>
    <col min="2056" max="2056" width="19.28515625" style="291" bestFit="1" customWidth="1"/>
    <col min="2057" max="2057" width="18" style="291" bestFit="1" customWidth="1"/>
    <col min="2058" max="2058" width="16.28515625" style="291" bestFit="1" customWidth="1"/>
    <col min="2059" max="2059" width="16.5703125" style="291" bestFit="1" customWidth="1"/>
    <col min="2060" max="2060" width="16.42578125" style="291" bestFit="1" customWidth="1"/>
    <col min="2061" max="2061" width="15.5703125" style="291" bestFit="1" customWidth="1"/>
    <col min="2062" max="2062" width="14.85546875" style="291" bestFit="1" customWidth="1"/>
    <col min="2063" max="2063" width="16" style="291" bestFit="1" customWidth="1"/>
    <col min="2064" max="2064" width="14.85546875" style="291" bestFit="1" customWidth="1"/>
    <col min="2065" max="2065" width="16" style="291" bestFit="1" customWidth="1"/>
    <col min="2066" max="2066" width="12.7109375" style="291" bestFit="1" customWidth="1"/>
    <col min="2067" max="2067" width="14.85546875" style="291" bestFit="1" customWidth="1"/>
    <col min="2068" max="2305" width="9.140625" style="291"/>
    <col min="2306" max="2306" width="6.28515625" style="291" customWidth="1"/>
    <col min="2307" max="2307" width="4.42578125" style="291" customWidth="1"/>
    <col min="2308" max="2308" width="38.42578125" style="291" customWidth="1"/>
    <col min="2309" max="2310" width="0" style="291" hidden="1" customWidth="1"/>
    <col min="2311" max="2311" width="28.140625" style="291" customWidth="1"/>
    <col min="2312" max="2312" width="19.28515625" style="291" bestFit="1" customWidth="1"/>
    <col min="2313" max="2313" width="18" style="291" bestFit="1" customWidth="1"/>
    <col min="2314" max="2314" width="16.28515625" style="291" bestFit="1" customWidth="1"/>
    <col min="2315" max="2315" width="16.5703125" style="291" bestFit="1" customWidth="1"/>
    <col min="2316" max="2316" width="16.42578125" style="291" bestFit="1" customWidth="1"/>
    <col min="2317" max="2317" width="15.5703125" style="291" bestFit="1" customWidth="1"/>
    <col min="2318" max="2318" width="14.85546875" style="291" bestFit="1" customWidth="1"/>
    <col min="2319" max="2319" width="16" style="291" bestFit="1" customWidth="1"/>
    <col min="2320" max="2320" width="14.85546875" style="291" bestFit="1" customWidth="1"/>
    <col min="2321" max="2321" width="16" style="291" bestFit="1" customWidth="1"/>
    <col min="2322" max="2322" width="12.7109375" style="291" bestFit="1" customWidth="1"/>
    <col min="2323" max="2323" width="14.85546875" style="291" bestFit="1" customWidth="1"/>
    <col min="2324" max="2561" width="9.140625" style="291"/>
    <col min="2562" max="2562" width="6.28515625" style="291" customWidth="1"/>
    <col min="2563" max="2563" width="4.42578125" style="291" customWidth="1"/>
    <col min="2564" max="2564" width="38.42578125" style="291" customWidth="1"/>
    <col min="2565" max="2566" width="0" style="291" hidden="1" customWidth="1"/>
    <col min="2567" max="2567" width="28.140625" style="291" customWidth="1"/>
    <col min="2568" max="2568" width="19.28515625" style="291" bestFit="1" customWidth="1"/>
    <col min="2569" max="2569" width="18" style="291" bestFit="1" customWidth="1"/>
    <col min="2570" max="2570" width="16.28515625" style="291" bestFit="1" customWidth="1"/>
    <col min="2571" max="2571" width="16.5703125" style="291" bestFit="1" customWidth="1"/>
    <col min="2572" max="2572" width="16.42578125" style="291" bestFit="1" customWidth="1"/>
    <col min="2573" max="2573" width="15.5703125" style="291" bestFit="1" customWidth="1"/>
    <col min="2574" max="2574" width="14.85546875" style="291" bestFit="1" customWidth="1"/>
    <col min="2575" max="2575" width="16" style="291" bestFit="1" customWidth="1"/>
    <col min="2576" max="2576" width="14.85546875" style="291" bestFit="1" customWidth="1"/>
    <col min="2577" max="2577" width="16" style="291" bestFit="1" customWidth="1"/>
    <col min="2578" max="2578" width="12.7109375" style="291" bestFit="1" customWidth="1"/>
    <col min="2579" max="2579" width="14.85546875" style="291" bestFit="1" customWidth="1"/>
    <col min="2580" max="2817" width="9.140625" style="291"/>
    <col min="2818" max="2818" width="6.28515625" style="291" customWidth="1"/>
    <col min="2819" max="2819" width="4.42578125" style="291" customWidth="1"/>
    <col min="2820" max="2820" width="38.42578125" style="291" customWidth="1"/>
    <col min="2821" max="2822" width="0" style="291" hidden="1" customWidth="1"/>
    <col min="2823" max="2823" width="28.140625" style="291" customWidth="1"/>
    <col min="2824" max="2824" width="19.28515625" style="291" bestFit="1" customWidth="1"/>
    <col min="2825" max="2825" width="18" style="291" bestFit="1" customWidth="1"/>
    <col min="2826" max="2826" width="16.28515625" style="291" bestFit="1" customWidth="1"/>
    <col min="2827" max="2827" width="16.5703125" style="291" bestFit="1" customWidth="1"/>
    <col min="2828" max="2828" width="16.42578125" style="291" bestFit="1" customWidth="1"/>
    <col min="2829" max="2829" width="15.5703125" style="291" bestFit="1" customWidth="1"/>
    <col min="2830" max="2830" width="14.85546875" style="291" bestFit="1" customWidth="1"/>
    <col min="2831" max="2831" width="16" style="291" bestFit="1" customWidth="1"/>
    <col min="2832" max="2832" width="14.85546875" style="291" bestFit="1" customWidth="1"/>
    <col min="2833" max="2833" width="16" style="291" bestFit="1" customWidth="1"/>
    <col min="2834" max="2834" width="12.7109375" style="291" bestFit="1" customWidth="1"/>
    <col min="2835" max="2835" width="14.85546875" style="291" bestFit="1" customWidth="1"/>
    <col min="2836" max="3073" width="9.140625" style="291"/>
    <col min="3074" max="3074" width="6.28515625" style="291" customWidth="1"/>
    <col min="3075" max="3075" width="4.42578125" style="291" customWidth="1"/>
    <col min="3076" max="3076" width="38.42578125" style="291" customWidth="1"/>
    <col min="3077" max="3078" width="0" style="291" hidden="1" customWidth="1"/>
    <col min="3079" max="3079" width="28.140625" style="291" customWidth="1"/>
    <col min="3080" max="3080" width="19.28515625" style="291" bestFit="1" customWidth="1"/>
    <col min="3081" max="3081" width="18" style="291" bestFit="1" customWidth="1"/>
    <col min="3082" max="3082" width="16.28515625" style="291" bestFit="1" customWidth="1"/>
    <col min="3083" max="3083" width="16.5703125" style="291" bestFit="1" customWidth="1"/>
    <col min="3084" max="3084" width="16.42578125" style="291" bestFit="1" customWidth="1"/>
    <col min="3085" max="3085" width="15.5703125" style="291" bestFit="1" customWidth="1"/>
    <col min="3086" max="3086" width="14.85546875" style="291" bestFit="1" customWidth="1"/>
    <col min="3087" max="3087" width="16" style="291" bestFit="1" customWidth="1"/>
    <col min="3088" max="3088" width="14.85546875" style="291" bestFit="1" customWidth="1"/>
    <col min="3089" max="3089" width="16" style="291" bestFit="1" customWidth="1"/>
    <col min="3090" max="3090" width="12.7109375" style="291" bestFit="1" customWidth="1"/>
    <col min="3091" max="3091" width="14.85546875" style="291" bestFit="1" customWidth="1"/>
    <col min="3092" max="3329" width="9.140625" style="291"/>
    <col min="3330" max="3330" width="6.28515625" style="291" customWidth="1"/>
    <col min="3331" max="3331" width="4.42578125" style="291" customWidth="1"/>
    <col min="3332" max="3332" width="38.42578125" style="291" customWidth="1"/>
    <col min="3333" max="3334" width="0" style="291" hidden="1" customWidth="1"/>
    <col min="3335" max="3335" width="28.140625" style="291" customWidth="1"/>
    <col min="3336" max="3336" width="19.28515625" style="291" bestFit="1" customWidth="1"/>
    <col min="3337" max="3337" width="18" style="291" bestFit="1" customWidth="1"/>
    <col min="3338" max="3338" width="16.28515625" style="291" bestFit="1" customWidth="1"/>
    <col min="3339" max="3339" width="16.5703125" style="291" bestFit="1" customWidth="1"/>
    <col min="3340" max="3340" width="16.42578125" style="291" bestFit="1" customWidth="1"/>
    <col min="3341" max="3341" width="15.5703125" style="291" bestFit="1" customWidth="1"/>
    <col min="3342" max="3342" width="14.85546875" style="291" bestFit="1" customWidth="1"/>
    <col min="3343" max="3343" width="16" style="291" bestFit="1" customWidth="1"/>
    <col min="3344" max="3344" width="14.85546875" style="291" bestFit="1" customWidth="1"/>
    <col min="3345" max="3345" width="16" style="291" bestFit="1" customWidth="1"/>
    <col min="3346" max="3346" width="12.7109375" style="291" bestFit="1" customWidth="1"/>
    <col min="3347" max="3347" width="14.85546875" style="291" bestFit="1" customWidth="1"/>
    <col min="3348" max="3585" width="9.140625" style="291"/>
    <col min="3586" max="3586" width="6.28515625" style="291" customWidth="1"/>
    <col min="3587" max="3587" width="4.42578125" style="291" customWidth="1"/>
    <col min="3588" max="3588" width="38.42578125" style="291" customWidth="1"/>
    <col min="3589" max="3590" width="0" style="291" hidden="1" customWidth="1"/>
    <col min="3591" max="3591" width="28.140625" style="291" customWidth="1"/>
    <col min="3592" max="3592" width="19.28515625" style="291" bestFit="1" customWidth="1"/>
    <col min="3593" max="3593" width="18" style="291" bestFit="1" customWidth="1"/>
    <col min="3594" max="3594" width="16.28515625" style="291" bestFit="1" customWidth="1"/>
    <col min="3595" max="3595" width="16.5703125" style="291" bestFit="1" customWidth="1"/>
    <col min="3596" max="3596" width="16.42578125" style="291" bestFit="1" customWidth="1"/>
    <col min="3597" max="3597" width="15.5703125" style="291" bestFit="1" customWidth="1"/>
    <col min="3598" max="3598" width="14.85546875" style="291" bestFit="1" customWidth="1"/>
    <col min="3599" max="3599" width="16" style="291" bestFit="1" customWidth="1"/>
    <col min="3600" max="3600" width="14.85546875" style="291" bestFit="1" customWidth="1"/>
    <col min="3601" max="3601" width="16" style="291" bestFit="1" customWidth="1"/>
    <col min="3602" max="3602" width="12.7109375" style="291" bestFit="1" customWidth="1"/>
    <col min="3603" max="3603" width="14.85546875" style="291" bestFit="1" customWidth="1"/>
    <col min="3604" max="3841" width="9.140625" style="291"/>
    <col min="3842" max="3842" width="6.28515625" style="291" customWidth="1"/>
    <col min="3843" max="3843" width="4.42578125" style="291" customWidth="1"/>
    <col min="3844" max="3844" width="38.42578125" style="291" customWidth="1"/>
    <col min="3845" max="3846" width="0" style="291" hidden="1" customWidth="1"/>
    <col min="3847" max="3847" width="28.140625" style="291" customWidth="1"/>
    <col min="3848" max="3848" width="19.28515625" style="291" bestFit="1" customWidth="1"/>
    <col min="3849" max="3849" width="18" style="291" bestFit="1" customWidth="1"/>
    <col min="3850" max="3850" width="16.28515625" style="291" bestFit="1" customWidth="1"/>
    <col min="3851" max="3851" width="16.5703125" style="291" bestFit="1" customWidth="1"/>
    <col min="3852" max="3852" width="16.42578125" style="291" bestFit="1" customWidth="1"/>
    <col min="3853" max="3853" width="15.5703125" style="291" bestFit="1" customWidth="1"/>
    <col min="3854" max="3854" width="14.85546875" style="291" bestFit="1" customWidth="1"/>
    <col min="3855" max="3855" width="16" style="291" bestFit="1" customWidth="1"/>
    <col min="3856" max="3856" width="14.85546875" style="291" bestFit="1" customWidth="1"/>
    <col min="3857" max="3857" width="16" style="291" bestFit="1" customWidth="1"/>
    <col min="3858" max="3858" width="12.7109375" style="291" bestFit="1" customWidth="1"/>
    <col min="3859" max="3859" width="14.85546875" style="291" bestFit="1" customWidth="1"/>
    <col min="3860" max="4097" width="9.140625" style="291"/>
    <col min="4098" max="4098" width="6.28515625" style="291" customWidth="1"/>
    <col min="4099" max="4099" width="4.42578125" style="291" customWidth="1"/>
    <col min="4100" max="4100" width="38.42578125" style="291" customWidth="1"/>
    <col min="4101" max="4102" width="0" style="291" hidden="1" customWidth="1"/>
    <col min="4103" max="4103" width="28.140625" style="291" customWidth="1"/>
    <col min="4104" max="4104" width="19.28515625" style="291" bestFit="1" customWidth="1"/>
    <col min="4105" max="4105" width="18" style="291" bestFit="1" customWidth="1"/>
    <col min="4106" max="4106" width="16.28515625" style="291" bestFit="1" customWidth="1"/>
    <col min="4107" max="4107" width="16.5703125" style="291" bestFit="1" customWidth="1"/>
    <col min="4108" max="4108" width="16.42578125" style="291" bestFit="1" customWidth="1"/>
    <col min="4109" max="4109" width="15.5703125" style="291" bestFit="1" customWidth="1"/>
    <col min="4110" max="4110" width="14.85546875" style="291" bestFit="1" customWidth="1"/>
    <col min="4111" max="4111" width="16" style="291" bestFit="1" customWidth="1"/>
    <col min="4112" max="4112" width="14.85546875" style="291" bestFit="1" customWidth="1"/>
    <col min="4113" max="4113" width="16" style="291" bestFit="1" customWidth="1"/>
    <col min="4114" max="4114" width="12.7109375" style="291" bestFit="1" customWidth="1"/>
    <col min="4115" max="4115" width="14.85546875" style="291" bestFit="1" customWidth="1"/>
    <col min="4116" max="4353" width="9.140625" style="291"/>
    <col min="4354" max="4354" width="6.28515625" style="291" customWidth="1"/>
    <col min="4355" max="4355" width="4.42578125" style="291" customWidth="1"/>
    <col min="4356" max="4356" width="38.42578125" style="291" customWidth="1"/>
    <col min="4357" max="4358" width="0" style="291" hidden="1" customWidth="1"/>
    <col min="4359" max="4359" width="28.140625" style="291" customWidth="1"/>
    <col min="4360" max="4360" width="19.28515625" style="291" bestFit="1" customWidth="1"/>
    <col min="4361" max="4361" width="18" style="291" bestFit="1" customWidth="1"/>
    <col min="4362" max="4362" width="16.28515625" style="291" bestFit="1" customWidth="1"/>
    <col min="4363" max="4363" width="16.5703125" style="291" bestFit="1" customWidth="1"/>
    <col min="4364" max="4364" width="16.42578125" style="291" bestFit="1" customWidth="1"/>
    <col min="4365" max="4365" width="15.5703125" style="291" bestFit="1" customWidth="1"/>
    <col min="4366" max="4366" width="14.85546875" style="291" bestFit="1" customWidth="1"/>
    <col min="4367" max="4367" width="16" style="291" bestFit="1" customWidth="1"/>
    <col min="4368" max="4368" width="14.85546875" style="291" bestFit="1" customWidth="1"/>
    <col min="4369" max="4369" width="16" style="291" bestFit="1" customWidth="1"/>
    <col min="4370" max="4370" width="12.7109375" style="291" bestFit="1" customWidth="1"/>
    <col min="4371" max="4371" width="14.85546875" style="291" bestFit="1" customWidth="1"/>
    <col min="4372" max="4609" width="9.140625" style="291"/>
    <col min="4610" max="4610" width="6.28515625" style="291" customWidth="1"/>
    <col min="4611" max="4611" width="4.42578125" style="291" customWidth="1"/>
    <col min="4612" max="4612" width="38.42578125" style="291" customWidth="1"/>
    <col min="4613" max="4614" width="0" style="291" hidden="1" customWidth="1"/>
    <col min="4615" max="4615" width="28.140625" style="291" customWidth="1"/>
    <col min="4616" max="4616" width="19.28515625" style="291" bestFit="1" customWidth="1"/>
    <col min="4617" max="4617" width="18" style="291" bestFit="1" customWidth="1"/>
    <col min="4618" max="4618" width="16.28515625" style="291" bestFit="1" customWidth="1"/>
    <col min="4619" max="4619" width="16.5703125" style="291" bestFit="1" customWidth="1"/>
    <col min="4620" max="4620" width="16.42578125" style="291" bestFit="1" customWidth="1"/>
    <col min="4621" max="4621" width="15.5703125" style="291" bestFit="1" customWidth="1"/>
    <col min="4622" max="4622" width="14.85546875" style="291" bestFit="1" customWidth="1"/>
    <col min="4623" max="4623" width="16" style="291" bestFit="1" customWidth="1"/>
    <col min="4624" max="4624" width="14.85546875" style="291" bestFit="1" customWidth="1"/>
    <col min="4625" max="4625" width="16" style="291" bestFit="1" customWidth="1"/>
    <col min="4626" max="4626" width="12.7109375" style="291" bestFit="1" customWidth="1"/>
    <col min="4627" max="4627" width="14.85546875" style="291" bestFit="1" customWidth="1"/>
    <col min="4628" max="4865" width="9.140625" style="291"/>
    <col min="4866" max="4866" width="6.28515625" style="291" customWidth="1"/>
    <col min="4867" max="4867" width="4.42578125" style="291" customWidth="1"/>
    <col min="4868" max="4868" width="38.42578125" style="291" customWidth="1"/>
    <col min="4869" max="4870" width="0" style="291" hidden="1" customWidth="1"/>
    <col min="4871" max="4871" width="28.140625" style="291" customWidth="1"/>
    <col min="4872" max="4872" width="19.28515625" style="291" bestFit="1" customWidth="1"/>
    <col min="4873" max="4873" width="18" style="291" bestFit="1" customWidth="1"/>
    <col min="4874" max="4874" width="16.28515625" style="291" bestFit="1" customWidth="1"/>
    <col min="4875" max="4875" width="16.5703125" style="291" bestFit="1" customWidth="1"/>
    <col min="4876" max="4876" width="16.42578125" style="291" bestFit="1" customWidth="1"/>
    <col min="4877" max="4877" width="15.5703125" style="291" bestFit="1" customWidth="1"/>
    <col min="4878" max="4878" width="14.85546875" style="291" bestFit="1" customWidth="1"/>
    <col min="4879" max="4879" width="16" style="291" bestFit="1" customWidth="1"/>
    <col min="4880" max="4880" width="14.85546875" style="291" bestFit="1" customWidth="1"/>
    <col min="4881" max="4881" width="16" style="291" bestFit="1" customWidth="1"/>
    <col min="4882" max="4882" width="12.7109375" style="291" bestFit="1" customWidth="1"/>
    <col min="4883" max="4883" width="14.85546875" style="291" bestFit="1" customWidth="1"/>
    <col min="4884" max="5121" width="9.140625" style="291"/>
    <col min="5122" max="5122" width="6.28515625" style="291" customWidth="1"/>
    <col min="5123" max="5123" width="4.42578125" style="291" customWidth="1"/>
    <col min="5124" max="5124" width="38.42578125" style="291" customWidth="1"/>
    <col min="5125" max="5126" width="0" style="291" hidden="1" customWidth="1"/>
    <col min="5127" max="5127" width="28.140625" style="291" customWidth="1"/>
    <col min="5128" max="5128" width="19.28515625" style="291" bestFit="1" customWidth="1"/>
    <col min="5129" max="5129" width="18" style="291" bestFit="1" customWidth="1"/>
    <col min="5130" max="5130" width="16.28515625" style="291" bestFit="1" customWidth="1"/>
    <col min="5131" max="5131" width="16.5703125" style="291" bestFit="1" customWidth="1"/>
    <col min="5132" max="5132" width="16.42578125" style="291" bestFit="1" customWidth="1"/>
    <col min="5133" max="5133" width="15.5703125" style="291" bestFit="1" customWidth="1"/>
    <col min="5134" max="5134" width="14.85546875" style="291" bestFit="1" customWidth="1"/>
    <col min="5135" max="5135" width="16" style="291" bestFit="1" customWidth="1"/>
    <col min="5136" max="5136" width="14.85546875" style="291" bestFit="1" customWidth="1"/>
    <col min="5137" max="5137" width="16" style="291" bestFit="1" customWidth="1"/>
    <col min="5138" max="5138" width="12.7109375" style="291" bestFit="1" customWidth="1"/>
    <col min="5139" max="5139" width="14.85546875" style="291" bestFit="1" customWidth="1"/>
    <col min="5140" max="5377" width="9.140625" style="291"/>
    <col min="5378" max="5378" width="6.28515625" style="291" customWidth="1"/>
    <col min="5379" max="5379" width="4.42578125" style="291" customWidth="1"/>
    <col min="5380" max="5380" width="38.42578125" style="291" customWidth="1"/>
    <col min="5381" max="5382" width="0" style="291" hidden="1" customWidth="1"/>
    <col min="5383" max="5383" width="28.140625" style="291" customWidth="1"/>
    <col min="5384" max="5384" width="19.28515625" style="291" bestFit="1" customWidth="1"/>
    <col min="5385" max="5385" width="18" style="291" bestFit="1" customWidth="1"/>
    <col min="5386" max="5386" width="16.28515625" style="291" bestFit="1" customWidth="1"/>
    <col min="5387" max="5387" width="16.5703125" style="291" bestFit="1" customWidth="1"/>
    <col min="5388" max="5388" width="16.42578125" style="291" bestFit="1" customWidth="1"/>
    <col min="5389" max="5389" width="15.5703125" style="291" bestFit="1" customWidth="1"/>
    <col min="5390" max="5390" width="14.85546875" style="291" bestFit="1" customWidth="1"/>
    <col min="5391" max="5391" width="16" style="291" bestFit="1" customWidth="1"/>
    <col min="5392" max="5392" width="14.85546875" style="291" bestFit="1" customWidth="1"/>
    <col min="5393" max="5393" width="16" style="291" bestFit="1" customWidth="1"/>
    <col min="5394" max="5394" width="12.7109375" style="291" bestFit="1" customWidth="1"/>
    <col min="5395" max="5395" width="14.85546875" style="291" bestFit="1" customWidth="1"/>
    <col min="5396" max="5633" width="9.140625" style="291"/>
    <col min="5634" max="5634" width="6.28515625" style="291" customWidth="1"/>
    <col min="5635" max="5635" width="4.42578125" style="291" customWidth="1"/>
    <col min="5636" max="5636" width="38.42578125" style="291" customWidth="1"/>
    <col min="5637" max="5638" width="0" style="291" hidden="1" customWidth="1"/>
    <col min="5639" max="5639" width="28.140625" style="291" customWidth="1"/>
    <col min="5640" max="5640" width="19.28515625" style="291" bestFit="1" customWidth="1"/>
    <col min="5641" max="5641" width="18" style="291" bestFit="1" customWidth="1"/>
    <col min="5642" max="5642" width="16.28515625" style="291" bestFit="1" customWidth="1"/>
    <col min="5643" max="5643" width="16.5703125" style="291" bestFit="1" customWidth="1"/>
    <col min="5644" max="5644" width="16.42578125" style="291" bestFit="1" customWidth="1"/>
    <col min="5645" max="5645" width="15.5703125" style="291" bestFit="1" customWidth="1"/>
    <col min="5646" max="5646" width="14.85546875" style="291" bestFit="1" customWidth="1"/>
    <col min="5647" max="5647" width="16" style="291" bestFit="1" customWidth="1"/>
    <col min="5648" max="5648" width="14.85546875" style="291" bestFit="1" customWidth="1"/>
    <col min="5649" max="5649" width="16" style="291" bestFit="1" customWidth="1"/>
    <col min="5650" max="5650" width="12.7109375" style="291" bestFit="1" customWidth="1"/>
    <col min="5651" max="5651" width="14.85546875" style="291" bestFit="1" customWidth="1"/>
    <col min="5652" max="5889" width="9.140625" style="291"/>
    <col min="5890" max="5890" width="6.28515625" style="291" customWidth="1"/>
    <col min="5891" max="5891" width="4.42578125" style="291" customWidth="1"/>
    <col min="5892" max="5892" width="38.42578125" style="291" customWidth="1"/>
    <col min="5893" max="5894" width="0" style="291" hidden="1" customWidth="1"/>
    <col min="5895" max="5895" width="28.140625" style="291" customWidth="1"/>
    <col min="5896" max="5896" width="19.28515625" style="291" bestFit="1" customWidth="1"/>
    <col min="5897" max="5897" width="18" style="291" bestFit="1" customWidth="1"/>
    <col min="5898" max="5898" width="16.28515625" style="291" bestFit="1" customWidth="1"/>
    <col min="5899" max="5899" width="16.5703125" style="291" bestFit="1" customWidth="1"/>
    <col min="5900" max="5900" width="16.42578125" style="291" bestFit="1" customWidth="1"/>
    <col min="5901" max="5901" width="15.5703125" style="291" bestFit="1" customWidth="1"/>
    <col min="5902" max="5902" width="14.85546875" style="291" bestFit="1" customWidth="1"/>
    <col min="5903" max="5903" width="16" style="291" bestFit="1" customWidth="1"/>
    <col min="5904" max="5904" width="14.85546875" style="291" bestFit="1" customWidth="1"/>
    <col min="5905" max="5905" width="16" style="291" bestFit="1" customWidth="1"/>
    <col min="5906" max="5906" width="12.7109375" style="291" bestFit="1" customWidth="1"/>
    <col min="5907" max="5907" width="14.85546875" style="291" bestFit="1" customWidth="1"/>
    <col min="5908" max="6145" width="9.140625" style="291"/>
    <col min="6146" max="6146" width="6.28515625" style="291" customWidth="1"/>
    <col min="6147" max="6147" width="4.42578125" style="291" customWidth="1"/>
    <col min="6148" max="6148" width="38.42578125" style="291" customWidth="1"/>
    <col min="6149" max="6150" width="0" style="291" hidden="1" customWidth="1"/>
    <col min="6151" max="6151" width="28.140625" style="291" customWidth="1"/>
    <col min="6152" max="6152" width="19.28515625" style="291" bestFit="1" customWidth="1"/>
    <col min="6153" max="6153" width="18" style="291" bestFit="1" customWidth="1"/>
    <col min="6154" max="6154" width="16.28515625" style="291" bestFit="1" customWidth="1"/>
    <col min="6155" max="6155" width="16.5703125" style="291" bestFit="1" customWidth="1"/>
    <col min="6156" max="6156" width="16.42578125" style="291" bestFit="1" customWidth="1"/>
    <col min="6157" max="6157" width="15.5703125" style="291" bestFit="1" customWidth="1"/>
    <col min="6158" max="6158" width="14.85546875" style="291" bestFit="1" customWidth="1"/>
    <col min="6159" max="6159" width="16" style="291" bestFit="1" customWidth="1"/>
    <col min="6160" max="6160" width="14.85546875" style="291" bestFit="1" customWidth="1"/>
    <col min="6161" max="6161" width="16" style="291" bestFit="1" customWidth="1"/>
    <col min="6162" max="6162" width="12.7109375" style="291" bestFit="1" customWidth="1"/>
    <col min="6163" max="6163" width="14.85546875" style="291" bestFit="1" customWidth="1"/>
    <col min="6164" max="6401" width="9.140625" style="291"/>
    <col min="6402" max="6402" width="6.28515625" style="291" customWidth="1"/>
    <col min="6403" max="6403" width="4.42578125" style="291" customWidth="1"/>
    <col min="6404" max="6404" width="38.42578125" style="291" customWidth="1"/>
    <col min="6405" max="6406" width="0" style="291" hidden="1" customWidth="1"/>
    <col min="6407" max="6407" width="28.140625" style="291" customWidth="1"/>
    <col min="6408" max="6408" width="19.28515625" style="291" bestFit="1" customWidth="1"/>
    <col min="6409" max="6409" width="18" style="291" bestFit="1" customWidth="1"/>
    <col min="6410" max="6410" width="16.28515625" style="291" bestFit="1" customWidth="1"/>
    <col min="6411" max="6411" width="16.5703125" style="291" bestFit="1" customWidth="1"/>
    <col min="6412" max="6412" width="16.42578125" style="291" bestFit="1" customWidth="1"/>
    <col min="6413" max="6413" width="15.5703125" style="291" bestFit="1" customWidth="1"/>
    <col min="6414" max="6414" width="14.85546875" style="291" bestFit="1" customWidth="1"/>
    <col min="6415" max="6415" width="16" style="291" bestFit="1" customWidth="1"/>
    <col min="6416" max="6416" width="14.85546875" style="291" bestFit="1" customWidth="1"/>
    <col min="6417" max="6417" width="16" style="291" bestFit="1" customWidth="1"/>
    <col min="6418" max="6418" width="12.7109375" style="291" bestFit="1" customWidth="1"/>
    <col min="6419" max="6419" width="14.85546875" style="291" bestFit="1" customWidth="1"/>
    <col min="6420" max="6657" width="9.140625" style="291"/>
    <col min="6658" max="6658" width="6.28515625" style="291" customWidth="1"/>
    <col min="6659" max="6659" width="4.42578125" style="291" customWidth="1"/>
    <col min="6660" max="6660" width="38.42578125" style="291" customWidth="1"/>
    <col min="6661" max="6662" width="0" style="291" hidden="1" customWidth="1"/>
    <col min="6663" max="6663" width="28.140625" style="291" customWidth="1"/>
    <col min="6664" max="6664" width="19.28515625" style="291" bestFit="1" customWidth="1"/>
    <col min="6665" max="6665" width="18" style="291" bestFit="1" customWidth="1"/>
    <col min="6666" max="6666" width="16.28515625" style="291" bestFit="1" customWidth="1"/>
    <col min="6667" max="6667" width="16.5703125" style="291" bestFit="1" customWidth="1"/>
    <col min="6668" max="6668" width="16.42578125" style="291" bestFit="1" customWidth="1"/>
    <col min="6669" max="6669" width="15.5703125" style="291" bestFit="1" customWidth="1"/>
    <col min="6670" max="6670" width="14.85546875" style="291" bestFit="1" customWidth="1"/>
    <col min="6671" max="6671" width="16" style="291" bestFit="1" customWidth="1"/>
    <col min="6672" max="6672" width="14.85546875" style="291" bestFit="1" customWidth="1"/>
    <col min="6673" max="6673" width="16" style="291" bestFit="1" customWidth="1"/>
    <col min="6674" max="6674" width="12.7109375" style="291" bestFit="1" customWidth="1"/>
    <col min="6675" max="6675" width="14.85546875" style="291" bestFit="1" customWidth="1"/>
    <col min="6676" max="6913" width="9.140625" style="291"/>
    <col min="6914" max="6914" width="6.28515625" style="291" customWidth="1"/>
    <col min="6915" max="6915" width="4.42578125" style="291" customWidth="1"/>
    <col min="6916" max="6916" width="38.42578125" style="291" customWidth="1"/>
    <col min="6917" max="6918" width="0" style="291" hidden="1" customWidth="1"/>
    <col min="6919" max="6919" width="28.140625" style="291" customWidth="1"/>
    <col min="6920" max="6920" width="19.28515625" style="291" bestFit="1" customWidth="1"/>
    <col min="6921" max="6921" width="18" style="291" bestFit="1" customWidth="1"/>
    <col min="6922" max="6922" width="16.28515625" style="291" bestFit="1" customWidth="1"/>
    <col min="6923" max="6923" width="16.5703125" style="291" bestFit="1" customWidth="1"/>
    <col min="6924" max="6924" width="16.42578125" style="291" bestFit="1" customWidth="1"/>
    <col min="6925" max="6925" width="15.5703125" style="291" bestFit="1" customWidth="1"/>
    <col min="6926" max="6926" width="14.85546875" style="291" bestFit="1" customWidth="1"/>
    <col min="6927" max="6927" width="16" style="291" bestFit="1" customWidth="1"/>
    <col min="6928" max="6928" width="14.85546875" style="291" bestFit="1" customWidth="1"/>
    <col min="6929" max="6929" width="16" style="291" bestFit="1" customWidth="1"/>
    <col min="6930" max="6930" width="12.7109375" style="291" bestFit="1" customWidth="1"/>
    <col min="6931" max="6931" width="14.85546875" style="291" bestFit="1" customWidth="1"/>
    <col min="6932" max="7169" width="9.140625" style="291"/>
    <col min="7170" max="7170" width="6.28515625" style="291" customWidth="1"/>
    <col min="7171" max="7171" width="4.42578125" style="291" customWidth="1"/>
    <col min="7172" max="7172" width="38.42578125" style="291" customWidth="1"/>
    <col min="7173" max="7174" width="0" style="291" hidden="1" customWidth="1"/>
    <col min="7175" max="7175" width="28.140625" style="291" customWidth="1"/>
    <col min="7176" max="7176" width="19.28515625" style="291" bestFit="1" customWidth="1"/>
    <col min="7177" max="7177" width="18" style="291" bestFit="1" customWidth="1"/>
    <col min="7178" max="7178" width="16.28515625" style="291" bestFit="1" customWidth="1"/>
    <col min="7179" max="7179" width="16.5703125" style="291" bestFit="1" customWidth="1"/>
    <col min="7180" max="7180" width="16.42578125" style="291" bestFit="1" customWidth="1"/>
    <col min="7181" max="7181" width="15.5703125" style="291" bestFit="1" customWidth="1"/>
    <col min="7182" max="7182" width="14.85546875" style="291" bestFit="1" customWidth="1"/>
    <col min="7183" max="7183" width="16" style="291" bestFit="1" customWidth="1"/>
    <col min="7184" max="7184" width="14.85546875" style="291" bestFit="1" customWidth="1"/>
    <col min="7185" max="7185" width="16" style="291" bestFit="1" customWidth="1"/>
    <col min="7186" max="7186" width="12.7109375" style="291" bestFit="1" customWidth="1"/>
    <col min="7187" max="7187" width="14.85546875" style="291" bestFit="1" customWidth="1"/>
    <col min="7188" max="7425" width="9.140625" style="291"/>
    <col min="7426" max="7426" width="6.28515625" style="291" customWidth="1"/>
    <col min="7427" max="7427" width="4.42578125" style="291" customWidth="1"/>
    <col min="7428" max="7428" width="38.42578125" style="291" customWidth="1"/>
    <col min="7429" max="7430" width="0" style="291" hidden="1" customWidth="1"/>
    <col min="7431" max="7431" width="28.140625" style="291" customWidth="1"/>
    <col min="7432" max="7432" width="19.28515625" style="291" bestFit="1" customWidth="1"/>
    <col min="7433" max="7433" width="18" style="291" bestFit="1" customWidth="1"/>
    <col min="7434" max="7434" width="16.28515625" style="291" bestFit="1" customWidth="1"/>
    <col min="7435" max="7435" width="16.5703125" style="291" bestFit="1" customWidth="1"/>
    <col min="7436" max="7436" width="16.42578125" style="291" bestFit="1" customWidth="1"/>
    <col min="7437" max="7437" width="15.5703125" style="291" bestFit="1" customWidth="1"/>
    <col min="7438" max="7438" width="14.85546875" style="291" bestFit="1" customWidth="1"/>
    <col min="7439" max="7439" width="16" style="291" bestFit="1" customWidth="1"/>
    <col min="7440" max="7440" width="14.85546875" style="291" bestFit="1" customWidth="1"/>
    <col min="7441" max="7441" width="16" style="291" bestFit="1" customWidth="1"/>
    <col min="7442" max="7442" width="12.7109375" style="291" bestFit="1" customWidth="1"/>
    <col min="7443" max="7443" width="14.85546875" style="291" bestFit="1" customWidth="1"/>
    <col min="7444" max="7681" width="9.140625" style="291"/>
    <col min="7682" max="7682" width="6.28515625" style="291" customWidth="1"/>
    <col min="7683" max="7683" width="4.42578125" style="291" customWidth="1"/>
    <col min="7684" max="7684" width="38.42578125" style="291" customWidth="1"/>
    <col min="7685" max="7686" width="0" style="291" hidden="1" customWidth="1"/>
    <col min="7687" max="7687" width="28.140625" style="291" customWidth="1"/>
    <col min="7688" max="7688" width="19.28515625" style="291" bestFit="1" customWidth="1"/>
    <col min="7689" max="7689" width="18" style="291" bestFit="1" customWidth="1"/>
    <col min="7690" max="7690" width="16.28515625" style="291" bestFit="1" customWidth="1"/>
    <col min="7691" max="7691" width="16.5703125" style="291" bestFit="1" customWidth="1"/>
    <col min="7692" max="7692" width="16.42578125" style="291" bestFit="1" customWidth="1"/>
    <col min="7693" max="7693" width="15.5703125" style="291" bestFit="1" customWidth="1"/>
    <col min="7694" max="7694" width="14.85546875" style="291" bestFit="1" customWidth="1"/>
    <col min="7695" max="7695" width="16" style="291" bestFit="1" customWidth="1"/>
    <col min="7696" max="7696" width="14.85546875" style="291" bestFit="1" customWidth="1"/>
    <col min="7697" max="7697" width="16" style="291" bestFit="1" customWidth="1"/>
    <col min="7698" max="7698" width="12.7109375" style="291" bestFit="1" customWidth="1"/>
    <col min="7699" max="7699" width="14.85546875" style="291" bestFit="1" customWidth="1"/>
    <col min="7700" max="7937" width="9.140625" style="291"/>
    <col min="7938" max="7938" width="6.28515625" style="291" customWidth="1"/>
    <col min="7939" max="7939" width="4.42578125" style="291" customWidth="1"/>
    <col min="7940" max="7940" width="38.42578125" style="291" customWidth="1"/>
    <col min="7941" max="7942" width="0" style="291" hidden="1" customWidth="1"/>
    <col min="7943" max="7943" width="28.140625" style="291" customWidth="1"/>
    <col min="7944" max="7944" width="19.28515625" style="291" bestFit="1" customWidth="1"/>
    <col min="7945" max="7945" width="18" style="291" bestFit="1" customWidth="1"/>
    <col min="7946" max="7946" width="16.28515625" style="291" bestFit="1" customWidth="1"/>
    <col min="7947" max="7947" width="16.5703125" style="291" bestFit="1" customWidth="1"/>
    <col min="7948" max="7948" width="16.42578125" style="291" bestFit="1" customWidth="1"/>
    <col min="7949" max="7949" width="15.5703125" style="291" bestFit="1" customWidth="1"/>
    <col min="7950" max="7950" width="14.85546875" style="291" bestFit="1" customWidth="1"/>
    <col min="7951" max="7951" width="16" style="291" bestFit="1" customWidth="1"/>
    <col min="7952" max="7952" width="14.85546875" style="291" bestFit="1" customWidth="1"/>
    <col min="7953" max="7953" width="16" style="291" bestFit="1" customWidth="1"/>
    <col min="7954" max="7954" width="12.7109375" style="291" bestFit="1" customWidth="1"/>
    <col min="7955" max="7955" width="14.85546875" style="291" bestFit="1" customWidth="1"/>
    <col min="7956" max="8193" width="9.140625" style="291"/>
    <col min="8194" max="8194" width="6.28515625" style="291" customWidth="1"/>
    <col min="8195" max="8195" width="4.42578125" style="291" customWidth="1"/>
    <col min="8196" max="8196" width="38.42578125" style="291" customWidth="1"/>
    <col min="8197" max="8198" width="0" style="291" hidden="1" customWidth="1"/>
    <col min="8199" max="8199" width="28.140625" style="291" customWidth="1"/>
    <col min="8200" max="8200" width="19.28515625" style="291" bestFit="1" customWidth="1"/>
    <col min="8201" max="8201" width="18" style="291" bestFit="1" customWidth="1"/>
    <col min="8202" max="8202" width="16.28515625" style="291" bestFit="1" customWidth="1"/>
    <col min="8203" max="8203" width="16.5703125" style="291" bestFit="1" customWidth="1"/>
    <col min="8204" max="8204" width="16.42578125" style="291" bestFit="1" customWidth="1"/>
    <col min="8205" max="8205" width="15.5703125" style="291" bestFit="1" customWidth="1"/>
    <col min="8206" max="8206" width="14.85546875" style="291" bestFit="1" customWidth="1"/>
    <col min="8207" max="8207" width="16" style="291" bestFit="1" customWidth="1"/>
    <col min="8208" max="8208" width="14.85546875" style="291" bestFit="1" customWidth="1"/>
    <col min="8209" max="8209" width="16" style="291" bestFit="1" customWidth="1"/>
    <col min="8210" max="8210" width="12.7109375" style="291" bestFit="1" customWidth="1"/>
    <col min="8211" max="8211" width="14.85546875" style="291" bestFit="1" customWidth="1"/>
    <col min="8212" max="8449" width="9.140625" style="291"/>
    <col min="8450" max="8450" width="6.28515625" style="291" customWidth="1"/>
    <col min="8451" max="8451" width="4.42578125" style="291" customWidth="1"/>
    <col min="8452" max="8452" width="38.42578125" style="291" customWidth="1"/>
    <col min="8453" max="8454" width="0" style="291" hidden="1" customWidth="1"/>
    <col min="8455" max="8455" width="28.140625" style="291" customWidth="1"/>
    <col min="8456" max="8456" width="19.28515625" style="291" bestFit="1" customWidth="1"/>
    <col min="8457" max="8457" width="18" style="291" bestFit="1" customWidth="1"/>
    <col min="8458" max="8458" width="16.28515625" style="291" bestFit="1" customWidth="1"/>
    <col min="8459" max="8459" width="16.5703125" style="291" bestFit="1" customWidth="1"/>
    <col min="8460" max="8460" width="16.42578125" style="291" bestFit="1" customWidth="1"/>
    <col min="8461" max="8461" width="15.5703125" style="291" bestFit="1" customWidth="1"/>
    <col min="8462" max="8462" width="14.85546875" style="291" bestFit="1" customWidth="1"/>
    <col min="8463" max="8463" width="16" style="291" bestFit="1" customWidth="1"/>
    <col min="8464" max="8464" width="14.85546875" style="291" bestFit="1" customWidth="1"/>
    <col min="8465" max="8465" width="16" style="291" bestFit="1" customWidth="1"/>
    <col min="8466" max="8466" width="12.7109375" style="291" bestFit="1" customWidth="1"/>
    <col min="8467" max="8467" width="14.85546875" style="291" bestFit="1" customWidth="1"/>
    <col min="8468" max="8705" width="9.140625" style="291"/>
    <col min="8706" max="8706" width="6.28515625" style="291" customWidth="1"/>
    <col min="8707" max="8707" width="4.42578125" style="291" customWidth="1"/>
    <col min="8708" max="8708" width="38.42578125" style="291" customWidth="1"/>
    <col min="8709" max="8710" width="0" style="291" hidden="1" customWidth="1"/>
    <col min="8711" max="8711" width="28.140625" style="291" customWidth="1"/>
    <col min="8712" max="8712" width="19.28515625" style="291" bestFit="1" customWidth="1"/>
    <col min="8713" max="8713" width="18" style="291" bestFit="1" customWidth="1"/>
    <col min="8714" max="8714" width="16.28515625" style="291" bestFit="1" customWidth="1"/>
    <col min="8715" max="8715" width="16.5703125" style="291" bestFit="1" customWidth="1"/>
    <col min="8716" max="8716" width="16.42578125" style="291" bestFit="1" customWidth="1"/>
    <col min="8717" max="8717" width="15.5703125" style="291" bestFit="1" customWidth="1"/>
    <col min="8718" max="8718" width="14.85546875" style="291" bestFit="1" customWidth="1"/>
    <col min="8719" max="8719" width="16" style="291" bestFit="1" customWidth="1"/>
    <col min="8720" max="8720" width="14.85546875" style="291" bestFit="1" customWidth="1"/>
    <col min="8721" max="8721" width="16" style="291" bestFit="1" customWidth="1"/>
    <col min="8722" max="8722" width="12.7109375" style="291" bestFit="1" customWidth="1"/>
    <col min="8723" max="8723" width="14.85546875" style="291" bestFit="1" customWidth="1"/>
    <col min="8724" max="8961" width="9.140625" style="291"/>
    <col min="8962" max="8962" width="6.28515625" style="291" customWidth="1"/>
    <col min="8963" max="8963" width="4.42578125" style="291" customWidth="1"/>
    <col min="8964" max="8964" width="38.42578125" style="291" customWidth="1"/>
    <col min="8965" max="8966" width="0" style="291" hidden="1" customWidth="1"/>
    <col min="8967" max="8967" width="28.140625" style="291" customWidth="1"/>
    <col min="8968" max="8968" width="19.28515625" style="291" bestFit="1" customWidth="1"/>
    <col min="8969" max="8969" width="18" style="291" bestFit="1" customWidth="1"/>
    <col min="8970" max="8970" width="16.28515625" style="291" bestFit="1" customWidth="1"/>
    <col min="8971" max="8971" width="16.5703125" style="291" bestFit="1" customWidth="1"/>
    <col min="8972" max="8972" width="16.42578125" style="291" bestFit="1" customWidth="1"/>
    <col min="8973" max="8973" width="15.5703125" style="291" bestFit="1" customWidth="1"/>
    <col min="8974" max="8974" width="14.85546875" style="291" bestFit="1" customWidth="1"/>
    <col min="8975" max="8975" width="16" style="291" bestFit="1" customWidth="1"/>
    <col min="8976" max="8976" width="14.85546875" style="291" bestFit="1" customWidth="1"/>
    <col min="8977" max="8977" width="16" style="291" bestFit="1" customWidth="1"/>
    <col min="8978" max="8978" width="12.7109375" style="291" bestFit="1" customWidth="1"/>
    <col min="8979" max="8979" width="14.85546875" style="291" bestFit="1" customWidth="1"/>
    <col min="8980" max="9217" width="9.140625" style="291"/>
    <col min="9218" max="9218" width="6.28515625" style="291" customWidth="1"/>
    <col min="9219" max="9219" width="4.42578125" style="291" customWidth="1"/>
    <col min="9220" max="9220" width="38.42578125" style="291" customWidth="1"/>
    <col min="9221" max="9222" width="0" style="291" hidden="1" customWidth="1"/>
    <col min="9223" max="9223" width="28.140625" style="291" customWidth="1"/>
    <col min="9224" max="9224" width="19.28515625" style="291" bestFit="1" customWidth="1"/>
    <col min="9225" max="9225" width="18" style="291" bestFit="1" customWidth="1"/>
    <col min="9226" max="9226" width="16.28515625" style="291" bestFit="1" customWidth="1"/>
    <col min="9227" max="9227" width="16.5703125" style="291" bestFit="1" customWidth="1"/>
    <col min="9228" max="9228" width="16.42578125" style="291" bestFit="1" customWidth="1"/>
    <col min="9229" max="9229" width="15.5703125" style="291" bestFit="1" customWidth="1"/>
    <col min="9230" max="9230" width="14.85546875" style="291" bestFit="1" customWidth="1"/>
    <col min="9231" max="9231" width="16" style="291" bestFit="1" customWidth="1"/>
    <col min="9232" max="9232" width="14.85546875" style="291" bestFit="1" customWidth="1"/>
    <col min="9233" max="9233" width="16" style="291" bestFit="1" customWidth="1"/>
    <col min="9234" max="9234" width="12.7109375" style="291" bestFit="1" customWidth="1"/>
    <col min="9235" max="9235" width="14.85546875" style="291" bestFit="1" customWidth="1"/>
    <col min="9236" max="9473" width="9.140625" style="291"/>
    <col min="9474" max="9474" width="6.28515625" style="291" customWidth="1"/>
    <col min="9475" max="9475" width="4.42578125" style="291" customWidth="1"/>
    <col min="9476" max="9476" width="38.42578125" style="291" customWidth="1"/>
    <col min="9477" max="9478" width="0" style="291" hidden="1" customWidth="1"/>
    <col min="9479" max="9479" width="28.140625" style="291" customWidth="1"/>
    <col min="9480" max="9480" width="19.28515625" style="291" bestFit="1" customWidth="1"/>
    <col min="9481" max="9481" width="18" style="291" bestFit="1" customWidth="1"/>
    <col min="9482" max="9482" width="16.28515625" style="291" bestFit="1" customWidth="1"/>
    <col min="9483" max="9483" width="16.5703125" style="291" bestFit="1" customWidth="1"/>
    <col min="9484" max="9484" width="16.42578125" style="291" bestFit="1" customWidth="1"/>
    <col min="9485" max="9485" width="15.5703125" style="291" bestFit="1" customWidth="1"/>
    <col min="9486" max="9486" width="14.85546875" style="291" bestFit="1" customWidth="1"/>
    <col min="9487" max="9487" width="16" style="291" bestFit="1" customWidth="1"/>
    <col min="9488" max="9488" width="14.85546875" style="291" bestFit="1" customWidth="1"/>
    <col min="9489" max="9489" width="16" style="291" bestFit="1" customWidth="1"/>
    <col min="9490" max="9490" width="12.7109375" style="291" bestFit="1" customWidth="1"/>
    <col min="9491" max="9491" width="14.85546875" style="291" bestFit="1" customWidth="1"/>
    <col min="9492" max="9729" width="9.140625" style="291"/>
    <col min="9730" max="9730" width="6.28515625" style="291" customWidth="1"/>
    <col min="9731" max="9731" width="4.42578125" style="291" customWidth="1"/>
    <col min="9732" max="9732" width="38.42578125" style="291" customWidth="1"/>
    <col min="9733" max="9734" width="0" style="291" hidden="1" customWidth="1"/>
    <col min="9735" max="9735" width="28.140625" style="291" customWidth="1"/>
    <col min="9736" max="9736" width="19.28515625" style="291" bestFit="1" customWidth="1"/>
    <col min="9737" max="9737" width="18" style="291" bestFit="1" customWidth="1"/>
    <col min="9738" max="9738" width="16.28515625" style="291" bestFit="1" customWidth="1"/>
    <col min="9739" max="9739" width="16.5703125" style="291" bestFit="1" customWidth="1"/>
    <col min="9740" max="9740" width="16.42578125" style="291" bestFit="1" customWidth="1"/>
    <col min="9741" max="9741" width="15.5703125" style="291" bestFit="1" customWidth="1"/>
    <col min="9742" max="9742" width="14.85546875" style="291" bestFit="1" customWidth="1"/>
    <col min="9743" max="9743" width="16" style="291" bestFit="1" customWidth="1"/>
    <col min="9744" max="9744" width="14.85546875" style="291" bestFit="1" customWidth="1"/>
    <col min="9745" max="9745" width="16" style="291" bestFit="1" customWidth="1"/>
    <col min="9746" max="9746" width="12.7109375" style="291" bestFit="1" customWidth="1"/>
    <col min="9747" max="9747" width="14.85546875" style="291" bestFit="1" customWidth="1"/>
    <col min="9748" max="9985" width="9.140625" style="291"/>
    <col min="9986" max="9986" width="6.28515625" style="291" customWidth="1"/>
    <col min="9987" max="9987" width="4.42578125" style="291" customWidth="1"/>
    <col min="9988" max="9988" width="38.42578125" style="291" customWidth="1"/>
    <col min="9989" max="9990" width="0" style="291" hidden="1" customWidth="1"/>
    <col min="9991" max="9991" width="28.140625" style="291" customWidth="1"/>
    <col min="9992" max="9992" width="19.28515625" style="291" bestFit="1" customWidth="1"/>
    <col min="9993" max="9993" width="18" style="291" bestFit="1" customWidth="1"/>
    <col min="9994" max="9994" width="16.28515625" style="291" bestFit="1" customWidth="1"/>
    <col min="9995" max="9995" width="16.5703125" style="291" bestFit="1" customWidth="1"/>
    <col min="9996" max="9996" width="16.42578125" style="291" bestFit="1" customWidth="1"/>
    <col min="9997" max="9997" width="15.5703125" style="291" bestFit="1" customWidth="1"/>
    <col min="9998" max="9998" width="14.85546875" style="291" bestFit="1" customWidth="1"/>
    <col min="9999" max="9999" width="16" style="291" bestFit="1" customWidth="1"/>
    <col min="10000" max="10000" width="14.85546875" style="291" bestFit="1" customWidth="1"/>
    <col min="10001" max="10001" width="16" style="291" bestFit="1" customWidth="1"/>
    <col min="10002" max="10002" width="12.7109375" style="291" bestFit="1" customWidth="1"/>
    <col min="10003" max="10003" width="14.85546875" style="291" bestFit="1" customWidth="1"/>
    <col min="10004" max="10241" width="9.140625" style="291"/>
    <col min="10242" max="10242" width="6.28515625" style="291" customWidth="1"/>
    <col min="10243" max="10243" width="4.42578125" style="291" customWidth="1"/>
    <col min="10244" max="10244" width="38.42578125" style="291" customWidth="1"/>
    <col min="10245" max="10246" width="0" style="291" hidden="1" customWidth="1"/>
    <col min="10247" max="10247" width="28.140625" style="291" customWidth="1"/>
    <col min="10248" max="10248" width="19.28515625" style="291" bestFit="1" customWidth="1"/>
    <col min="10249" max="10249" width="18" style="291" bestFit="1" customWidth="1"/>
    <col min="10250" max="10250" width="16.28515625" style="291" bestFit="1" customWidth="1"/>
    <col min="10251" max="10251" width="16.5703125" style="291" bestFit="1" customWidth="1"/>
    <col min="10252" max="10252" width="16.42578125" style="291" bestFit="1" customWidth="1"/>
    <col min="10253" max="10253" width="15.5703125" style="291" bestFit="1" customWidth="1"/>
    <col min="10254" max="10254" width="14.85546875" style="291" bestFit="1" customWidth="1"/>
    <col min="10255" max="10255" width="16" style="291" bestFit="1" customWidth="1"/>
    <col min="10256" max="10256" width="14.85546875" style="291" bestFit="1" customWidth="1"/>
    <col min="10257" max="10257" width="16" style="291" bestFit="1" customWidth="1"/>
    <col min="10258" max="10258" width="12.7109375" style="291" bestFit="1" customWidth="1"/>
    <col min="10259" max="10259" width="14.85546875" style="291" bestFit="1" customWidth="1"/>
    <col min="10260" max="10497" width="9.140625" style="291"/>
    <col min="10498" max="10498" width="6.28515625" style="291" customWidth="1"/>
    <col min="10499" max="10499" width="4.42578125" style="291" customWidth="1"/>
    <col min="10500" max="10500" width="38.42578125" style="291" customWidth="1"/>
    <col min="10501" max="10502" width="0" style="291" hidden="1" customWidth="1"/>
    <col min="10503" max="10503" width="28.140625" style="291" customWidth="1"/>
    <col min="10504" max="10504" width="19.28515625" style="291" bestFit="1" customWidth="1"/>
    <col min="10505" max="10505" width="18" style="291" bestFit="1" customWidth="1"/>
    <col min="10506" max="10506" width="16.28515625" style="291" bestFit="1" customWidth="1"/>
    <col min="10507" max="10507" width="16.5703125" style="291" bestFit="1" customWidth="1"/>
    <col min="10508" max="10508" width="16.42578125" style="291" bestFit="1" customWidth="1"/>
    <col min="10509" max="10509" width="15.5703125" style="291" bestFit="1" customWidth="1"/>
    <col min="10510" max="10510" width="14.85546875" style="291" bestFit="1" customWidth="1"/>
    <col min="10511" max="10511" width="16" style="291" bestFit="1" customWidth="1"/>
    <col min="10512" max="10512" width="14.85546875" style="291" bestFit="1" customWidth="1"/>
    <col min="10513" max="10513" width="16" style="291" bestFit="1" customWidth="1"/>
    <col min="10514" max="10514" width="12.7109375" style="291" bestFit="1" customWidth="1"/>
    <col min="10515" max="10515" width="14.85546875" style="291" bestFit="1" customWidth="1"/>
    <col min="10516" max="10753" width="9.140625" style="291"/>
    <col min="10754" max="10754" width="6.28515625" style="291" customWidth="1"/>
    <col min="10755" max="10755" width="4.42578125" style="291" customWidth="1"/>
    <col min="10756" max="10756" width="38.42578125" style="291" customWidth="1"/>
    <col min="10757" max="10758" width="0" style="291" hidden="1" customWidth="1"/>
    <col min="10759" max="10759" width="28.140625" style="291" customWidth="1"/>
    <col min="10760" max="10760" width="19.28515625" style="291" bestFit="1" customWidth="1"/>
    <col min="10761" max="10761" width="18" style="291" bestFit="1" customWidth="1"/>
    <col min="10762" max="10762" width="16.28515625" style="291" bestFit="1" customWidth="1"/>
    <col min="10763" max="10763" width="16.5703125" style="291" bestFit="1" customWidth="1"/>
    <col min="10764" max="10764" width="16.42578125" style="291" bestFit="1" customWidth="1"/>
    <col min="10765" max="10765" width="15.5703125" style="291" bestFit="1" customWidth="1"/>
    <col min="10766" max="10766" width="14.85546875" style="291" bestFit="1" customWidth="1"/>
    <col min="10767" max="10767" width="16" style="291" bestFit="1" customWidth="1"/>
    <col min="10768" max="10768" width="14.85546875" style="291" bestFit="1" customWidth="1"/>
    <col min="10769" max="10769" width="16" style="291" bestFit="1" customWidth="1"/>
    <col min="10770" max="10770" width="12.7109375" style="291" bestFit="1" customWidth="1"/>
    <col min="10771" max="10771" width="14.85546875" style="291" bestFit="1" customWidth="1"/>
    <col min="10772" max="11009" width="9.140625" style="291"/>
    <col min="11010" max="11010" width="6.28515625" style="291" customWidth="1"/>
    <col min="11011" max="11011" width="4.42578125" style="291" customWidth="1"/>
    <col min="11012" max="11012" width="38.42578125" style="291" customWidth="1"/>
    <col min="11013" max="11014" width="0" style="291" hidden="1" customWidth="1"/>
    <col min="11015" max="11015" width="28.140625" style="291" customWidth="1"/>
    <col min="11016" max="11016" width="19.28515625" style="291" bestFit="1" customWidth="1"/>
    <col min="11017" max="11017" width="18" style="291" bestFit="1" customWidth="1"/>
    <col min="11018" max="11018" width="16.28515625" style="291" bestFit="1" customWidth="1"/>
    <col min="11019" max="11019" width="16.5703125" style="291" bestFit="1" customWidth="1"/>
    <col min="11020" max="11020" width="16.42578125" style="291" bestFit="1" customWidth="1"/>
    <col min="11021" max="11021" width="15.5703125" style="291" bestFit="1" customWidth="1"/>
    <col min="11022" max="11022" width="14.85546875" style="291" bestFit="1" customWidth="1"/>
    <col min="11023" max="11023" width="16" style="291" bestFit="1" customWidth="1"/>
    <col min="11024" max="11024" width="14.85546875" style="291" bestFit="1" customWidth="1"/>
    <col min="11025" max="11025" width="16" style="291" bestFit="1" customWidth="1"/>
    <col min="11026" max="11026" width="12.7109375" style="291" bestFit="1" customWidth="1"/>
    <col min="11027" max="11027" width="14.85546875" style="291" bestFit="1" customWidth="1"/>
    <col min="11028" max="11265" width="9.140625" style="291"/>
    <col min="11266" max="11266" width="6.28515625" style="291" customWidth="1"/>
    <col min="11267" max="11267" width="4.42578125" style="291" customWidth="1"/>
    <col min="11268" max="11268" width="38.42578125" style="291" customWidth="1"/>
    <col min="11269" max="11270" width="0" style="291" hidden="1" customWidth="1"/>
    <col min="11271" max="11271" width="28.140625" style="291" customWidth="1"/>
    <col min="11272" max="11272" width="19.28515625" style="291" bestFit="1" customWidth="1"/>
    <col min="11273" max="11273" width="18" style="291" bestFit="1" customWidth="1"/>
    <col min="11274" max="11274" width="16.28515625" style="291" bestFit="1" customWidth="1"/>
    <col min="11275" max="11275" width="16.5703125" style="291" bestFit="1" customWidth="1"/>
    <col min="11276" max="11276" width="16.42578125" style="291" bestFit="1" customWidth="1"/>
    <col min="11277" max="11277" width="15.5703125" style="291" bestFit="1" customWidth="1"/>
    <col min="11278" max="11278" width="14.85546875" style="291" bestFit="1" customWidth="1"/>
    <col min="11279" max="11279" width="16" style="291" bestFit="1" customWidth="1"/>
    <col min="11280" max="11280" width="14.85546875" style="291" bestFit="1" customWidth="1"/>
    <col min="11281" max="11281" width="16" style="291" bestFit="1" customWidth="1"/>
    <col min="11282" max="11282" width="12.7109375" style="291" bestFit="1" customWidth="1"/>
    <col min="11283" max="11283" width="14.85546875" style="291" bestFit="1" customWidth="1"/>
    <col min="11284" max="11521" width="9.140625" style="291"/>
    <col min="11522" max="11522" width="6.28515625" style="291" customWidth="1"/>
    <col min="11523" max="11523" width="4.42578125" style="291" customWidth="1"/>
    <col min="11524" max="11524" width="38.42578125" style="291" customWidth="1"/>
    <col min="11525" max="11526" width="0" style="291" hidden="1" customWidth="1"/>
    <col min="11527" max="11527" width="28.140625" style="291" customWidth="1"/>
    <col min="11528" max="11528" width="19.28515625" style="291" bestFit="1" customWidth="1"/>
    <col min="11529" max="11529" width="18" style="291" bestFit="1" customWidth="1"/>
    <col min="11530" max="11530" width="16.28515625" style="291" bestFit="1" customWidth="1"/>
    <col min="11531" max="11531" width="16.5703125" style="291" bestFit="1" customWidth="1"/>
    <col min="11532" max="11532" width="16.42578125" style="291" bestFit="1" customWidth="1"/>
    <col min="11533" max="11533" width="15.5703125" style="291" bestFit="1" customWidth="1"/>
    <col min="11534" max="11534" width="14.85546875" style="291" bestFit="1" customWidth="1"/>
    <col min="11535" max="11535" width="16" style="291" bestFit="1" customWidth="1"/>
    <col min="11536" max="11536" width="14.85546875" style="291" bestFit="1" customWidth="1"/>
    <col min="11537" max="11537" width="16" style="291" bestFit="1" customWidth="1"/>
    <col min="11538" max="11538" width="12.7109375" style="291" bestFit="1" customWidth="1"/>
    <col min="11539" max="11539" width="14.85546875" style="291" bestFit="1" customWidth="1"/>
    <col min="11540" max="11777" width="9.140625" style="291"/>
    <col min="11778" max="11778" width="6.28515625" style="291" customWidth="1"/>
    <col min="11779" max="11779" width="4.42578125" style="291" customWidth="1"/>
    <col min="11780" max="11780" width="38.42578125" style="291" customWidth="1"/>
    <col min="11781" max="11782" width="0" style="291" hidden="1" customWidth="1"/>
    <col min="11783" max="11783" width="28.140625" style="291" customWidth="1"/>
    <col min="11784" max="11784" width="19.28515625" style="291" bestFit="1" customWidth="1"/>
    <col min="11785" max="11785" width="18" style="291" bestFit="1" customWidth="1"/>
    <col min="11786" max="11786" width="16.28515625" style="291" bestFit="1" customWidth="1"/>
    <col min="11787" max="11787" width="16.5703125" style="291" bestFit="1" customWidth="1"/>
    <col min="11788" max="11788" width="16.42578125" style="291" bestFit="1" customWidth="1"/>
    <col min="11789" max="11789" width="15.5703125" style="291" bestFit="1" customWidth="1"/>
    <col min="11790" max="11790" width="14.85546875" style="291" bestFit="1" customWidth="1"/>
    <col min="11791" max="11791" width="16" style="291" bestFit="1" customWidth="1"/>
    <col min="11792" max="11792" width="14.85546875" style="291" bestFit="1" customWidth="1"/>
    <col min="11793" max="11793" width="16" style="291" bestFit="1" customWidth="1"/>
    <col min="11794" max="11794" width="12.7109375" style="291" bestFit="1" customWidth="1"/>
    <col min="11795" max="11795" width="14.85546875" style="291" bestFit="1" customWidth="1"/>
    <col min="11796" max="12033" width="9.140625" style="291"/>
    <col min="12034" max="12034" width="6.28515625" style="291" customWidth="1"/>
    <col min="12035" max="12035" width="4.42578125" style="291" customWidth="1"/>
    <col min="12036" max="12036" width="38.42578125" style="291" customWidth="1"/>
    <col min="12037" max="12038" width="0" style="291" hidden="1" customWidth="1"/>
    <col min="12039" max="12039" width="28.140625" style="291" customWidth="1"/>
    <col min="12040" max="12040" width="19.28515625" style="291" bestFit="1" customWidth="1"/>
    <col min="12041" max="12041" width="18" style="291" bestFit="1" customWidth="1"/>
    <col min="12042" max="12042" width="16.28515625" style="291" bestFit="1" customWidth="1"/>
    <col min="12043" max="12043" width="16.5703125" style="291" bestFit="1" customWidth="1"/>
    <col min="12044" max="12044" width="16.42578125" style="291" bestFit="1" customWidth="1"/>
    <col min="12045" max="12045" width="15.5703125" style="291" bestFit="1" customWidth="1"/>
    <col min="12046" max="12046" width="14.85546875" style="291" bestFit="1" customWidth="1"/>
    <col min="12047" max="12047" width="16" style="291" bestFit="1" customWidth="1"/>
    <col min="12048" max="12048" width="14.85546875" style="291" bestFit="1" customWidth="1"/>
    <col min="12049" max="12049" width="16" style="291" bestFit="1" customWidth="1"/>
    <col min="12050" max="12050" width="12.7109375" style="291" bestFit="1" customWidth="1"/>
    <col min="12051" max="12051" width="14.85546875" style="291" bestFit="1" customWidth="1"/>
    <col min="12052" max="12289" width="9.140625" style="291"/>
    <col min="12290" max="12290" width="6.28515625" style="291" customWidth="1"/>
    <col min="12291" max="12291" width="4.42578125" style="291" customWidth="1"/>
    <col min="12292" max="12292" width="38.42578125" style="291" customWidth="1"/>
    <col min="12293" max="12294" width="0" style="291" hidden="1" customWidth="1"/>
    <col min="12295" max="12295" width="28.140625" style="291" customWidth="1"/>
    <col min="12296" max="12296" width="19.28515625" style="291" bestFit="1" customWidth="1"/>
    <col min="12297" max="12297" width="18" style="291" bestFit="1" customWidth="1"/>
    <col min="12298" max="12298" width="16.28515625" style="291" bestFit="1" customWidth="1"/>
    <col min="12299" max="12299" width="16.5703125" style="291" bestFit="1" customWidth="1"/>
    <col min="12300" max="12300" width="16.42578125" style="291" bestFit="1" customWidth="1"/>
    <col min="12301" max="12301" width="15.5703125" style="291" bestFit="1" customWidth="1"/>
    <col min="12302" max="12302" width="14.85546875" style="291" bestFit="1" customWidth="1"/>
    <col min="12303" max="12303" width="16" style="291" bestFit="1" customWidth="1"/>
    <col min="12304" max="12304" width="14.85546875" style="291" bestFit="1" customWidth="1"/>
    <col min="12305" max="12305" width="16" style="291" bestFit="1" customWidth="1"/>
    <col min="12306" max="12306" width="12.7109375" style="291" bestFit="1" customWidth="1"/>
    <col min="12307" max="12307" width="14.85546875" style="291" bestFit="1" customWidth="1"/>
    <col min="12308" max="12545" width="9.140625" style="291"/>
    <col min="12546" max="12546" width="6.28515625" style="291" customWidth="1"/>
    <col min="12547" max="12547" width="4.42578125" style="291" customWidth="1"/>
    <col min="12548" max="12548" width="38.42578125" style="291" customWidth="1"/>
    <col min="12549" max="12550" width="0" style="291" hidden="1" customWidth="1"/>
    <col min="12551" max="12551" width="28.140625" style="291" customWidth="1"/>
    <col min="12552" max="12552" width="19.28515625" style="291" bestFit="1" customWidth="1"/>
    <col min="12553" max="12553" width="18" style="291" bestFit="1" customWidth="1"/>
    <col min="12554" max="12554" width="16.28515625" style="291" bestFit="1" customWidth="1"/>
    <col min="12555" max="12555" width="16.5703125" style="291" bestFit="1" customWidth="1"/>
    <col min="12556" max="12556" width="16.42578125" style="291" bestFit="1" customWidth="1"/>
    <col min="12557" max="12557" width="15.5703125" style="291" bestFit="1" customWidth="1"/>
    <col min="12558" max="12558" width="14.85546875" style="291" bestFit="1" customWidth="1"/>
    <col min="12559" max="12559" width="16" style="291" bestFit="1" customWidth="1"/>
    <col min="12560" max="12560" width="14.85546875" style="291" bestFit="1" customWidth="1"/>
    <col min="12561" max="12561" width="16" style="291" bestFit="1" customWidth="1"/>
    <col min="12562" max="12562" width="12.7109375" style="291" bestFit="1" customWidth="1"/>
    <col min="12563" max="12563" width="14.85546875" style="291" bestFit="1" customWidth="1"/>
    <col min="12564" max="12801" width="9.140625" style="291"/>
    <col min="12802" max="12802" width="6.28515625" style="291" customWidth="1"/>
    <col min="12803" max="12803" width="4.42578125" style="291" customWidth="1"/>
    <col min="12804" max="12804" width="38.42578125" style="291" customWidth="1"/>
    <col min="12805" max="12806" width="0" style="291" hidden="1" customWidth="1"/>
    <col min="12807" max="12807" width="28.140625" style="291" customWidth="1"/>
    <col min="12808" max="12808" width="19.28515625" style="291" bestFit="1" customWidth="1"/>
    <col min="12809" max="12809" width="18" style="291" bestFit="1" customWidth="1"/>
    <col min="12810" max="12810" width="16.28515625" style="291" bestFit="1" customWidth="1"/>
    <col min="12811" max="12811" width="16.5703125" style="291" bestFit="1" customWidth="1"/>
    <col min="12812" max="12812" width="16.42578125" style="291" bestFit="1" customWidth="1"/>
    <col min="12813" max="12813" width="15.5703125" style="291" bestFit="1" customWidth="1"/>
    <col min="12814" max="12814" width="14.85546875" style="291" bestFit="1" customWidth="1"/>
    <col min="12815" max="12815" width="16" style="291" bestFit="1" customWidth="1"/>
    <col min="12816" max="12816" width="14.85546875" style="291" bestFit="1" customWidth="1"/>
    <col min="12817" max="12817" width="16" style="291" bestFit="1" customWidth="1"/>
    <col min="12818" max="12818" width="12.7109375" style="291" bestFit="1" customWidth="1"/>
    <col min="12819" max="12819" width="14.85546875" style="291" bestFit="1" customWidth="1"/>
    <col min="12820" max="13057" width="9.140625" style="291"/>
    <col min="13058" max="13058" width="6.28515625" style="291" customWidth="1"/>
    <col min="13059" max="13059" width="4.42578125" style="291" customWidth="1"/>
    <col min="13060" max="13060" width="38.42578125" style="291" customWidth="1"/>
    <col min="13061" max="13062" width="0" style="291" hidden="1" customWidth="1"/>
    <col min="13063" max="13063" width="28.140625" style="291" customWidth="1"/>
    <col min="13064" max="13064" width="19.28515625" style="291" bestFit="1" customWidth="1"/>
    <col min="13065" max="13065" width="18" style="291" bestFit="1" customWidth="1"/>
    <col min="13066" max="13066" width="16.28515625" style="291" bestFit="1" customWidth="1"/>
    <col min="13067" max="13067" width="16.5703125" style="291" bestFit="1" customWidth="1"/>
    <col min="13068" max="13068" width="16.42578125" style="291" bestFit="1" customWidth="1"/>
    <col min="13069" max="13069" width="15.5703125" style="291" bestFit="1" customWidth="1"/>
    <col min="13070" max="13070" width="14.85546875" style="291" bestFit="1" customWidth="1"/>
    <col min="13071" max="13071" width="16" style="291" bestFit="1" customWidth="1"/>
    <col min="13072" max="13072" width="14.85546875" style="291" bestFit="1" customWidth="1"/>
    <col min="13073" max="13073" width="16" style="291" bestFit="1" customWidth="1"/>
    <col min="13074" max="13074" width="12.7109375" style="291" bestFit="1" customWidth="1"/>
    <col min="13075" max="13075" width="14.85546875" style="291" bestFit="1" customWidth="1"/>
    <col min="13076" max="13313" width="9.140625" style="291"/>
    <col min="13314" max="13314" width="6.28515625" style="291" customWidth="1"/>
    <col min="13315" max="13315" width="4.42578125" style="291" customWidth="1"/>
    <col min="13316" max="13316" width="38.42578125" style="291" customWidth="1"/>
    <col min="13317" max="13318" width="0" style="291" hidden="1" customWidth="1"/>
    <col min="13319" max="13319" width="28.140625" style="291" customWidth="1"/>
    <col min="13320" max="13320" width="19.28515625" style="291" bestFit="1" customWidth="1"/>
    <col min="13321" max="13321" width="18" style="291" bestFit="1" customWidth="1"/>
    <col min="13322" max="13322" width="16.28515625" style="291" bestFit="1" customWidth="1"/>
    <col min="13323" max="13323" width="16.5703125" style="291" bestFit="1" customWidth="1"/>
    <col min="13324" max="13324" width="16.42578125" style="291" bestFit="1" customWidth="1"/>
    <col min="13325" max="13325" width="15.5703125" style="291" bestFit="1" customWidth="1"/>
    <col min="13326" max="13326" width="14.85546875" style="291" bestFit="1" customWidth="1"/>
    <col min="13327" max="13327" width="16" style="291" bestFit="1" customWidth="1"/>
    <col min="13328" max="13328" width="14.85546875" style="291" bestFit="1" customWidth="1"/>
    <col min="13329" max="13329" width="16" style="291" bestFit="1" customWidth="1"/>
    <col min="13330" max="13330" width="12.7109375" style="291" bestFit="1" customWidth="1"/>
    <col min="13331" max="13331" width="14.85546875" style="291" bestFit="1" customWidth="1"/>
    <col min="13332" max="13569" width="9.140625" style="291"/>
    <col min="13570" max="13570" width="6.28515625" style="291" customWidth="1"/>
    <col min="13571" max="13571" width="4.42578125" style="291" customWidth="1"/>
    <col min="13572" max="13572" width="38.42578125" style="291" customWidth="1"/>
    <col min="13573" max="13574" width="0" style="291" hidden="1" customWidth="1"/>
    <col min="13575" max="13575" width="28.140625" style="291" customWidth="1"/>
    <col min="13576" max="13576" width="19.28515625" style="291" bestFit="1" customWidth="1"/>
    <col min="13577" max="13577" width="18" style="291" bestFit="1" customWidth="1"/>
    <col min="13578" max="13578" width="16.28515625" style="291" bestFit="1" customWidth="1"/>
    <col min="13579" max="13579" width="16.5703125" style="291" bestFit="1" customWidth="1"/>
    <col min="13580" max="13580" width="16.42578125" style="291" bestFit="1" customWidth="1"/>
    <col min="13581" max="13581" width="15.5703125" style="291" bestFit="1" customWidth="1"/>
    <col min="13582" max="13582" width="14.85546875" style="291" bestFit="1" customWidth="1"/>
    <col min="13583" max="13583" width="16" style="291" bestFit="1" customWidth="1"/>
    <col min="13584" max="13584" width="14.85546875" style="291" bestFit="1" customWidth="1"/>
    <col min="13585" max="13585" width="16" style="291" bestFit="1" customWidth="1"/>
    <col min="13586" max="13586" width="12.7109375" style="291" bestFit="1" customWidth="1"/>
    <col min="13587" max="13587" width="14.85546875" style="291" bestFit="1" customWidth="1"/>
    <col min="13588" max="13825" width="9.140625" style="291"/>
    <col min="13826" max="13826" width="6.28515625" style="291" customWidth="1"/>
    <col min="13827" max="13827" width="4.42578125" style="291" customWidth="1"/>
    <col min="13828" max="13828" width="38.42578125" style="291" customWidth="1"/>
    <col min="13829" max="13830" width="0" style="291" hidden="1" customWidth="1"/>
    <col min="13831" max="13831" width="28.140625" style="291" customWidth="1"/>
    <col min="13832" max="13832" width="19.28515625" style="291" bestFit="1" customWidth="1"/>
    <col min="13833" max="13833" width="18" style="291" bestFit="1" customWidth="1"/>
    <col min="13834" max="13834" width="16.28515625" style="291" bestFit="1" customWidth="1"/>
    <col min="13835" max="13835" width="16.5703125" style="291" bestFit="1" customWidth="1"/>
    <col min="13836" max="13836" width="16.42578125" style="291" bestFit="1" customWidth="1"/>
    <col min="13837" max="13837" width="15.5703125" style="291" bestFit="1" customWidth="1"/>
    <col min="13838" max="13838" width="14.85546875" style="291" bestFit="1" customWidth="1"/>
    <col min="13839" max="13839" width="16" style="291" bestFit="1" customWidth="1"/>
    <col min="13840" max="13840" width="14.85546875" style="291" bestFit="1" customWidth="1"/>
    <col min="13841" max="13841" width="16" style="291" bestFit="1" customWidth="1"/>
    <col min="13842" max="13842" width="12.7109375" style="291" bestFit="1" customWidth="1"/>
    <col min="13843" max="13843" width="14.85546875" style="291" bestFit="1" customWidth="1"/>
    <col min="13844" max="14081" width="9.140625" style="291"/>
    <col min="14082" max="14082" width="6.28515625" style="291" customWidth="1"/>
    <col min="14083" max="14083" width="4.42578125" style="291" customWidth="1"/>
    <col min="14084" max="14084" width="38.42578125" style="291" customWidth="1"/>
    <col min="14085" max="14086" width="0" style="291" hidden="1" customWidth="1"/>
    <col min="14087" max="14087" width="28.140625" style="291" customWidth="1"/>
    <col min="14088" max="14088" width="19.28515625" style="291" bestFit="1" customWidth="1"/>
    <col min="14089" max="14089" width="18" style="291" bestFit="1" customWidth="1"/>
    <col min="14090" max="14090" width="16.28515625" style="291" bestFit="1" customWidth="1"/>
    <col min="14091" max="14091" width="16.5703125" style="291" bestFit="1" customWidth="1"/>
    <col min="14092" max="14092" width="16.42578125" style="291" bestFit="1" customWidth="1"/>
    <col min="14093" max="14093" width="15.5703125" style="291" bestFit="1" customWidth="1"/>
    <col min="14094" max="14094" width="14.85546875" style="291" bestFit="1" customWidth="1"/>
    <col min="14095" max="14095" width="16" style="291" bestFit="1" customWidth="1"/>
    <col min="14096" max="14096" width="14.85546875" style="291" bestFit="1" customWidth="1"/>
    <col min="14097" max="14097" width="16" style="291" bestFit="1" customWidth="1"/>
    <col min="14098" max="14098" width="12.7109375" style="291" bestFit="1" customWidth="1"/>
    <col min="14099" max="14099" width="14.85546875" style="291" bestFit="1" customWidth="1"/>
    <col min="14100" max="14337" width="9.140625" style="291"/>
    <col min="14338" max="14338" width="6.28515625" style="291" customWidth="1"/>
    <col min="14339" max="14339" width="4.42578125" style="291" customWidth="1"/>
    <col min="14340" max="14340" width="38.42578125" style="291" customWidth="1"/>
    <col min="14341" max="14342" width="0" style="291" hidden="1" customWidth="1"/>
    <col min="14343" max="14343" width="28.140625" style="291" customWidth="1"/>
    <col min="14344" max="14344" width="19.28515625" style="291" bestFit="1" customWidth="1"/>
    <col min="14345" max="14345" width="18" style="291" bestFit="1" customWidth="1"/>
    <col min="14346" max="14346" width="16.28515625" style="291" bestFit="1" customWidth="1"/>
    <col min="14347" max="14347" width="16.5703125" style="291" bestFit="1" customWidth="1"/>
    <col min="14348" max="14348" width="16.42578125" style="291" bestFit="1" customWidth="1"/>
    <col min="14349" max="14349" width="15.5703125" style="291" bestFit="1" customWidth="1"/>
    <col min="14350" max="14350" width="14.85546875" style="291" bestFit="1" customWidth="1"/>
    <col min="14351" max="14351" width="16" style="291" bestFit="1" customWidth="1"/>
    <col min="14352" max="14352" width="14.85546875" style="291" bestFit="1" customWidth="1"/>
    <col min="14353" max="14353" width="16" style="291" bestFit="1" customWidth="1"/>
    <col min="14354" max="14354" width="12.7109375" style="291" bestFit="1" customWidth="1"/>
    <col min="14355" max="14355" width="14.85546875" style="291" bestFit="1" customWidth="1"/>
    <col min="14356" max="14593" width="9.140625" style="291"/>
    <col min="14594" max="14594" width="6.28515625" style="291" customWidth="1"/>
    <col min="14595" max="14595" width="4.42578125" style="291" customWidth="1"/>
    <col min="14596" max="14596" width="38.42578125" style="291" customWidth="1"/>
    <col min="14597" max="14598" width="0" style="291" hidden="1" customWidth="1"/>
    <col min="14599" max="14599" width="28.140625" style="291" customWidth="1"/>
    <col min="14600" max="14600" width="19.28515625" style="291" bestFit="1" customWidth="1"/>
    <col min="14601" max="14601" width="18" style="291" bestFit="1" customWidth="1"/>
    <col min="14602" max="14602" width="16.28515625" style="291" bestFit="1" customWidth="1"/>
    <col min="14603" max="14603" width="16.5703125" style="291" bestFit="1" customWidth="1"/>
    <col min="14604" max="14604" width="16.42578125" style="291" bestFit="1" customWidth="1"/>
    <col min="14605" max="14605" width="15.5703125" style="291" bestFit="1" customWidth="1"/>
    <col min="14606" max="14606" width="14.85546875" style="291" bestFit="1" customWidth="1"/>
    <col min="14607" max="14607" width="16" style="291" bestFit="1" customWidth="1"/>
    <col min="14608" max="14608" width="14.85546875" style="291" bestFit="1" customWidth="1"/>
    <col min="14609" max="14609" width="16" style="291" bestFit="1" customWidth="1"/>
    <col min="14610" max="14610" width="12.7109375" style="291" bestFit="1" customWidth="1"/>
    <col min="14611" max="14611" width="14.85546875" style="291" bestFit="1" customWidth="1"/>
    <col min="14612" max="14849" width="9.140625" style="291"/>
    <col min="14850" max="14850" width="6.28515625" style="291" customWidth="1"/>
    <col min="14851" max="14851" width="4.42578125" style="291" customWidth="1"/>
    <col min="14852" max="14852" width="38.42578125" style="291" customWidth="1"/>
    <col min="14853" max="14854" width="0" style="291" hidden="1" customWidth="1"/>
    <col min="14855" max="14855" width="28.140625" style="291" customWidth="1"/>
    <col min="14856" max="14856" width="19.28515625" style="291" bestFit="1" customWidth="1"/>
    <col min="14857" max="14857" width="18" style="291" bestFit="1" customWidth="1"/>
    <col min="14858" max="14858" width="16.28515625" style="291" bestFit="1" customWidth="1"/>
    <col min="14859" max="14859" width="16.5703125" style="291" bestFit="1" customWidth="1"/>
    <col min="14860" max="14860" width="16.42578125" style="291" bestFit="1" customWidth="1"/>
    <col min="14861" max="14861" width="15.5703125" style="291" bestFit="1" customWidth="1"/>
    <col min="14862" max="14862" width="14.85546875" style="291" bestFit="1" customWidth="1"/>
    <col min="14863" max="14863" width="16" style="291" bestFit="1" customWidth="1"/>
    <col min="14864" max="14864" width="14.85546875" style="291" bestFit="1" customWidth="1"/>
    <col min="14865" max="14865" width="16" style="291" bestFit="1" customWidth="1"/>
    <col min="14866" max="14866" width="12.7109375" style="291" bestFit="1" customWidth="1"/>
    <col min="14867" max="14867" width="14.85546875" style="291" bestFit="1" customWidth="1"/>
    <col min="14868" max="15105" width="9.140625" style="291"/>
    <col min="15106" max="15106" width="6.28515625" style="291" customWidth="1"/>
    <col min="15107" max="15107" width="4.42578125" style="291" customWidth="1"/>
    <col min="15108" max="15108" width="38.42578125" style="291" customWidth="1"/>
    <col min="15109" max="15110" width="0" style="291" hidden="1" customWidth="1"/>
    <col min="15111" max="15111" width="28.140625" style="291" customWidth="1"/>
    <col min="15112" max="15112" width="19.28515625" style="291" bestFit="1" customWidth="1"/>
    <col min="15113" max="15113" width="18" style="291" bestFit="1" customWidth="1"/>
    <col min="15114" max="15114" width="16.28515625" style="291" bestFit="1" customWidth="1"/>
    <col min="15115" max="15115" width="16.5703125" style="291" bestFit="1" customWidth="1"/>
    <col min="15116" max="15116" width="16.42578125" style="291" bestFit="1" customWidth="1"/>
    <col min="15117" max="15117" width="15.5703125" style="291" bestFit="1" customWidth="1"/>
    <col min="15118" max="15118" width="14.85546875" style="291" bestFit="1" customWidth="1"/>
    <col min="15119" max="15119" width="16" style="291" bestFit="1" customWidth="1"/>
    <col min="15120" max="15120" width="14.85546875" style="291" bestFit="1" customWidth="1"/>
    <col min="15121" max="15121" width="16" style="291" bestFit="1" customWidth="1"/>
    <col min="15122" max="15122" width="12.7109375" style="291" bestFit="1" customWidth="1"/>
    <col min="15123" max="15123" width="14.85546875" style="291" bestFit="1" customWidth="1"/>
    <col min="15124" max="15361" width="9.140625" style="291"/>
    <col min="15362" max="15362" width="6.28515625" style="291" customWidth="1"/>
    <col min="15363" max="15363" width="4.42578125" style="291" customWidth="1"/>
    <col min="15364" max="15364" width="38.42578125" style="291" customWidth="1"/>
    <col min="15365" max="15366" width="0" style="291" hidden="1" customWidth="1"/>
    <col min="15367" max="15367" width="28.140625" style="291" customWidth="1"/>
    <col min="15368" max="15368" width="19.28515625" style="291" bestFit="1" customWidth="1"/>
    <col min="15369" max="15369" width="18" style="291" bestFit="1" customWidth="1"/>
    <col min="15370" max="15370" width="16.28515625" style="291" bestFit="1" customWidth="1"/>
    <col min="15371" max="15371" width="16.5703125" style="291" bestFit="1" customWidth="1"/>
    <col min="15372" max="15372" width="16.42578125" style="291" bestFit="1" customWidth="1"/>
    <col min="15373" max="15373" width="15.5703125" style="291" bestFit="1" customWidth="1"/>
    <col min="15374" max="15374" width="14.85546875" style="291" bestFit="1" customWidth="1"/>
    <col min="15375" max="15375" width="16" style="291" bestFit="1" customWidth="1"/>
    <col min="15376" max="15376" width="14.85546875" style="291" bestFit="1" customWidth="1"/>
    <col min="15377" max="15377" width="16" style="291" bestFit="1" customWidth="1"/>
    <col min="15378" max="15378" width="12.7109375" style="291" bestFit="1" customWidth="1"/>
    <col min="15379" max="15379" width="14.85546875" style="291" bestFit="1" customWidth="1"/>
    <col min="15380" max="15617" width="9.140625" style="291"/>
    <col min="15618" max="15618" width="6.28515625" style="291" customWidth="1"/>
    <col min="15619" max="15619" width="4.42578125" style="291" customWidth="1"/>
    <col min="15620" max="15620" width="38.42578125" style="291" customWidth="1"/>
    <col min="15621" max="15622" width="0" style="291" hidden="1" customWidth="1"/>
    <col min="15623" max="15623" width="28.140625" style="291" customWidth="1"/>
    <col min="15624" max="15624" width="19.28515625" style="291" bestFit="1" customWidth="1"/>
    <col min="15625" max="15625" width="18" style="291" bestFit="1" customWidth="1"/>
    <col min="15626" max="15626" width="16.28515625" style="291" bestFit="1" customWidth="1"/>
    <col min="15627" max="15627" width="16.5703125" style="291" bestFit="1" customWidth="1"/>
    <col min="15628" max="15628" width="16.42578125" style="291" bestFit="1" customWidth="1"/>
    <col min="15629" max="15629" width="15.5703125" style="291" bestFit="1" customWidth="1"/>
    <col min="15630" max="15630" width="14.85546875" style="291" bestFit="1" customWidth="1"/>
    <col min="15631" max="15631" width="16" style="291" bestFit="1" customWidth="1"/>
    <col min="15632" max="15632" width="14.85546875" style="291" bestFit="1" customWidth="1"/>
    <col min="15633" max="15633" width="16" style="291" bestFit="1" customWidth="1"/>
    <col min="15634" max="15634" width="12.7109375" style="291" bestFit="1" customWidth="1"/>
    <col min="15635" max="15635" width="14.85546875" style="291" bestFit="1" customWidth="1"/>
    <col min="15636" max="15873" width="9.140625" style="291"/>
    <col min="15874" max="15874" width="6.28515625" style="291" customWidth="1"/>
    <col min="15875" max="15875" width="4.42578125" style="291" customWidth="1"/>
    <col min="15876" max="15876" width="38.42578125" style="291" customWidth="1"/>
    <col min="15877" max="15878" width="0" style="291" hidden="1" customWidth="1"/>
    <col min="15879" max="15879" width="28.140625" style="291" customWidth="1"/>
    <col min="15880" max="15880" width="19.28515625" style="291" bestFit="1" customWidth="1"/>
    <col min="15881" max="15881" width="18" style="291" bestFit="1" customWidth="1"/>
    <col min="15882" max="15882" width="16.28515625" style="291" bestFit="1" customWidth="1"/>
    <col min="15883" max="15883" width="16.5703125" style="291" bestFit="1" customWidth="1"/>
    <col min="15884" max="15884" width="16.42578125" style="291" bestFit="1" customWidth="1"/>
    <col min="15885" max="15885" width="15.5703125" style="291" bestFit="1" customWidth="1"/>
    <col min="15886" max="15886" width="14.85546875" style="291" bestFit="1" customWidth="1"/>
    <col min="15887" max="15887" width="16" style="291" bestFit="1" customWidth="1"/>
    <col min="15888" max="15888" width="14.85546875" style="291" bestFit="1" customWidth="1"/>
    <col min="15889" max="15889" width="16" style="291" bestFit="1" customWidth="1"/>
    <col min="15890" max="15890" width="12.7109375" style="291" bestFit="1" customWidth="1"/>
    <col min="15891" max="15891" width="14.85546875" style="291" bestFit="1" customWidth="1"/>
    <col min="15892" max="16129" width="9.140625" style="291"/>
    <col min="16130" max="16130" width="6.28515625" style="291" customWidth="1"/>
    <col min="16131" max="16131" width="4.42578125" style="291" customWidth="1"/>
    <col min="16132" max="16132" width="38.42578125" style="291" customWidth="1"/>
    <col min="16133" max="16134" width="0" style="291" hidden="1" customWidth="1"/>
    <col min="16135" max="16135" width="28.140625" style="291" customWidth="1"/>
    <col min="16136" max="16136" width="19.28515625" style="291" bestFit="1" customWidth="1"/>
    <col min="16137" max="16137" width="18" style="291" bestFit="1" customWidth="1"/>
    <col min="16138" max="16138" width="16.28515625" style="291" bestFit="1" customWidth="1"/>
    <col min="16139" max="16139" width="16.5703125" style="291" bestFit="1" customWidth="1"/>
    <col min="16140" max="16140" width="16.42578125" style="291" bestFit="1" customWidth="1"/>
    <col min="16141" max="16141" width="15.5703125" style="291" bestFit="1" customWidth="1"/>
    <col min="16142" max="16142" width="14.85546875" style="291" bestFit="1" customWidth="1"/>
    <col min="16143" max="16143" width="16" style="291" bestFit="1" customWidth="1"/>
    <col min="16144" max="16144" width="14.85546875" style="291" bestFit="1" customWidth="1"/>
    <col min="16145" max="16145" width="16" style="291" bestFit="1" customWidth="1"/>
    <col min="16146" max="16146" width="12.7109375" style="291" bestFit="1" customWidth="1"/>
    <col min="16147" max="16147" width="14.85546875" style="291" bestFit="1" customWidth="1"/>
    <col min="16148" max="16384" width="9.140625" style="291"/>
  </cols>
  <sheetData>
    <row r="1" spans="1:15" ht="20.25">
      <c r="A1" s="892" t="s">
        <v>971</v>
      </c>
      <c r="B1" s="892"/>
      <c r="C1" s="892"/>
      <c r="D1" s="892"/>
      <c r="E1" s="892"/>
      <c r="F1" s="892"/>
      <c r="G1" s="892"/>
      <c r="H1" s="892"/>
      <c r="I1" s="892"/>
      <c r="J1" s="892"/>
      <c r="K1" s="892"/>
      <c r="L1" s="892"/>
      <c r="M1" s="892"/>
    </row>
    <row r="4" spans="1:15" ht="38.25">
      <c r="A4" s="292"/>
      <c r="B4" s="293" t="s">
        <v>181</v>
      </c>
      <c r="C4" s="294"/>
      <c r="D4" s="295"/>
      <c r="E4" s="292"/>
      <c r="F4" s="292"/>
      <c r="G4" s="296" t="s">
        <v>9</v>
      </c>
      <c r="H4" s="296" t="s">
        <v>37</v>
      </c>
      <c r="I4" s="296" t="s">
        <v>29</v>
      </c>
      <c r="J4" s="296" t="s">
        <v>30</v>
      </c>
      <c r="K4" s="296" t="s">
        <v>270</v>
      </c>
      <c r="L4" s="297" t="s">
        <v>647</v>
      </c>
      <c r="M4" s="296" t="s">
        <v>648</v>
      </c>
    </row>
    <row r="5" spans="1:15">
      <c r="A5" s="298" t="s">
        <v>184</v>
      </c>
      <c r="C5" s="299" t="s">
        <v>182</v>
      </c>
      <c r="L5" s="300"/>
    </row>
    <row r="6" spans="1:15">
      <c r="A6" s="298" t="s">
        <v>185</v>
      </c>
      <c r="C6" s="291" t="s">
        <v>183</v>
      </c>
      <c r="G6" s="301">
        <f>SUM('#1-Meritus:#5034-Mt Washington Pediatric'!F18:F18)</f>
        <v>0</v>
      </c>
      <c r="H6" s="301">
        <f>SUM('#1-Meritus:#5034-Mt Washington Pediatric'!G18:G18)</f>
        <v>0</v>
      </c>
      <c r="I6" s="339">
        <f>SUM('#1-Meritus:#5034-Mt Washington Pediatric'!H18:H18)</f>
        <v>389824999.01000649</v>
      </c>
      <c r="J6" s="339">
        <f>SUM('#1-Meritus:#5034-Mt Washington Pediatric'!I18:I18)</f>
        <v>0</v>
      </c>
      <c r="K6" s="339">
        <f>SUM('#1-Meritus:#5034-Mt Washington Pediatric'!J18:J18)</f>
        <v>333349112.67440945</v>
      </c>
      <c r="L6" s="339">
        <f>SUM('#1-Meritus:#5034-Mt Washington Pediatric'!K18:K18)</f>
        <v>56475886.325596929</v>
      </c>
      <c r="M6" s="339">
        <f>L6-J6</f>
        <v>56475886.325596929</v>
      </c>
      <c r="N6" s="300"/>
      <c r="O6" s="300"/>
    </row>
    <row r="7" spans="1:15" ht="38.25">
      <c r="A7" s="292" t="s">
        <v>8</v>
      </c>
      <c r="B7" s="292"/>
      <c r="C7" s="295"/>
      <c r="D7" s="295"/>
      <c r="E7" s="295"/>
      <c r="F7" s="295"/>
      <c r="G7" s="296" t="s">
        <v>9</v>
      </c>
      <c r="H7" s="296" t="s">
        <v>37</v>
      </c>
      <c r="I7" s="296" t="s">
        <v>649</v>
      </c>
      <c r="J7" s="296" t="s">
        <v>650</v>
      </c>
      <c r="K7" s="297" t="s">
        <v>270</v>
      </c>
      <c r="L7" s="302" t="s">
        <v>647</v>
      </c>
      <c r="M7" s="296" t="s">
        <v>648</v>
      </c>
      <c r="N7" s="300"/>
      <c r="O7" s="300"/>
    </row>
    <row r="8" spans="1:15">
      <c r="A8" s="293" t="s">
        <v>74</v>
      </c>
      <c r="B8" s="299" t="s">
        <v>41</v>
      </c>
      <c r="K8" s="303"/>
      <c r="L8" s="304"/>
      <c r="N8" s="300"/>
      <c r="O8" s="300"/>
    </row>
    <row r="9" spans="1:15">
      <c r="A9" s="305" t="s">
        <v>75</v>
      </c>
      <c r="B9" s="291" t="s">
        <v>42</v>
      </c>
      <c r="G9" s="301">
        <f>SUM('#1-Meritus:#5034-Mt Washington Pediatric'!F21)</f>
        <v>299810.85605357663</v>
      </c>
      <c r="H9" s="301">
        <f>SUM('#1-Meritus:#5034-Mt Washington Pediatric'!G21)</f>
        <v>3083111.2282967409</v>
      </c>
      <c r="I9" s="301">
        <f>SUM('#1-Meritus:#5034-Mt Washington Pediatric'!H21)</f>
        <v>17861586.88248026</v>
      </c>
      <c r="J9" s="301">
        <f>SUM('#1-Meritus:#5034-Mt Washington Pediatric'!I21)</f>
        <v>9702297.3773701154</v>
      </c>
      <c r="K9" s="301">
        <f>SUM('#1-Meritus:#5034-Mt Washington Pediatric'!J21)</f>
        <v>2102052.3125000005</v>
      </c>
      <c r="L9" s="301">
        <f>SUM('#1-Meritus:#5034-Mt Washington Pediatric'!K21)</f>
        <v>25461831.537350375</v>
      </c>
      <c r="M9" s="339">
        <f>L9-J9</f>
        <v>15759534.15998026</v>
      </c>
      <c r="N9" s="300"/>
      <c r="O9" s="300"/>
    </row>
    <row r="10" spans="1:15">
      <c r="A10" s="305" t="s">
        <v>76</v>
      </c>
      <c r="B10" s="291" t="s">
        <v>6</v>
      </c>
      <c r="G10" s="301">
        <f>SUM('#1-Meritus:#5034-Mt Washington Pediatric'!F22)</f>
        <v>15205.775612499998</v>
      </c>
      <c r="H10" s="301">
        <f>SUM('#1-Meritus:#5034-Mt Washington Pediatric'!G22)</f>
        <v>26288</v>
      </c>
      <c r="I10" s="301">
        <f>SUM('#1-Meritus:#5034-Mt Washington Pediatric'!H22)</f>
        <v>866832.69742959528</v>
      </c>
      <c r="J10" s="301">
        <f>SUM('#1-Meritus:#5034-Mt Washington Pediatric'!I22)</f>
        <v>522525.75887550338</v>
      </c>
      <c r="K10" s="301">
        <f>SUM('#1-Meritus:#5034-Mt Washington Pediatric'!J22)</f>
        <v>5066.7250000000004</v>
      </c>
      <c r="L10" s="301">
        <f>SUM('#1-Meritus:#5034-Mt Washington Pediatric'!K22)</f>
        <v>1384292.0813050987</v>
      </c>
      <c r="M10" s="339">
        <f t="shared" ref="M10:M22" si="0">L10-J10</f>
        <v>861766.32242959528</v>
      </c>
      <c r="N10" s="300"/>
      <c r="O10" s="300"/>
    </row>
    <row r="11" spans="1:15">
      <c r="A11" s="305" t="s">
        <v>77</v>
      </c>
      <c r="B11" s="291" t="s">
        <v>43</v>
      </c>
      <c r="G11" s="301">
        <f>SUM('#1-Meritus:#5034-Mt Washington Pediatric'!F23)</f>
        <v>26556.704750000001</v>
      </c>
      <c r="H11" s="301">
        <f>SUM('#1-Meritus:#5034-Mt Washington Pediatric'!G23)</f>
        <v>179657</v>
      </c>
      <c r="I11" s="301">
        <f>SUM('#1-Meritus:#5034-Mt Washington Pediatric'!H23)</f>
        <v>1223930.5849298588</v>
      </c>
      <c r="J11" s="301">
        <f>SUM('#1-Meritus:#5034-Mt Washington Pediatric'!I23)</f>
        <v>670424.82154259586</v>
      </c>
      <c r="K11" s="301">
        <f>SUM('#1-Meritus:#5034-Mt Washington Pediatric'!J23)</f>
        <v>328283</v>
      </c>
      <c r="L11" s="301">
        <f>SUM('#1-Meritus:#5034-Mt Washington Pediatric'!K23)</f>
        <v>1566072.4064724545</v>
      </c>
      <c r="M11" s="339">
        <f t="shared" si="0"/>
        <v>895647.58492985868</v>
      </c>
      <c r="N11" s="300"/>
      <c r="O11" s="300"/>
    </row>
    <row r="12" spans="1:15">
      <c r="A12" s="305" t="s">
        <v>78</v>
      </c>
      <c r="B12" s="291" t="s">
        <v>44</v>
      </c>
      <c r="G12" s="301">
        <f>SUM('#1-Meritus:#5034-Mt Washington Pediatric'!F24)</f>
        <v>280714.2001782179</v>
      </c>
      <c r="H12" s="301">
        <f>SUM('#1-Meritus:#5034-Mt Washington Pediatric'!G24)</f>
        <v>358387.27206611232</v>
      </c>
      <c r="I12" s="301">
        <f>SUM('#1-Meritus:#5034-Mt Washington Pediatric'!H24)</f>
        <v>11501293.155196439</v>
      </c>
      <c r="J12" s="301">
        <f>SUM('#1-Meritus:#5034-Mt Washington Pediatric'!I24)</f>
        <v>2295128.9101585671</v>
      </c>
      <c r="K12" s="301">
        <f>SUM('#1-Meritus:#5034-Mt Washington Pediatric'!J24)</f>
        <v>7338968.0999999996</v>
      </c>
      <c r="L12" s="301">
        <f>SUM('#1-Meritus:#5034-Mt Washington Pediatric'!K24)</f>
        <v>6457453.9653550023</v>
      </c>
      <c r="M12" s="339">
        <f t="shared" si="0"/>
        <v>4162325.0551964352</v>
      </c>
      <c r="N12" s="300"/>
      <c r="O12" s="300"/>
    </row>
    <row r="13" spans="1:15">
      <c r="A13" s="305" t="s">
        <v>79</v>
      </c>
      <c r="B13" s="291" t="s">
        <v>5</v>
      </c>
      <c r="G13" s="301">
        <f>SUM('#1-Meritus:#5034-Mt Washington Pediatric'!F25)</f>
        <v>40749.0840025</v>
      </c>
      <c r="H13" s="301">
        <f>SUM('#1-Meritus:#5034-Mt Washington Pediatric'!G25)</f>
        <v>53970</v>
      </c>
      <c r="I13" s="301">
        <f>SUM('#1-Meritus:#5034-Mt Washington Pediatric'!H25)</f>
        <v>2234527.0840114369</v>
      </c>
      <c r="J13" s="301">
        <f>SUM('#1-Meritus:#5034-Mt Washington Pediatric'!I25)</f>
        <v>1361479.0200940238</v>
      </c>
      <c r="K13" s="301">
        <f>SUM('#1-Meritus:#5034-Mt Washington Pediatric'!J25)</f>
        <v>763423.375</v>
      </c>
      <c r="L13" s="301">
        <f>SUM('#1-Meritus:#5034-Mt Washington Pediatric'!K25)</f>
        <v>2832582.7291054605</v>
      </c>
      <c r="M13" s="339">
        <f t="shared" si="0"/>
        <v>1471103.7090114367</v>
      </c>
      <c r="N13" s="300"/>
      <c r="O13" s="300"/>
    </row>
    <row r="14" spans="1:15">
      <c r="A14" s="305" t="s">
        <v>80</v>
      </c>
      <c r="B14" s="291" t="s">
        <v>45</v>
      </c>
      <c r="G14" s="301">
        <f>SUM('#1-Meritus:#5034-Mt Washington Pediatric'!F26)</f>
        <v>3648.98</v>
      </c>
      <c r="H14" s="301">
        <f>SUM('#1-Meritus:#5034-Mt Washington Pediatric'!G26)</f>
        <v>17427</v>
      </c>
      <c r="I14" s="301">
        <f>SUM('#1-Meritus:#5034-Mt Washington Pediatric'!H26)</f>
        <v>289353</v>
      </c>
      <c r="J14" s="301">
        <f>SUM('#1-Meritus:#5034-Mt Washington Pediatric'!I26)</f>
        <v>127527.30388000001</v>
      </c>
      <c r="K14" s="301">
        <f>SUM('#1-Meritus:#5034-Mt Washington Pediatric'!J26)</f>
        <v>53660</v>
      </c>
      <c r="L14" s="301">
        <f>SUM('#1-Meritus:#5034-Mt Washington Pediatric'!K26)</f>
        <v>363220.30388000002</v>
      </c>
      <c r="M14" s="339">
        <f t="shared" si="0"/>
        <v>235693</v>
      </c>
      <c r="N14" s="300"/>
      <c r="O14" s="300"/>
    </row>
    <row r="15" spans="1:15">
      <c r="A15" s="305" t="s">
        <v>81</v>
      </c>
      <c r="B15" s="291" t="s">
        <v>46</v>
      </c>
      <c r="G15" s="301">
        <f>SUM('#1-Meritus:#5034-Mt Washington Pediatric'!F27)</f>
        <v>42496.75</v>
      </c>
      <c r="H15" s="301">
        <f>SUM('#1-Meritus:#5034-Mt Washington Pediatric'!G27)</f>
        <v>33112</v>
      </c>
      <c r="I15" s="301">
        <f>SUM('#1-Meritus:#5034-Mt Washington Pediatric'!H27)</f>
        <v>2711354.41</v>
      </c>
      <c r="J15" s="301">
        <f>SUM('#1-Meritus:#5034-Mt Washington Pediatric'!I27)</f>
        <v>1409035.9923787659</v>
      </c>
      <c r="K15" s="301">
        <f>SUM('#1-Meritus:#5034-Mt Washington Pediatric'!J27)</f>
        <v>258809.26</v>
      </c>
      <c r="L15" s="301">
        <f>SUM('#1-Meritus:#5034-Mt Washington Pediatric'!K27)</f>
        <v>3861581.1423787656</v>
      </c>
      <c r="M15" s="339">
        <f t="shared" si="0"/>
        <v>2452545.1499999994</v>
      </c>
      <c r="N15" s="300"/>
      <c r="O15" s="300"/>
    </row>
    <row r="16" spans="1:15">
      <c r="A16" s="305" t="s">
        <v>82</v>
      </c>
      <c r="B16" s="291" t="s">
        <v>47</v>
      </c>
      <c r="G16" s="301">
        <f>SUM('#1-Meritus:#5034-Mt Washington Pediatric'!F28)</f>
        <v>30081</v>
      </c>
      <c r="H16" s="301">
        <f>SUM('#1-Meritus:#5034-Mt Washington Pediatric'!G28)</f>
        <v>11658</v>
      </c>
      <c r="I16" s="301">
        <f>SUM('#1-Meritus:#5034-Mt Washington Pediatric'!H28)</f>
        <v>1206778.4000000001</v>
      </c>
      <c r="J16" s="301">
        <f>SUM('#1-Meritus:#5034-Mt Washington Pediatric'!I28)</f>
        <v>456189.33698407852</v>
      </c>
      <c r="K16" s="301">
        <f>SUM('#1-Meritus:#5034-Mt Washington Pediatric'!J28)</f>
        <v>1151127</v>
      </c>
      <c r="L16" s="301">
        <f>SUM('#1-Meritus:#5034-Mt Washington Pediatric'!K28)</f>
        <v>511840.7369840786</v>
      </c>
      <c r="M16" s="339">
        <f t="shared" si="0"/>
        <v>55651.400000000081</v>
      </c>
      <c r="N16" s="300"/>
      <c r="O16" s="300"/>
    </row>
    <row r="17" spans="1:15">
      <c r="A17" s="305" t="s">
        <v>83</v>
      </c>
      <c r="B17" s="291" t="s">
        <v>48</v>
      </c>
      <c r="G17" s="301">
        <f>SUM('#1-Meritus:#5034-Mt Washington Pediatric'!F29)</f>
        <v>250379.05157448901</v>
      </c>
      <c r="H17" s="301">
        <f>SUM('#1-Meritus:#5034-Mt Washington Pediatric'!G29)</f>
        <v>190090.22849130933</v>
      </c>
      <c r="I17" s="301">
        <f>SUM('#1-Meritus:#5034-Mt Washington Pediatric'!H29)</f>
        <v>28920049.100782644</v>
      </c>
      <c r="J17" s="301">
        <f>SUM('#1-Meritus:#5034-Mt Washington Pediatric'!I29)</f>
        <v>13956137.652304979</v>
      </c>
      <c r="K17" s="301">
        <f>SUM('#1-Meritus:#5034-Mt Washington Pediatric'!J29)</f>
        <v>2163123.1466666665</v>
      </c>
      <c r="L17" s="301">
        <f>SUM('#1-Meritus:#5034-Mt Washington Pediatric'!K29)</f>
        <v>40713063.996420942</v>
      </c>
      <c r="M17" s="339">
        <f t="shared" si="0"/>
        <v>26756926.344115965</v>
      </c>
      <c r="N17" s="300"/>
      <c r="O17" s="300"/>
    </row>
    <row r="18" spans="1:15">
      <c r="A18" s="4" t="s">
        <v>84</v>
      </c>
      <c r="B18" s="893" t="s">
        <v>339</v>
      </c>
      <c r="C18" s="894"/>
      <c r="D18" s="895"/>
      <c r="E18"/>
      <c r="F18" s="341"/>
      <c r="G18" s="301">
        <f>SUM('#1-Meritus:#5034-Mt Washington Pediatric'!F30)</f>
        <v>49854.341026416594</v>
      </c>
      <c r="H18" s="301">
        <f>SUM('#1-Meritus:#5034-Mt Washington Pediatric'!G30)</f>
        <v>94810.768757082988</v>
      </c>
      <c r="I18" s="301">
        <f>SUM('#1-Meritus:#5034-Mt Washington Pediatric'!H30)</f>
        <v>3724736.6030674693</v>
      </c>
      <c r="J18" s="301">
        <f>SUM('#1-Meritus:#5034-Mt Washington Pediatric'!I30)</f>
        <v>1535294.6507428631</v>
      </c>
      <c r="K18" s="301">
        <f>SUM('#1-Meritus:#5034-Mt Washington Pediatric'!J30)</f>
        <v>79043.97</v>
      </c>
      <c r="L18" s="301">
        <f>SUM('#1-Meritus:#5034-Mt Washington Pediatric'!K30)</f>
        <v>5180987.2838103343</v>
      </c>
      <c r="M18" s="339">
        <f t="shared" si="0"/>
        <v>3645692.633067471</v>
      </c>
      <c r="N18" s="300"/>
      <c r="O18" s="300"/>
    </row>
    <row r="19" spans="1:15">
      <c r="A19" s="4" t="s">
        <v>133</v>
      </c>
      <c r="B19" s="893" t="s">
        <v>339</v>
      </c>
      <c r="C19" s="894"/>
      <c r="D19" s="895"/>
      <c r="E19"/>
      <c r="F19" s="341"/>
      <c r="G19" s="301">
        <f>SUM('#1-Meritus:#5034-Mt Washington Pediatric'!F31)</f>
        <v>7311.25</v>
      </c>
      <c r="H19" s="301">
        <f>SUM('#1-Meritus:#5034-Mt Washington Pediatric'!G31)</f>
        <v>29248</v>
      </c>
      <c r="I19" s="301">
        <f>SUM('#1-Meritus:#5034-Mt Washington Pediatric'!H31)</f>
        <v>1703890.02</v>
      </c>
      <c r="J19" s="301">
        <f>SUM('#1-Meritus:#5034-Mt Washington Pediatric'!I31)</f>
        <v>1150686.005352</v>
      </c>
      <c r="K19" s="301">
        <f>SUM('#1-Meritus:#5034-Mt Washington Pediatric'!J31)</f>
        <v>8500</v>
      </c>
      <c r="L19" s="301">
        <f>SUM('#1-Meritus:#5034-Mt Washington Pediatric'!K31)</f>
        <v>2846076.0253519998</v>
      </c>
      <c r="M19" s="339">
        <f t="shared" si="0"/>
        <v>1695390.0199999998</v>
      </c>
      <c r="N19" s="300"/>
      <c r="O19" s="300"/>
    </row>
    <row r="20" spans="1:15">
      <c r="A20" s="4" t="s">
        <v>134</v>
      </c>
      <c r="B20" s="260" t="s">
        <v>339</v>
      </c>
      <c r="C20" s="261"/>
      <c r="D20" s="262"/>
      <c r="E20"/>
      <c r="F20" s="341"/>
      <c r="G20" s="301">
        <f>SUM('#1-Meritus:#5034-Mt Washington Pediatric'!F32)</f>
        <v>572</v>
      </c>
      <c r="H20" s="301">
        <f>SUM('#1-Meritus:#5034-Mt Washington Pediatric'!G32)</f>
        <v>5217</v>
      </c>
      <c r="I20" s="301">
        <f>SUM('#1-Meritus:#5034-Mt Washington Pediatric'!H32)</f>
        <v>96655.24</v>
      </c>
      <c r="J20" s="301">
        <f>SUM('#1-Meritus:#5034-Mt Washington Pediatric'!I32)</f>
        <v>73937.53</v>
      </c>
      <c r="K20" s="301">
        <f>SUM('#1-Meritus:#5034-Mt Washington Pediatric'!J32)</f>
        <v>0</v>
      </c>
      <c r="L20" s="301">
        <f>SUM('#1-Meritus:#5034-Mt Washington Pediatric'!K32)</f>
        <v>170592.77000000002</v>
      </c>
      <c r="M20" s="339">
        <f t="shared" si="0"/>
        <v>96655.24000000002</v>
      </c>
      <c r="N20" s="300"/>
      <c r="O20" s="300"/>
    </row>
    <row r="21" spans="1:15">
      <c r="A21" s="4" t="s">
        <v>135</v>
      </c>
      <c r="B21" s="260" t="s">
        <v>339</v>
      </c>
      <c r="C21" s="261"/>
      <c r="D21" s="262"/>
      <c r="E21"/>
      <c r="F21" s="341"/>
      <c r="G21" s="301">
        <f>SUM('#1-Meritus:#5034-Mt Washington Pediatric'!F33)</f>
        <v>0</v>
      </c>
      <c r="H21" s="301">
        <f>SUM('#1-Meritus:#5034-Mt Washington Pediatric'!G33)</f>
        <v>0</v>
      </c>
      <c r="I21" s="301">
        <f>SUM('#1-Meritus:#5034-Mt Washington Pediatric'!H33)</f>
        <v>0</v>
      </c>
      <c r="J21" s="301">
        <f>SUM('#1-Meritus:#5034-Mt Washington Pediatric'!I33)</f>
        <v>0</v>
      </c>
      <c r="K21" s="301">
        <f>SUM('#1-Meritus:#5034-Mt Washington Pediatric'!J33)</f>
        <v>0</v>
      </c>
      <c r="L21" s="301">
        <f>SUM('#1-Meritus:#5034-Mt Washington Pediatric'!K33)</f>
        <v>0</v>
      </c>
      <c r="M21" s="339">
        <f t="shared" si="0"/>
        <v>0</v>
      </c>
      <c r="N21" s="300"/>
      <c r="O21" s="300"/>
    </row>
    <row r="22" spans="1:15">
      <c r="A22" s="4" t="s">
        <v>136</v>
      </c>
      <c r="B22" s="893" t="s">
        <v>339</v>
      </c>
      <c r="C22" s="894"/>
      <c r="D22" s="895"/>
      <c r="E22"/>
      <c r="F22" s="341"/>
      <c r="G22" s="301">
        <f>SUM('#1-Meritus:#5034-Mt Washington Pediatric'!F34)</f>
        <v>0</v>
      </c>
      <c r="H22" s="301">
        <f>SUM('#1-Meritus:#5034-Mt Washington Pediatric'!G34)</f>
        <v>0</v>
      </c>
      <c r="I22" s="301">
        <f>SUM('#1-Meritus:#5034-Mt Washington Pediatric'!H34)</f>
        <v>0</v>
      </c>
      <c r="J22" s="301">
        <f>SUM('#1-Meritus:#5034-Mt Washington Pediatric'!I34)</f>
        <v>0</v>
      </c>
      <c r="K22" s="301">
        <f>SUM('#1-Meritus:#5034-Mt Washington Pediatric'!J34)</f>
        <v>0</v>
      </c>
      <c r="L22" s="301">
        <f>SUM('#1-Meritus:#5034-Mt Washington Pediatric'!K34)</f>
        <v>0</v>
      </c>
      <c r="M22" s="339">
        <f t="shared" si="0"/>
        <v>0</v>
      </c>
      <c r="N22" s="300"/>
      <c r="O22" s="300"/>
    </row>
    <row r="23" spans="1:15">
      <c r="D23" s="299"/>
      <c r="E23" s="299"/>
      <c r="F23" s="299"/>
      <c r="G23" s="306"/>
      <c r="H23" s="306"/>
      <c r="I23" s="306"/>
      <c r="J23" s="306"/>
      <c r="K23" s="306"/>
      <c r="L23" s="306"/>
      <c r="M23" s="307"/>
      <c r="N23" s="300"/>
      <c r="O23" s="300"/>
    </row>
    <row r="24" spans="1:15">
      <c r="A24" s="293" t="s">
        <v>137</v>
      </c>
      <c r="B24" s="299" t="s">
        <v>138</v>
      </c>
      <c r="G24" s="301">
        <f t="shared" ref="G24:L24" si="1">SUM(G9:G22)</f>
        <v>1047379.9931977001</v>
      </c>
      <c r="H24" s="301">
        <f t="shared" si="1"/>
        <v>4082976.4976112456</v>
      </c>
      <c r="I24" s="339">
        <f t="shared" si="1"/>
        <v>72340987.177897692</v>
      </c>
      <c r="J24" s="339">
        <f t="shared" si="1"/>
        <v>33260664.359683499</v>
      </c>
      <c r="K24" s="339">
        <f t="shared" si="1"/>
        <v>14252056.889166666</v>
      </c>
      <c r="L24" s="339">
        <f t="shared" si="1"/>
        <v>91349594.978414506</v>
      </c>
      <c r="M24" s="339">
        <f>L24-J24</f>
        <v>58088930.618731007</v>
      </c>
      <c r="N24" s="300"/>
      <c r="O24" s="300"/>
    </row>
    <row r="25" spans="1:15">
      <c r="A25" s="293"/>
      <c r="B25" s="299"/>
      <c r="G25" s="309"/>
      <c r="H25" s="309"/>
      <c r="I25" s="309"/>
      <c r="J25" s="309"/>
      <c r="K25" s="309"/>
      <c r="L25" s="309"/>
      <c r="M25" s="309"/>
      <c r="N25" s="300"/>
      <c r="O25" s="300"/>
    </row>
    <row r="26" spans="1:15">
      <c r="A26" s="293"/>
      <c r="B26" s="299"/>
      <c r="G26" s="300"/>
      <c r="H26" s="300"/>
      <c r="I26" s="300"/>
      <c r="J26" s="300"/>
      <c r="K26" s="311"/>
      <c r="L26" s="311"/>
      <c r="M26" s="312"/>
      <c r="N26" s="300"/>
      <c r="O26" s="300"/>
    </row>
    <row r="27" spans="1:15" ht="42.75" customHeight="1">
      <c r="A27" s="294"/>
      <c r="B27" s="294"/>
      <c r="G27" s="296" t="s">
        <v>9</v>
      </c>
      <c r="H27" s="296" t="s">
        <v>37</v>
      </c>
      <c r="I27" s="296" t="s">
        <v>649</v>
      </c>
      <c r="J27" s="296" t="s">
        <v>650</v>
      </c>
      <c r="K27" s="297" t="s">
        <v>270</v>
      </c>
      <c r="L27" s="302" t="s">
        <v>647</v>
      </c>
      <c r="M27" s="296" t="s">
        <v>648</v>
      </c>
      <c r="N27" s="300"/>
      <c r="O27" s="300"/>
    </row>
    <row r="28" spans="1:15">
      <c r="A28" s="293" t="s">
        <v>651</v>
      </c>
      <c r="B28" s="293"/>
      <c r="C28" s="299" t="s">
        <v>49</v>
      </c>
      <c r="K28" s="303"/>
      <c r="L28" s="304"/>
      <c r="N28" s="300"/>
      <c r="O28" s="300"/>
    </row>
    <row r="29" spans="1:15">
      <c r="A29" s="305" t="s">
        <v>369</v>
      </c>
      <c r="B29" s="305"/>
      <c r="C29" s="299" t="s">
        <v>31</v>
      </c>
      <c r="D29" s="299"/>
      <c r="E29" s="299"/>
      <c r="F29" s="299"/>
      <c r="G29" s="301">
        <f>SUM('#1-Meritus:#5034-Mt Washington Pediatric'!F40)</f>
        <v>5841482.7955464795</v>
      </c>
      <c r="H29" s="301">
        <f>SUM('#1-Meritus:#5034-Mt Washington Pediatric'!G40)</f>
        <v>38140.700000000004</v>
      </c>
      <c r="I29" s="301">
        <f>SUM('#1-Meritus:#5034-Mt Washington Pediatric'!H40)</f>
        <v>305398583.43030095</v>
      </c>
      <c r="J29" s="301">
        <f>SUM('#1-Meritus:#5034-Mt Washington Pediatric'!I40)</f>
        <v>74350467.583412737</v>
      </c>
      <c r="K29" s="301">
        <f>SUM('#1-Meritus:#5034-Mt Washington Pediatric'!J40)</f>
        <v>300000</v>
      </c>
      <c r="L29" s="301">
        <f>SUM('#1-Meritus:#5034-Mt Washington Pediatric'!K40)</f>
        <v>379449051.01371372</v>
      </c>
      <c r="M29" s="339">
        <f>L29-J29</f>
        <v>305098583.43030095</v>
      </c>
      <c r="N29" s="300"/>
      <c r="O29" s="300"/>
    </row>
    <row r="30" spans="1:15">
      <c r="A30" s="305" t="s">
        <v>370</v>
      </c>
      <c r="B30" s="305"/>
      <c r="C30" s="313" t="s">
        <v>50</v>
      </c>
      <c r="G30" s="301">
        <f>SUM('#1-Meritus:#5034-Mt Washington Pediatric'!F41)</f>
        <v>475296.43155331514</v>
      </c>
      <c r="H30" s="301">
        <f>SUM('#1-Meritus:#5034-Mt Washington Pediatric'!G41)</f>
        <v>55322.171451355767</v>
      </c>
      <c r="I30" s="301">
        <f>SUM('#1-Meritus:#5034-Mt Washington Pediatric'!H41)</f>
        <v>21788795.558805596</v>
      </c>
      <c r="J30" s="301">
        <f>SUM('#1-Meritus:#5034-Mt Washington Pediatric'!I41)</f>
        <v>5414957.9278637096</v>
      </c>
      <c r="K30" s="301">
        <f>SUM('#1-Meritus:#5034-Mt Washington Pediatric'!J41)</f>
        <v>0</v>
      </c>
      <c r="L30" s="301">
        <f>SUM('#1-Meritus:#5034-Mt Washington Pediatric'!K41)</f>
        <v>27203753.486669306</v>
      </c>
      <c r="M30" s="339">
        <f t="shared" ref="M30:M38" si="2">L30-J30</f>
        <v>21788795.558805596</v>
      </c>
      <c r="N30" s="300"/>
      <c r="O30" s="300"/>
    </row>
    <row r="31" spans="1:15">
      <c r="A31" s="305" t="s">
        <v>371</v>
      </c>
      <c r="B31" s="305"/>
      <c r="C31" s="291" t="s">
        <v>11</v>
      </c>
      <c r="D31" s="314"/>
      <c r="E31" s="314"/>
      <c r="F31" s="314"/>
      <c r="G31" s="301">
        <f>SUM('#1-Meritus:#5034-Mt Washington Pediatric'!F42)</f>
        <v>343259.40590368316</v>
      </c>
      <c r="H31" s="301">
        <f>SUM('#1-Meritus:#5034-Mt Washington Pediatric'!G42)</f>
        <v>51893.076567812241</v>
      </c>
      <c r="I31" s="301">
        <f>SUM('#1-Meritus:#5034-Mt Washington Pediatric'!H42)</f>
        <v>15307184.348798161</v>
      </c>
      <c r="J31" s="301">
        <f>SUM('#1-Meritus:#5034-Mt Washington Pediatric'!I42)</f>
        <v>4316864.8330603186</v>
      </c>
      <c r="K31" s="301">
        <f>SUM('#1-Meritus:#5034-Mt Washington Pediatric'!J42)</f>
        <v>271093.30900000001</v>
      </c>
      <c r="L31" s="301">
        <f>SUM('#1-Meritus:#5034-Mt Washington Pediatric'!K42)</f>
        <v>19352955.632858481</v>
      </c>
      <c r="M31" s="339">
        <f t="shared" si="2"/>
        <v>15036090.799798163</v>
      </c>
      <c r="N31" s="300"/>
      <c r="O31" s="300"/>
    </row>
    <row r="32" spans="1:15">
      <c r="A32" s="305" t="s">
        <v>372</v>
      </c>
      <c r="B32" s="305"/>
      <c r="C32" s="291" t="s">
        <v>10</v>
      </c>
      <c r="G32" s="301">
        <f>SUM('#1-Meritus:#5034-Mt Washington Pediatric'!F43)</f>
        <v>7618.5</v>
      </c>
      <c r="H32" s="301">
        <f>SUM('#1-Meritus:#5034-Mt Washington Pediatric'!G43)</f>
        <v>1838</v>
      </c>
      <c r="I32" s="301">
        <f>SUM('#1-Meritus:#5034-Mt Washington Pediatric'!H43)</f>
        <v>3091420.9298700909</v>
      </c>
      <c r="J32" s="301">
        <f>SUM('#1-Meritus:#5034-Mt Washington Pediatric'!I43)</f>
        <v>111318.26999999999</v>
      </c>
      <c r="K32" s="301">
        <f>SUM('#1-Meritus:#5034-Mt Washington Pediatric'!J43)</f>
        <v>0</v>
      </c>
      <c r="L32" s="301">
        <f>SUM('#1-Meritus:#5034-Mt Washington Pediatric'!K43)</f>
        <v>3202738.9398700907</v>
      </c>
      <c r="M32" s="339">
        <f t="shared" si="2"/>
        <v>3091420.6698700907</v>
      </c>
      <c r="N32" s="300"/>
      <c r="O32" s="300"/>
    </row>
    <row r="33" spans="1:15">
      <c r="A33" s="4" t="s">
        <v>91</v>
      </c>
      <c r="B33" s="305"/>
      <c r="C33" s="893" t="s">
        <v>339</v>
      </c>
      <c r="D33" s="894"/>
      <c r="E33" s="895"/>
      <c r="F33"/>
      <c r="G33" s="301">
        <f>SUM('#1-Meritus:#5034-Mt Washington Pediatric'!F44)</f>
        <v>108951.5</v>
      </c>
      <c r="H33" s="301">
        <f>SUM('#1-Meritus:#5034-Mt Washington Pediatric'!G44)</f>
        <v>22739</v>
      </c>
      <c r="I33" s="301">
        <f>SUM('#1-Meritus:#5034-Mt Washington Pediatric'!H44)</f>
        <v>4938980.5729406159</v>
      </c>
      <c r="J33" s="301">
        <f>SUM('#1-Meritus:#5034-Mt Washington Pediatric'!I44)</f>
        <v>1170116.3497214545</v>
      </c>
      <c r="K33" s="301">
        <f>SUM('#1-Meritus:#5034-Mt Washington Pediatric'!J44)</f>
        <v>32760</v>
      </c>
      <c r="L33" s="301">
        <f>SUM('#1-Meritus:#5034-Mt Washington Pediatric'!K44)</f>
        <v>6076336.92266207</v>
      </c>
      <c r="M33" s="339">
        <f t="shared" si="2"/>
        <v>4906220.5729406159</v>
      </c>
      <c r="N33" s="300"/>
      <c r="O33" s="300"/>
    </row>
    <row r="34" spans="1:15">
      <c r="A34" s="4" t="s">
        <v>139</v>
      </c>
      <c r="C34" s="893" t="s">
        <v>339</v>
      </c>
      <c r="D34" s="894"/>
      <c r="E34" s="895"/>
      <c r="F34"/>
      <c r="G34" s="301">
        <f>SUM('#1-Meritus:#5034-Mt Washington Pediatric'!F45)</f>
        <v>28000</v>
      </c>
      <c r="H34" s="301">
        <f>SUM('#1-Meritus:#5034-Mt Washington Pediatric'!G45)</f>
        <v>1750</v>
      </c>
      <c r="I34" s="301">
        <f>SUM('#1-Meritus:#5034-Mt Washington Pediatric'!H45)</f>
        <v>1355101</v>
      </c>
      <c r="J34" s="301">
        <f>SUM('#1-Meritus:#5034-Mt Washington Pediatric'!I45)</f>
        <v>242506.82149999999</v>
      </c>
      <c r="K34" s="301">
        <f>SUM('#1-Meritus:#5034-Mt Washington Pediatric'!J45)</f>
        <v>1217998</v>
      </c>
      <c r="L34" s="301">
        <f>SUM('#1-Meritus:#5034-Mt Washington Pediatric'!K45)</f>
        <v>379609.82149999996</v>
      </c>
      <c r="M34" s="339">
        <f t="shared" si="2"/>
        <v>137102.99999999997</v>
      </c>
      <c r="N34" s="300"/>
      <c r="O34" s="300"/>
    </row>
    <row r="35" spans="1:15">
      <c r="A35" s="4" t="s">
        <v>140</v>
      </c>
      <c r="C35" s="893" t="s">
        <v>339</v>
      </c>
      <c r="D35" s="894"/>
      <c r="E35" s="895"/>
      <c r="F35"/>
      <c r="G35" s="301">
        <f>SUM('#1-Meritus:#5034-Mt Washington Pediatric'!F46)</f>
        <v>5440</v>
      </c>
      <c r="H35" s="301">
        <f>SUM('#1-Meritus:#5034-Mt Washington Pediatric'!G46)</f>
        <v>1689</v>
      </c>
      <c r="I35" s="301">
        <f>SUM('#1-Meritus:#5034-Mt Washington Pediatric'!H46)</f>
        <v>213036.19</v>
      </c>
      <c r="J35" s="301">
        <f>SUM('#1-Meritus:#5034-Mt Washington Pediatric'!I46)</f>
        <v>43319.502</v>
      </c>
      <c r="K35" s="301">
        <f>SUM('#1-Meritus:#5034-Mt Washington Pediatric'!J46)</f>
        <v>71469.19</v>
      </c>
      <c r="L35" s="301">
        <f>SUM('#1-Meritus:#5034-Mt Washington Pediatric'!K46)</f>
        <v>184886.50200000001</v>
      </c>
      <c r="M35" s="339">
        <f t="shared" si="2"/>
        <v>141567</v>
      </c>
      <c r="N35" s="300"/>
      <c r="O35" s="300"/>
    </row>
    <row r="36" spans="1:15">
      <c r="A36" s="4" t="s">
        <v>141</v>
      </c>
      <c r="C36" s="893" t="s">
        <v>339</v>
      </c>
      <c r="D36" s="894"/>
      <c r="E36" s="895"/>
      <c r="F36"/>
      <c r="G36" s="301">
        <f>SUM('#1-Meritus:#5034-Mt Washington Pediatric'!F47)</f>
        <v>0</v>
      </c>
      <c r="H36" s="301">
        <f>SUM('#1-Meritus:#5034-Mt Washington Pediatric'!G47)</f>
        <v>0</v>
      </c>
      <c r="I36" s="301">
        <f>SUM('#1-Meritus:#5034-Mt Washington Pediatric'!H47)</f>
        <v>0</v>
      </c>
      <c r="J36" s="301">
        <f>SUM('#1-Meritus:#5034-Mt Washington Pediatric'!I47)</f>
        <v>0</v>
      </c>
      <c r="K36" s="301">
        <f>SUM('#1-Meritus:#5034-Mt Washington Pediatric'!J47)</f>
        <v>0</v>
      </c>
      <c r="L36" s="301">
        <f>SUM('#1-Meritus:#5034-Mt Washington Pediatric'!K47)</f>
        <v>0</v>
      </c>
      <c r="M36" s="339">
        <f t="shared" si="2"/>
        <v>0</v>
      </c>
      <c r="N36" s="300"/>
      <c r="O36" s="300"/>
    </row>
    <row r="37" spans="1:15">
      <c r="A37" s="345"/>
      <c r="C37" s="346"/>
      <c r="D37" s="346"/>
      <c r="E37" s="346"/>
      <c r="F37" s="347"/>
      <c r="G37" s="344"/>
      <c r="H37" s="344"/>
      <c r="I37" s="348"/>
      <c r="J37" s="348"/>
      <c r="K37" s="348"/>
      <c r="L37" s="348"/>
      <c r="M37" s="348"/>
      <c r="N37" s="300"/>
      <c r="O37" s="300"/>
    </row>
    <row r="38" spans="1:15">
      <c r="A38" s="294" t="s">
        <v>142</v>
      </c>
      <c r="B38" s="294"/>
      <c r="C38" s="299" t="s">
        <v>283</v>
      </c>
      <c r="G38" s="301">
        <f t="shared" ref="G38:L38" si="3">SUM(G29:G36)</f>
        <v>6810048.6330034779</v>
      </c>
      <c r="H38" s="301">
        <f t="shared" si="3"/>
        <v>173371.94801916802</v>
      </c>
      <c r="I38" s="339">
        <f t="shared" si="3"/>
        <v>352093102.03071535</v>
      </c>
      <c r="J38" s="339">
        <f t="shared" si="3"/>
        <v>85649551.287558243</v>
      </c>
      <c r="K38" s="339">
        <f t="shared" si="3"/>
        <v>1893320.4989999998</v>
      </c>
      <c r="L38" s="339">
        <f t="shared" si="3"/>
        <v>435849332.31927365</v>
      </c>
      <c r="M38" s="339">
        <f t="shared" si="2"/>
        <v>350199781.03171539</v>
      </c>
      <c r="N38" s="300"/>
      <c r="O38" s="300"/>
    </row>
    <row r="39" spans="1:15">
      <c r="A39" s="294"/>
      <c r="B39" s="294"/>
      <c r="G39" s="300"/>
      <c r="H39" s="300"/>
      <c r="I39" s="300"/>
      <c r="J39" s="300"/>
      <c r="K39" s="300"/>
      <c r="L39" s="300"/>
      <c r="M39" s="300"/>
      <c r="N39" s="300"/>
      <c r="O39" s="300"/>
    </row>
    <row r="40" spans="1:15">
      <c r="A40" s="294"/>
      <c r="B40" s="294"/>
      <c r="G40" s="300"/>
      <c r="H40" s="300"/>
      <c r="I40" s="300"/>
      <c r="J40" s="300"/>
      <c r="K40" s="300"/>
      <c r="L40" s="300"/>
      <c r="M40" s="300"/>
      <c r="N40" s="300"/>
      <c r="O40" s="300"/>
    </row>
    <row r="41" spans="1:15" ht="38.25">
      <c r="A41" s="294"/>
      <c r="B41" s="294"/>
      <c r="G41" s="296" t="s">
        <v>9</v>
      </c>
      <c r="H41" s="296" t="s">
        <v>37</v>
      </c>
      <c r="I41" s="296" t="s">
        <v>649</v>
      </c>
      <c r="J41" s="296" t="s">
        <v>650</v>
      </c>
      <c r="K41" s="297" t="s">
        <v>270</v>
      </c>
      <c r="L41" s="302" t="s">
        <v>647</v>
      </c>
      <c r="M41" s="296" t="s">
        <v>648</v>
      </c>
      <c r="N41" s="300"/>
      <c r="O41" s="300"/>
    </row>
    <row r="42" spans="1:15">
      <c r="A42" s="293" t="s">
        <v>652</v>
      </c>
      <c r="B42" s="294"/>
      <c r="C42" s="315" t="s">
        <v>653</v>
      </c>
      <c r="K42" s="303"/>
      <c r="L42" s="304"/>
      <c r="N42" s="300"/>
      <c r="O42" s="300"/>
    </row>
    <row r="43" spans="1:15">
      <c r="B43" s="293"/>
      <c r="C43" s="299" t="s">
        <v>283</v>
      </c>
      <c r="D43" s="315"/>
      <c r="E43" s="315"/>
      <c r="F43" s="315"/>
      <c r="G43" s="301">
        <f>SUM('#1-Meritus:#5034-Mt Washington Pediatric'!F64)</f>
        <v>2519323.726983726</v>
      </c>
      <c r="H43" s="301">
        <f>SUM('#1-Meritus:#5034-Mt Washington Pediatric'!G64)</f>
        <v>781989.48239702475</v>
      </c>
      <c r="I43" s="301">
        <f>SUM('#1-Meritus:#5034-Mt Washington Pediatric'!H64)</f>
        <v>510333560.77210885</v>
      </c>
      <c r="J43" s="301">
        <f>SUM('#1-Meritus:#5034-Mt Washington Pediatric'!I64)</f>
        <v>126292812.09686339</v>
      </c>
      <c r="K43" s="301">
        <f>SUM('#1-Meritus:#5034-Mt Washington Pediatric'!J64)</f>
        <v>168056520.88999999</v>
      </c>
      <c r="L43" s="301">
        <f>SUM('#1-Meritus:#5034-Mt Washington Pediatric'!K64)</f>
        <v>468569851.97897232</v>
      </c>
      <c r="M43" s="339">
        <f>L43-J43</f>
        <v>342277039.88210893</v>
      </c>
      <c r="N43" s="300"/>
      <c r="O43" s="300"/>
    </row>
    <row r="44" spans="1:15">
      <c r="A44" s="305"/>
      <c r="B44" s="305"/>
      <c r="G44" s="316"/>
      <c r="H44" s="316"/>
      <c r="I44" s="316"/>
      <c r="J44" s="316"/>
      <c r="K44" s="316"/>
      <c r="L44" s="316"/>
      <c r="M44" s="317"/>
      <c r="N44" s="300"/>
      <c r="O44" s="300"/>
    </row>
    <row r="45" spans="1:15">
      <c r="A45" s="305"/>
      <c r="B45" s="305"/>
      <c r="K45" s="303"/>
      <c r="L45" s="304"/>
      <c r="M45" s="300"/>
      <c r="N45" s="300"/>
      <c r="O45" s="300"/>
    </row>
    <row r="46" spans="1:15" ht="45.75" customHeight="1">
      <c r="A46" s="293" t="s">
        <v>654</v>
      </c>
      <c r="B46" s="294"/>
      <c r="C46" s="299" t="s">
        <v>12</v>
      </c>
      <c r="G46" s="296" t="s">
        <v>9</v>
      </c>
      <c r="H46" s="296" t="s">
        <v>37</v>
      </c>
      <c r="I46" s="296" t="s">
        <v>649</v>
      </c>
      <c r="J46" s="296" t="s">
        <v>650</v>
      </c>
      <c r="K46" s="297" t="s">
        <v>270</v>
      </c>
      <c r="L46" s="302" t="s">
        <v>647</v>
      </c>
      <c r="M46" s="296" t="s">
        <v>648</v>
      </c>
      <c r="N46" s="300"/>
      <c r="O46" s="300"/>
    </row>
    <row r="47" spans="1:15">
      <c r="A47" s="305" t="s">
        <v>374</v>
      </c>
      <c r="B47" s="294"/>
      <c r="C47" s="299" t="s">
        <v>52</v>
      </c>
      <c r="G47" s="301">
        <f>SUM('#1-Meritus:#5034-Mt Washington Pediatric'!F68)</f>
        <v>63486.053135624476</v>
      </c>
      <c r="H47" s="301">
        <f>SUM('#1-Meritus:#5034-Mt Washington Pediatric'!G68)</f>
        <v>5714</v>
      </c>
      <c r="I47" s="301">
        <f>SUM('#1-Meritus:#5034-Mt Washington Pediatric'!H68)</f>
        <v>11038196.810000001</v>
      </c>
      <c r="J47" s="301">
        <f>SUM('#1-Meritus:#5034-Mt Washington Pediatric'!I68)</f>
        <v>2766651.6732888957</v>
      </c>
      <c r="K47" s="301">
        <f>SUM('#1-Meritus:#5034-Mt Washington Pediatric'!J68)</f>
        <v>5748769.379999999</v>
      </c>
      <c r="L47" s="301">
        <f>SUM('#1-Meritus:#5034-Mt Washington Pediatric'!K68)</f>
        <v>8056079.1032888955</v>
      </c>
      <c r="M47" s="339">
        <f>L47-J47</f>
        <v>5289427.43</v>
      </c>
      <c r="N47" s="300"/>
      <c r="O47" s="300"/>
    </row>
    <row r="48" spans="1:15">
      <c r="A48" s="305" t="s">
        <v>375</v>
      </c>
      <c r="B48" s="293"/>
      <c r="C48" s="299" t="s">
        <v>53</v>
      </c>
      <c r="G48" s="301">
        <f>SUM('#1-Meritus:#5034-Mt Washington Pediatric'!F69)</f>
        <v>5425</v>
      </c>
      <c r="H48" s="301">
        <f>SUM('#1-Meritus:#5034-Mt Washington Pediatric'!G69)</f>
        <v>157</v>
      </c>
      <c r="I48" s="301">
        <f>SUM('#1-Meritus:#5034-Mt Washington Pediatric'!H69)</f>
        <v>864583.8</v>
      </c>
      <c r="J48" s="301">
        <f>SUM('#1-Meritus:#5034-Mt Washington Pediatric'!I69)</f>
        <v>292520.73580000002</v>
      </c>
      <c r="K48" s="301">
        <f>SUM('#1-Meritus:#5034-Mt Washington Pediatric'!J69)</f>
        <v>0</v>
      </c>
      <c r="L48" s="301">
        <f>SUM('#1-Meritus:#5034-Mt Washington Pediatric'!K69)</f>
        <v>1157104.1657999998</v>
      </c>
      <c r="M48" s="339">
        <f>L48-J48</f>
        <v>864583.42999999982</v>
      </c>
      <c r="N48" s="300"/>
      <c r="O48" s="300"/>
    </row>
    <row r="49" spans="1:15">
      <c r="A49" s="305" t="s">
        <v>505</v>
      </c>
      <c r="B49" s="305"/>
      <c r="C49" s="299" t="s">
        <v>339</v>
      </c>
      <c r="D49" s="299"/>
      <c r="E49" s="299"/>
      <c r="F49" s="299"/>
      <c r="G49" s="301">
        <f>SUM('#1-Meritus:#5034-Mt Washington Pediatric'!F70)</f>
        <v>32281.5</v>
      </c>
      <c r="H49" s="301">
        <f>SUM('#1-Meritus:#5034-Mt Washington Pediatric'!G70)</f>
        <v>38</v>
      </c>
      <c r="I49" s="301">
        <f>SUM('#1-Meritus:#5034-Mt Washington Pediatric'!H70)</f>
        <v>1396746.6739893658</v>
      </c>
      <c r="J49" s="301">
        <f>SUM('#1-Meritus:#5034-Mt Washington Pediatric'!I70)</f>
        <v>209804.16940000001</v>
      </c>
      <c r="K49" s="301">
        <f>SUM('#1-Meritus:#5034-Mt Washington Pediatric'!J70)</f>
        <v>0</v>
      </c>
      <c r="L49" s="301">
        <f>SUM('#1-Meritus:#5034-Mt Washington Pediatric'!K70)</f>
        <v>1606550.8433893658</v>
      </c>
      <c r="M49" s="339">
        <f>L49-J49</f>
        <v>1396746.6739893658</v>
      </c>
      <c r="N49" s="300"/>
      <c r="O49" s="300"/>
    </row>
    <row r="50" spans="1:15">
      <c r="D50" s="299"/>
      <c r="E50" s="299"/>
      <c r="F50" s="299"/>
      <c r="G50" s="306"/>
      <c r="H50" s="306"/>
      <c r="I50" s="306"/>
      <c r="J50" s="306"/>
      <c r="K50" s="306"/>
      <c r="L50" s="306"/>
      <c r="M50" s="307"/>
      <c r="N50" s="300"/>
      <c r="O50" s="300"/>
    </row>
    <row r="51" spans="1:15">
      <c r="A51" s="305" t="s">
        <v>146</v>
      </c>
      <c r="B51" s="305"/>
      <c r="C51" s="299" t="s">
        <v>283</v>
      </c>
      <c r="G51" s="318">
        <f>SUM(G47:G49)</f>
        <v>101192.55313562448</v>
      </c>
      <c r="H51" s="318">
        <f t="shared" ref="H51:M51" si="4">SUM(H47:H49)</f>
        <v>5909</v>
      </c>
      <c r="I51" s="343">
        <f t="shared" si="4"/>
        <v>13299527.283989366</v>
      </c>
      <c r="J51" s="343">
        <f t="shared" si="4"/>
        <v>3268976.5784888957</v>
      </c>
      <c r="K51" s="343">
        <f t="shared" si="4"/>
        <v>5748769.379999999</v>
      </c>
      <c r="L51" s="343">
        <f t="shared" si="4"/>
        <v>10819734.112478262</v>
      </c>
      <c r="M51" s="343">
        <f t="shared" si="4"/>
        <v>7550757.5339893652</v>
      </c>
      <c r="N51" s="300"/>
      <c r="O51" s="300"/>
    </row>
    <row r="52" spans="1:15">
      <c r="A52" s="305"/>
      <c r="B52" s="305"/>
      <c r="G52" s="319"/>
      <c r="H52" s="319"/>
      <c r="I52" s="319"/>
      <c r="J52" s="319"/>
      <c r="K52" s="319"/>
      <c r="L52" s="319"/>
      <c r="M52" s="312"/>
      <c r="N52" s="300"/>
      <c r="O52" s="300"/>
    </row>
    <row r="53" spans="1:15" ht="46.5" customHeight="1">
      <c r="A53" s="294" t="s">
        <v>655</v>
      </c>
      <c r="B53" s="294"/>
      <c r="C53" s="320" t="s">
        <v>68</v>
      </c>
      <c r="G53" s="296" t="s">
        <v>9</v>
      </c>
      <c r="H53" s="296" t="s">
        <v>37</v>
      </c>
      <c r="I53" s="321" t="s">
        <v>649</v>
      </c>
      <c r="J53" s="321" t="s">
        <v>650</v>
      </c>
      <c r="K53" s="297" t="s">
        <v>270</v>
      </c>
      <c r="L53" s="302" t="s">
        <v>647</v>
      </c>
      <c r="M53" s="296" t="s">
        <v>648</v>
      </c>
      <c r="N53" s="300"/>
      <c r="O53" s="300"/>
    </row>
    <row r="54" spans="1:15" ht="15.75">
      <c r="A54" s="294"/>
      <c r="B54" s="294"/>
      <c r="C54" s="320"/>
      <c r="K54" s="303"/>
      <c r="L54" s="304"/>
      <c r="N54" s="300"/>
      <c r="O54" s="300"/>
    </row>
    <row r="55" spans="1:15">
      <c r="A55" s="305" t="s">
        <v>376</v>
      </c>
      <c r="B55" s="294"/>
      <c r="C55" s="293" t="s">
        <v>54</v>
      </c>
      <c r="G55" s="301">
        <f>SUM('#1-Meritus:#5034-Mt Washington Pediatric'!F77)</f>
        <v>854.72131582900465</v>
      </c>
      <c r="H55" s="301">
        <f>SUM('#1-Meritus:#5034-Mt Washington Pediatric'!G77)</f>
        <v>24622</v>
      </c>
      <c r="I55" s="301">
        <f>SUM('#1-Meritus:#5034-Mt Washington Pediatric'!H77)</f>
        <v>8975024.2889359258</v>
      </c>
      <c r="J55" s="301">
        <f>SUM('#1-Meritus:#5034-Mt Washington Pediatric'!I77)</f>
        <v>325371.27895428124</v>
      </c>
      <c r="K55" s="301">
        <f>SUM('#1-Meritus:#5034-Mt Washington Pediatric'!J77)</f>
        <v>70620</v>
      </c>
      <c r="L55" s="301">
        <f>SUM('#1-Meritus:#5034-Mt Washington Pediatric'!K77)</f>
        <v>9229775.5678902064</v>
      </c>
      <c r="M55" s="339">
        <f>L55-J55</f>
        <v>8904404.2889359258</v>
      </c>
      <c r="N55" s="300"/>
      <c r="O55" s="300"/>
    </row>
    <row r="56" spans="1:15">
      <c r="A56" s="305" t="s">
        <v>377</v>
      </c>
      <c r="B56" s="293"/>
      <c r="C56" s="293" t="s">
        <v>55</v>
      </c>
      <c r="G56" s="301">
        <f>SUM('#1-Meritus:#5034-Mt Washington Pediatric'!F78)</f>
        <v>63.64143898742762</v>
      </c>
      <c r="H56" s="301">
        <f>SUM('#1-Meritus:#5034-Mt Washington Pediatric'!G78)</f>
        <v>32</v>
      </c>
      <c r="I56" s="301">
        <f>SUM('#1-Meritus:#5034-Mt Washington Pediatric'!H78)</f>
        <v>429233</v>
      </c>
      <c r="J56" s="301">
        <f>SUM('#1-Meritus:#5034-Mt Washington Pediatric'!I78)</f>
        <v>97379.699164755002</v>
      </c>
      <c r="K56" s="301">
        <f>SUM('#1-Meritus:#5034-Mt Washington Pediatric'!J78)</f>
        <v>287557</v>
      </c>
      <c r="L56" s="301">
        <f>SUM('#1-Meritus:#5034-Mt Washington Pediatric'!K78)</f>
        <v>239055.699164755</v>
      </c>
      <c r="M56" s="339">
        <f>L56-J56</f>
        <v>141676</v>
      </c>
      <c r="N56" s="300"/>
      <c r="O56" s="300"/>
    </row>
    <row r="57" spans="1:15">
      <c r="A57" s="305" t="s">
        <v>378</v>
      </c>
      <c r="B57" s="305"/>
      <c r="C57" s="293" t="s">
        <v>13</v>
      </c>
      <c r="G57" s="301">
        <f>SUM('#1-Meritus:#5034-Mt Washington Pediatric'!F79)</f>
        <v>29483.609999999997</v>
      </c>
      <c r="H57" s="301">
        <f>SUM('#1-Meritus:#5034-Mt Washington Pediatric'!G79)</f>
        <v>154603</v>
      </c>
      <c r="I57" s="301">
        <f>SUM('#1-Meritus:#5034-Mt Washington Pediatric'!H79)</f>
        <v>6123474.2777357465</v>
      </c>
      <c r="J57" s="301">
        <f>SUM('#1-Meritus:#5034-Mt Washington Pediatric'!I79)</f>
        <v>611785.18382263451</v>
      </c>
      <c r="K57" s="301">
        <f>SUM('#1-Meritus:#5034-Mt Washington Pediatric'!J79)</f>
        <v>218339</v>
      </c>
      <c r="L57" s="301">
        <f>SUM('#1-Meritus:#5034-Mt Washington Pediatric'!K79)</f>
        <v>6516920.4615583792</v>
      </c>
      <c r="M57" s="339">
        <f>L57-J57</f>
        <v>5905135.2777357446</v>
      </c>
      <c r="N57" s="300"/>
      <c r="O57" s="300"/>
    </row>
    <row r="58" spans="1:15">
      <c r="A58" s="305" t="s">
        <v>379</v>
      </c>
      <c r="B58" s="305"/>
      <c r="C58" s="293" t="s">
        <v>56</v>
      </c>
      <c r="G58" s="301">
        <f>SUM('#1-Meritus:#5034-Mt Washington Pediatric'!F80)</f>
        <v>5202.8291071014337</v>
      </c>
      <c r="H58" s="301">
        <f>SUM('#1-Meritus:#5034-Mt Washington Pediatric'!G80)</f>
        <v>8199</v>
      </c>
      <c r="I58" s="301">
        <f>SUM('#1-Meritus:#5034-Mt Washington Pediatric'!H80)</f>
        <v>472644.79</v>
      </c>
      <c r="J58" s="301">
        <f>SUM('#1-Meritus:#5034-Mt Washington Pediatric'!I80)</f>
        <v>119686.26471243823</v>
      </c>
      <c r="K58" s="301">
        <f>SUM('#1-Meritus:#5034-Mt Washington Pediatric'!J80)</f>
        <v>0</v>
      </c>
      <c r="L58" s="301">
        <f>SUM('#1-Meritus:#5034-Mt Washington Pediatric'!K80)</f>
        <v>592330.92471243825</v>
      </c>
      <c r="M58" s="339">
        <f>L58-J58</f>
        <v>472644.66000000003</v>
      </c>
      <c r="N58" s="300"/>
      <c r="O58" s="300"/>
    </row>
    <row r="59" spans="1:15">
      <c r="A59" s="305"/>
      <c r="B59" s="305"/>
      <c r="C59" s="322"/>
      <c r="G59" s="323"/>
      <c r="H59" s="323"/>
      <c r="I59" s="323"/>
      <c r="J59" s="323"/>
      <c r="K59" s="323"/>
      <c r="L59" s="323"/>
      <c r="M59" s="307"/>
      <c r="N59" s="300"/>
      <c r="O59" s="300"/>
    </row>
    <row r="60" spans="1:15">
      <c r="A60" s="305" t="s">
        <v>148</v>
      </c>
      <c r="B60" s="305"/>
      <c r="C60" s="293" t="s">
        <v>283</v>
      </c>
      <c r="D60" s="322"/>
      <c r="E60" s="322"/>
      <c r="F60" s="322"/>
      <c r="G60" s="318">
        <f>SUM(G55:G59)</f>
        <v>35604.801861917862</v>
      </c>
      <c r="H60" s="318">
        <f t="shared" ref="H60:M60" si="5">SUM(H55:H59)</f>
        <v>187456</v>
      </c>
      <c r="I60" s="343">
        <f t="shared" si="5"/>
        <v>16000376.356671672</v>
      </c>
      <c r="J60" s="343">
        <f t="shared" si="5"/>
        <v>1154222.426654109</v>
      </c>
      <c r="K60" s="343">
        <f t="shared" si="5"/>
        <v>576516</v>
      </c>
      <c r="L60" s="343">
        <f t="shared" si="5"/>
        <v>16578082.653325779</v>
      </c>
      <c r="M60" s="343">
        <f t="shared" si="5"/>
        <v>15423860.22667167</v>
      </c>
      <c r="N60" s="300"/>
      <c r="O60" s="300"/>
    </row>
    <row r="61" spans="1:15">
      <c r="A61" s="305"/>
      <c r="B61" s="305"/>
      <c r="C61" s="293"/>
      <c r="D61" s="322"/>
      <c r="E61" s="322"/>
      <c r="F61" s="322"/>
      <c r="G61" s="324"/>
      <c r="H61" s="324"/>
      <c r="I61" s="324"/>
      <c r="J61" s="324"/>
      <c r="K61" s="324"/>
      <c r="L61" s="324"/>
      <c r="M61" s="324"/>
      <c r="N61" s="300"/>
      <c r="O61" s="300"/>
    </row>
    <row r="62" spans="1:15">
      <c r="A62" s="305"/>
      <c r="G62" s="309"/>
      <c r="H62" s="309"/>
      <c r="I62" s="310"/>
      <c r="J62" s="310"/>
      <c r="K62" s="310"/>
      <c r="L62" s="310"/>
      <c r="M62" s="310"/>
      <c r="N62" s="300"/>
      <c r="O62" s="300"/>
    </row>
    <row r="63" spans="1:15">
      <c r="A63" s="305"/>
      <c r="B63" s="305"/>
      <c r="C63" s="293"/>
      <c r="K63" s="303"/>
      <c r="L63" s="304"/>
      <c r="N63" s="300"/>
      <c r="O63" s="300"/>
    </row>
    <row r="64" spans="1:15" ht="41.25" customHeight="1">
      <c r="A64" s="293" t="s">
        <v>656</v>
      </c>
      <c r="B64" s="305"/>
      <c r="C64" s="299" t="s">
        <v>57</v>
      </c>
      <c r="G64" s="296" t="s">
        <v>9</v>
      </c>
      <c r="H64" s="296" t="s">
        <v>37</v>
      </c>
      <c r="I64" s="296" t="s">
        <v>649</v>
      </c>
      <c r="J64" s="296" t="s">
        <v>650</v>
      </c>
      <c r="K64" s="297" t="s">
        <v>270</v>
      </c>
      <c r="L64" s="302" t="s">
        <v>647</v>
      </c>
      <c r="M64" s="296" t="s">
        <v>648</v>
      </c>
      <c r="N64" s="300"/>
      <c r="O64" s="300"/>
    </row>
    <row r="65" spans="1:15">
      <c r="K65" s="303"/>
      <c r="L65" s="304"/>
      <c r="N65" s="300"/>
      <c r="O65" s="300"/>
    </row>
    <row r="66" spans="1:15">
      <c r="A66" s="305" t="s">
        <v>380</v>
      </c>
      <c r="B66" s="294"/>
      <c r="C66" s="299" t="s">
        <v>657</v>
      </c>
      <c r="G66" s="325">
        <f>SUM('#1-Meritus:#5034-Mt Washington Pediatric'!F86)</f>
        <v>7672</v>
      </c>
      <c r="H66" s="325">
        <f>SUM('#1-Meritus:#5034-Mt Washington Pediatric'!G86)</f>
        <v>302805</v>
      </c>
      <c r="I66" s="325">
        <f>SUM('#1-Meritus:#5034-Mt Washington Pediatric'!H86)</f>
        <v>2813164.9830801589</v>
      </c>
      <c r="J66" s="325">
        <f>SUM('#1-Meritus:#5034-Mt Washington Pediatric'!I86)</f>
        <v>38013.752355876961</v>
      </c>
      <c r="K66" s="325">
        <f>SUM('#1-Meritus:#5034-Mt Washington Pediatric'!J86)</f>
        <v>2096682.75</v>
      </c>
      <c r="L66" s="325">
        <f>SUM('#1-Meritus:#5034-Mt Washington Pediatric'!K86)</f>
        <v>754495.98543603532</v>
      </c>
      <c r="M66" s="339">
        <f>L66-J66</f>
        <v>716482.23308015836</v>
      </c>
      <c r="N66" s="300"/>
      <c r="O66" s="300"/>
    </row>
    <row r="67" spans="1:15">
      <c r="A67" s="305" t="s">
        <v>381</v>
      </c>
      <c r="B67" s="293"/>
      <c r="C67" s="299" t="s">
        <v>14</v>
      </c>
      <c r="D67" s="299"/>
      <c r="E67" s="299"/>
      <c r="F67" s="299"/>
      <c r="G67" s="325">
        <f>SUM('#1-Meritus:#5034-Mt Washington Pediatric'!F87)</f>
        <v>14084.803453248951</v>
      </c>
      <c r="H67" s="325">
        <f>SUM('#1-Meritus:#5034-Mt Washington Pediatric'!G87)</f>
        <v>3239.6564446538187</v>
      </c>
      <c r="I67" s="325">
        <f>SUM('#1-Meritus:#5034-Mt Washington Pediatric'!H87)</f>
        <v>594745.22201873222</v>
      </c>
      <c r="J67" s="325">
        <f>SUM('#1-Meritus:#5034-Mt Washington Pediatric'!I87)</f>
        <v>342642.73733623058</v>
      </c>
      <c r="K67" s="325">
        <f>SUM('#1-Meritus:#5034-Mt Washington Pediatric'!J87)</f>
        <v>245831</v>
      </c>
      <c r="L67" s="325">
        <f>SUM('#1-Meritus:#5034-Mt Washington Pediatric'!K87)</f>
        <v>691556.95935496292</v>
      </c>
      <c r="M67" s="339">
        <f t="shared" ref="M67:M76" si="6">L67-J67</f>
        <v>348914.22201873234</v>
      </c>
      <c r="N67" s="300"/>
      <c r="O67" s="300"/>
    </row>
    <row r="68" spans="1:15">
      <c r="A68" s="305" t="s">
        <v>382</v>
      </c>
      <c r="B68" s="305"/>
      <c r="C68" s="299" t="s">
        <v>658</v>
      </c>
      <c r="D68" s="299"/>
      <c r="E68" s="299"/>
      <c r="F68" s="299"/>
      <c r="G68" s="325">
        <f>SUM('#1-Meritus:#5034-Mt Washington Pediatric'!F88)</f>
        <v>74381.177663198701</v>
      </c>
      <c r="H68" s="325">
        <f>SUM('#1-Meritus:#5034-Mt Washington Pediatric'!G88)</f>
        <v>26663.826682846622</v>
      </c>
      <c r="I68" s="325">
        <f>SUM('#1-Meritus:#5034-Mt Washington Pediatric'!H88)</f>
        <v>4296668.3793394417</v>
      </c>
      <c r="J68" s="325">
        <f>SUM('#1-Meritus:#5034-Mt Washington Pediatric'!I88)</f>
        <v>2195310.9908160246</v>
      </c>
      <c r="K68" s="325">
        <f>SUM('#1-Meritus:#5034-Mt Washington Pediatric'!J88)</f>
        <v>775645.69</v>
      </c>
      <c r="L68" s="325">
        <f>SUM('#1-Meritus:#5034-Mt Washington Pediatric'!K88)</f>
        <v>5716333.6801554663</v>
      </c>
      <c r="M68" s="339">
        <f t="shared" si="6"/>
        <v>3521022.6893394417</v>
      </c>
      <c r="N68" s="300"/>
      <c r="O68" s="300"/>
    </row>
    <row r="69" spans="1:15">
      <c r="A69" s="305" t="s">
        <v>383</v>
      </c>
      <c r="B69" s="305"/>
      <c r="C69" s="299" t="s">
        <v>58</v>
      </c>
      <c r="D69" s="299"/>
      <c r="E69" s="299"/>
      <c r="F69" s="299"/>
      <c r="G69" s="325">
        <f>SUM('#1-Meritus:#5034-Mt Washington Pediatric'!F89)</f>
        <v>8965.4157656781226</v>
      </c>
      <c r="H69" s="325">
        <f>SUM('#1-Meritus:#5034-Mt Washington Pediatric'!G89)</f>
        <v>193.71921892707473</v>
      </c>
      <c r="I69" s="325">
        <f>SUM('#1-Meritus:#5034-Mt Washington Pediatric'!H89)</f>
        <v>970475.04999999993</v>
      </c>
      <c r="J69" s="325">
        <f>SUM('#1-Meritus:#5034-Mt Washington Pediatric'!I89)</f>
        <v>354697.6932050492</v>
      </c>
      <c r="K69" s="325">
        <f>SUM('#1-Meritus:#5034-Mt Washington Pediatric'!J89)</f>
        <v>21370</v>
      </c>
      <c r="L69" s="325">
        <f>SUM('#1-Meritus:#5034-Mt Washington Pediatric'!K89)</f>
        <v>1303802.7432050491</v>
      </c>
      <c r="M69" s="339">
        <f t="shared" si="6"/>
        <v>949105.04999999981</v>
      </c>
      <c r="N69" s="300"/>
      <c r="O69" s="300"/>
    </row>
    <row r="70" spans="1:15">
      <c r="A70" s="305" t="s">
        <v>384</v>
      </c>
      <c r="B70" s="305"/>
      <c r="C70" s="298" t="s">
        <v>59</v>
      </c>
      <c r="D70" s="299"/>
      <c r="E70" s="299"/>
      <c r="F70" s="299"/>
      <c r="G70" s="325">
        <f>SUM('#1-Meritus:#5034-Mt Washington Pediatric'!F90)</f>
        <v>8187.1318295238907</v>
      </c>
      <c r="H70" s="325">
        <f>SUM('#1-Meritus:#5034-Mt Washington Pediatric'!G90)</f>
        <v>2001.0258175289221</v>
      </c>
      <c r="I70" s="325">
        <f>SUM('#1-Meritus:#5034-Mt Washington Pediatric'!H90)</f>
        <v>295550</v>
      </c>
      <c r="J70" s="325">
        <f>SUM('#1-Meritus:#5034-Mt Washington Pediatric'!I90)</f>
        <v>182933.72486297591</v>
      </c>
      <c r="K70" s="325">
        <f>SUM('#1-Meritus:#5034-Mt Washington Pediatric'!J90)</f>
        <v>0</v>
      </c>
      <c r="L70" s="325">
        <f>SUM('#1-Meritus:#5034-Mt Washington Pediatric'!K90)</f>
        <v>478483.72486297588</v>
      </c>
      <c r="M70" s="339">
        <f t="shared" si="6"/>
        <v>295550</v>
      </c>
      <c r="N70" s="300"/>
      <c r="O70" s="300"/>
    </row>
    <row r="71" spans="1:15">
      <c r="A71" s="305" t="s">
        <v>385</v>
      </c>
      <c r="B71" s="305"/>
      <c r="C71" s="299" t="s">
        <v>60</v>
      </c>
      <c r="D71" s="326"/>
      <c r="E71" s="326"/>
      <c r="F71" s="326"/>
      <c r="G71" s="325">
        <f>SUM('#1-Meritus:#5034-Mt Washington Pediatric'!F91)</f>
        <v>22136.287665185264</v>
      </c>
      <c r="H71" s="325">
        <f>SUM('#1-Meritus:#5034-Mt Washington Pediatric'!G91)</f>
        <v>18493.689800516458</v>
      </c>
      <c r="I71" s="325">
        <f>SUM('#1-Meritus:#5034-Mt Washington Pediatric'!H91)</f>
        <v>2141668.0031653391</v>
      </c>
      <c r="J71" s="325">
        <f>SUM('#1-Meritus:#5034-Mt Washington Pediatric'!I91)</f>
        <v>1202823.6649957611</v>
      </c>
      <c r="K71" s="325">
        <f>SUM('#1-Meritus:#5034-Mt Washington Pediatric'!J91)</f>
        <v>167621.13199999998</v>
      </c>
      <c r="L71" s="325">
        <f>SUM('#1-Meritus:#5034-Mt Washington Pediatric'!K91)</f>
        <v>3176870.5361611</v>
      </c>
      <c r="M71" s="339">
        <f t="shared" si="6"/>
        <v>1974046.8711653389</v>
      </c>
      <c r="N71" s="300"/>
      <c r="O71" s="300"/>
    </row>
    <row r="72" spans="1:15">
      <c r="A72" s="305" t="s">
        <v>386</v>
      </c>
      <c r="B72" s="305"/>
      <c r="C72" s="299" t="s">
        <v>659</v>
      </c>
      <c r="D72" s="299"/>
      <c r="E72" s="299"/>
      <c r="F72" s="299"/>
      <c r="G72" s="325">
        <f>SUM('#1-Meritus:#5034-Mt Washington Pediatric'!F92)</f>
        <v>25842.480971717076</v>
      </c>
      <c r="H72" s="325">
        <f>SUM('#1-Meritus:#5034-Mt Washington Pediatric'!G92)</f>
        <v>3584.6686987125163</v>
      </c>
      <c r="I72" s="325">
        <f>SUM('#1-Meritus:#5034-Mt Washington Pediatric'!H92)</f>
        <v>2156124.580157191</v>
      </c>
      <c r="J72" s="325">
        <f>SUM('#1-Meritus:#5034-Mt Washington Pediatric'!I92)</f>
        <v>1222768.5130082858</v>
      </c>
      <c r="K72" s="325">
        <f>SUM('#1-Meritus:#5034-Mt Washington Pediatric'!J92)</f>
        <v>0</v>
      </c>
      <c r="L72" s="325">
        <f>SUM('#1-Meritus:#5034-Mt Washington Pediatric'!K92)</f>
        <v>3378893.0931654763</v>
      </c>
      <c r="M72" s="339">
        <f t="shared" si="6"/>
        <v>2156124.5801571906</v>
      </c>
      <c r="N72" s="300"/>
      <c r="O72" s="300"/>
    </row>
    <row r="73" spans="1:15">
      <c r="A73" s="305" t="s">
        <v>387</v>
      </c>
      <c r="B73" s="305"/>
      <c r="C73" s="299" t="s">
        <v>660</v>
      </c>
      <c r="D73" s="299"/>
      <c r="E73" s="299"/>
      <c r="F73" s="299"/>
      <c r="G73" s="325">
        <f>SUM('#1-Meritus:#5034-Mt Washington Pediatric'!F93)</f>
        <v>71478.747297034366</v>
      </c>
      <c r="H73" s="325">
        <f>SUM('#1-Meritus:#5034-Mt Washington Pediatric'!G93)</f>
        <v>165573.77537514167</v>
      </c>
      <c r="I73" s="325">
        <f>SUM('#1-Meritus:#5034-Mt Washington Pediatric'!H93)</f>
        <v>3416477.9044589703</v>
      </c>
      <c r="J73" s="325">
        <f>SUM('#1-Meritus:#5034-Mt Washington Pediatric'!I93)</f>
        <v>1952610.3684730907</v>
      </c>
      <c r="K73" s="325">
        <f>SUM('#1-Meritus:#5034-Mt Washington Pediatric'!J93)</f>
        <v>441091</v>
      </c>
      <c r="L73" s="325">
        <f>SUM('#1-Meritus:#5034-Mt Washington Pediatric'!K93)</f>
        <v>4927997.2729320591</v>
      </c>
      <c r="M73" s="339">
        <f t="shared" si="6"/>
        <v>2975386.9044589684</v>
      </c>
      <c r="N73" s="300"/>
      <c r="O73" s="300"/>
    </row>
    <row r="74" spans="1:15">
      <c r="A74" s="305" t="s">
        <v>506</v>
      </c>
      <c r="B74" s="305"/>
      <c r="C74" s="299" t="s">
        <v>339</v>
      </c>
      <c r="D74" s="299"/>
      <c r="E74" s="299"/>
      <c r="F74" s="299"/>
      <c r="G74" s="325">
        <f>SUM('#1-Meritus:#5034-Mt Washington Pediatric'!F94)</f>
        <v>8579.5</v>
      </c>
      <c r="H74" s="325">
        <f>SUM('#1-Meritus:#5034-Mt Washington Pediatric'!G94)</f>
        <v>31380</v>
      </c>
      <c r="I74" s="325">
        <f>SUM('#1-Meritus:#5034-Mt Washington Pediatric'!H94)</f>
        <v>365509.56</v>
      </c>
      <c r="J74" s="325">
        <f>SUM('#1-Meritus:#5034-Mt Washington Pediatric'!I94)</f>
        <v>195016.93687600002</v>
      </c>
      <c r="K74" s="325">
        <f>SUM('#1-Meritus:#5034-Mt Washington Pediatric'!J94)</f>
        <v>23090</v>
      </c>
      <c r="L74" s="325">
        <f>SUM('#1-Meritus:#5034-Mt Washington Pediatric'!K94)</f>
        <v>537436.49687599996</v>
      </c>
      <c r="M74" s="339">
        <f t="shared" si="6"/>
        <v>342419.55999999994</v>
      </c>
      <c r="N74" s="300"/>
      <c r="O74" s="300"/>
    </row>
    <row r="75" spans="1:15">
      <c r="A75" s="305" t="s">
        <v>112</v>
      </c>
      <c r="B75" s="305"/>
      <c r="C75" s="299" t="s">
        <v>339</v>
      </c>
      <c r="D75" s="299"/>
      <c r="E75" s="299"/>
      <c r="F75" s="299"/>
      <c r="G75" s="325">
        <f>SUM('#1-Meritus:#5034-Mt Washington Pediatric'!F95)</f>
        <v>199</v>
      </c>
      <c r="H75" s="325">
        <f>SUM('#1-Meritus:#5034-Mt Washington Pediatric'!G95)</f>
        <v>78</v>
      </c>
      <c r="I75" s="325">
        <f>SUM('#1-Meritus:#5034-Mt Washington Pediatric'!H95)</f>
        <v>11412</v>
      </c>
      <c r="J75" s="325">
        <f>SUM('#1-Meritus:#5034-Mt Washington Pediatric'!I95)</f>
        <v>6039.2304000000004</v>
      </c>
      <c r="K75" s="325">
        <f>SUM('#1-Meritus:#5034-Mt Washington Pediatric'!J95)</f>
        <v>0</v>
      </c>
      <c r="L75" s="325">
        <f>SUM('#1-Meritus:#5034-Mt Washington Pediatric'!K95)</f>
        <v>17451.2304</v>
      </c>
      <c r="M75" s="339">
        <f t="shared" si="6"/>
        <v>11412</v>
      </c>
      <c r="N75" s="300"/>
      <c r="O75" s="300"/>
    </row>
    <row r="76" spans="1:15">
      <c r="A76" s="305" t="s">
        <v>661</v>
      </c>
      <c r="B76" s="305"/>
      <c r="C76" s="896"/>
      <c r="D76" s="896"/>
      <c r="E76" s="897"/>
      <c r="F76" s="340"/>
      <c r="G76" s="325">
        <f>SUM('#1-Meritus:#5034-Mt Washington Pediatric'!F96)</f>
        <v>0</v>
      </c>
      <c r="H76" s="325">
        <f>SUM('#1-Meritus:#5034-Mt Washington Pediatric'!G96)</f>
        <v>0</v>
      </c>
      <c r="I76" s="325">
        <f>SUM('#1-Meritus:#5034-Mt Washington Pediatric'!H96)</f>
        <v>0</v>
      </c>
      <c r="J76" s="325">
        <f>SUM('#1-Meritus:#5034-Mt Washington Pediatric'!I96)</f>
        <v>0</v>
      </c>
      <c r="K76" s="325">
        <f>SUM('#1-Meritus:#5034-Mt Washington Pediatric'!J96)</f>
        <v>0</v>
      </c>
      <c r="L76" s="325">
        <f>SUM('#1-Meritus:#5034-Mt Washington Pediatric'!K96)</f>
        <v>0</v>
      </c>
      <c r="M76" s="339">
        <f t="shared" si="6"/>
        <v>0</v>
      </c>
      <c r="N76" s="300"/>
      <c r="O76" s="300"/>
    </row>
    <row r="77" spans="1:15">
      <c r="B77" s="305"/>
      <c r="D77" s="299"/>
      <c r="E77" s="299"/>
      <c r="F77" s="299"/>
      <c r="I77" s="312"/>
      <c r="J77" s="312"/>
      <c r="K77" s="312"/>
      <c r="L77" s="312"/>
      <c r="M77" s="300"/>
      <c r="N77" s="300"/>
      <c r="O77" s="300"/>
    </row>
    <row r="78" spans="1:15">
      <c r="A78" s="293" t="s">
        <v>150</v>
      </c>
      <c r="B78" s="305"/>
      <c r="C78" s="299" t="s">
        <v>283</v>
      </c>
      <c r="G78" s="325">
        <f>SUM(G66:G76)</f>
        <v>241526.54464558637</v>
      </c>
      <c r="H78" s="325">
        <f t="shared" ref="H78:M78" si="7">SUM(H66:H76)</f>
        <v>554013.36203832715</v>
      </c>
      <c r="I78" s="325">
        <f t="shared" si="7"/>
        <v>17061795.682219833</v>
      </c>
      <c r="J78" s="325">
        <f t="shared" si="7"/>
        <v>7692857.612329294</v>
      </c>
      <c r="K78" s="325">
        <f t="shared" si="7"/>
        <v>3771331.5719999997</v>
      </c>
      <c r="L78" s="325">
        <f t="shared" si="7"/>
        <v>20983321.722549126</v>
      </c>
      <c r="M78" s="325">
        <f t="shared" si="7"/>
        <v>13290464.110219829</v>
      </c>
      <c r="N78" s="300"/>
      <c r="O78" s="300"/>
    </row>
    <row r="79" spans="1:15">
      <c r="A79" s="305"/>
      <c r="B79" s="305"/>
      <c r="C79" s="299"/>
      <c r="G79" s="316"/>
      <c r="H79" s="316"/>
      <c r="I79" s="316"/>
      <c r="J79" s="316"/>
      <c r="K79" s="316"/>
      <c r="L79" s="316"/>
      <c r="M79" s="316"/>
      <c r="N79" s="300"/>
      <c r="O79" s="300"/>
    </row>
    <row r="80" spans="1:15">
      <c r="A80" s="294"/>
      <c r="B80" s="294"/>
      <c r="C80" s="299"/>
      <c r="K80" s="303"/>
      <c r="L80" s="304"/>
      <c r="N80" s="300"/>
      <c r="O80" s="300"/>
    </row>
    <row r="81" spans="1:15" ht="46.5" customHeight="1">
      <c r="A81" s="299" t="s">
        <v>662</v>
      </c>
      <c r="B81" s="299"/>
      <c r="C81" s="299" t="s">
        <v>63</v>
      </c>
      <c r="G81" s="296" t="s">
        <v>9</v>
      </c>
      <c r="H81" s="296" t="s">
        <v>37</v>
      </c>
      <c r="I81" s="296" t="s">
        <v>649</v>
      </c>
      <c r="J81" s="296" t="s">
        <v>650</v>
      </c>
      <c r="K81" s="297" t="s">
        <v>270</v>
      </c>
      <c r="L81" s="302" t="s">
        <v>647</v>
      </c>
      <c r="M81" s="296" t="s">
        <v>648</v>
      </c>
      <c r="N81" s="300"/>
      <c r="O81" s="300"/>
    </row>
    <row r="82" spans="1:15">
      <c r="A82" s="294"/>
      <c r="B82" s="294"/>
      <c r="C82" s="299"/>
      <c r="K82" s="303"/>
      <c r="L82" s="304"/>
      <c r="N82" s="300"/>
      <c r="O82" s="300"/>
    </row>
    <row r="83" spans="1:15">
      <c r="A83" s="305" t="s">
        <v>388</v>
      </c>
      <c r="B83" s="294"/>
      <c r="C83" s="291" t="s">
        <v>663</v>
      </c>
      <c r="G83" s="325">
        <f>SUM('#1-Meritus:#5034-Mt Washington Pediatric'!F102)</f>
        <v>83363.251074045285</v>
      </c>
      <c r="H83" s="325">
        <f>SUM('#1-Meritus:#5034-Mt Washington Pediatric'!G102)</f>
        <v>759.66063845767849</v>
      </c>
      <c r="I83" s="325">
        <f>SUM('#1-Meritus:#5034-Mt Washington Pediatric'!H102)</f>
        <v>5878288.4872243693</v>
      </c>
      <c r="J83" s="325">
        <f>SUM('#1-Meritus:#5034-Mt Washington Pediatric'!I102)</f>
        <v>2661847.4808449377</v>
      </c>
      <c r="K83" s="325">
        <f>SUM('#1-Meritus:#5034-Mt Washington Pediatric'!J102)</f>
        <v>55764.139421250002</v>
      </c>
      <c r="L83" s="325">
        <f>SUM('#1-Meritus:#5034-Mt Washington Pediatric'!K102)</f>
        <v>8484371.9786480591</v>
      </c>
      <c r="M83" s="339">
        <f>L83-J83</f>
        <v>5822524.4978031218</v>
      </c>
      <c r="N83" s="300"/>
      <c r="O83" s="300"/>
    </row>
    <row r="84" spans="1:15">
      <c r="A84" s="305" t="s">
        <v>389</v>
      </c>
      <c r="B84" s="293"/>
      <c r="C84" s="313" t="s">
        <v>62</v>
      </c>
      <c r="G84" s="325">
        <f>SUM('#1-Meritus:#5034-Mt Washington Pediatric'!F103)</f>
        <v>4056.7980805509733</v>
      </c>
      <c r="H84" s="325">
        <f>SUM('#1-Meritus:#5034-Mt Washington Pediatric'!G103)</f>
        <v>1611.6942256497096</v>
      </c>
      <c r="I84" s="325">
        <f>SUM('#1-Meritus:#5034-Mt Washington Pediatric'!H103)</f>
        <v>418431.08599586837</v>
      </c>
      <c r="J84" s="325">
        <f>SUM('#1-Meritus:#5034-Mt Washington Pediatric'!I103)</f>
        <v>188620.23203752606</v>
      </c>
      <c r="K84" s="325">
        <f>SUM('#1-Meritus:#5034-Mt Washington Pediatric'!J103)</f>
        <v>15048</v>
      </c>
      <c r="L84" s="325">
        <f>SUM('#1-Meritus:#5034-Mt Washington Pediatric'!K103)</f>
        <v>592003.3180333944</v>
      </c>
      <c r="M84" s="339">
        <f>L84-J84</f>
        <v>403383.08599586831</v>
      </c>
      <c r="N84" s="300"/>
      <c r="O84" s="300"/>
    </row>
    <row r="85" spans="1:15">
      <c r="A85" s="305" t="s">
        <v>502</v>
      </c>
      <c r="B85" s="305"/>
      <c r="C85" s="291" t="s">
        <v>496</v>
      </c>
      <c r="D85" s="314"/>
      <c r="E85" s="314"/>
      <c r="F85" s="314"/>
      <c r="G85" s="325">
        <f>SUM('#1-Meritus:#5034-Mt Washington Pediatric'!F104)</f>
        <v>8129.9400000000005</v>
      </c>
      <c r="H85" s="325">
        <f>SUM('#1-Meritus:#5034-Mt Washington Pediatric'!G104)</f>
        <v>603</v>
      </c>
      <c r="I85" s="325">
        <f>SUM('#1-Meritus:#5034-Mt Washington Pediatric'!H104)</f>
        <v>1233222.2184000001</v>
      </c>
      <c r="J85" s="325">
        <f>SUM('#1-Meritus:#5034-Mt Washington Pediatric'!I104)</f>
        <v>584815.54609693761</v>
      </c>
      <c r="K85" s="325">
        <f>SUM('#1-Meritus:#5034-Mt Washington Pediatric'!J104)</f>
        <v>21497.779000000002</v>
      </c>
      <c r="L85" s="325">
        <f>SUM('#1-Meritus:#5034-Mt Washington Pediatric'!K104)</f>
        <v>1796539.9854969375</v>
      </c>
      <c r="M85" s="339">
        <f>L85-J85</f>
        <v>1211724.4394</v>
      </c>
      <c r="N85" s="300"/>
      <c r="O85" s="300"/>
    </row>
    <row r="86" spans="1:15">
      <c r="A86" s="305" t="s">
        <v>512</v>
      </c>
      <c r="B86" s="305"/>
      <c r="C86" s="299"/>
      <c r="G86" s="325">
        <f>SUM('#1-Meritus:#5034-Mt Washington Pediatric'!F105)</f>
        <v>0</v>
      </c>
      <c r="H86" s="325">
        <f>SUM('#1-Meritus:#5034-Mt Washington Pediatric'!G105)</f>
        <v>0</v>
      </c>
      <c r="I86" s="325">
        <f>SUM('#1-Meritus:#5034-Mt Washington Pediatric'!H105)</f>
        <v>0</v>
      </c>
      <c r="J86" s="325">
        <f>SUM('#1-Meritus:#5034-Mt Washington Pediatric'!I105)</f>
        <v>0</v>
      </c>
      <c r="K86" s="325">
        <f>SUM('#1-Meritus:#5034-Mt Washington Pediatric'!J105)</f>
        <v>0</v>
      </c>
      <c r="L86" s="325">
        <f>SUM('#1-Meritus:#5034-Mt Washington Pediatric'!K105)</f>
        <v>0</v>
      </c>
      <c r="M86" s="339">
        <f>L86-J86</f>
        <v>0</v>
      </c>
      <c r="N86" s="300"/>
      <c r="O86" s="300"/>
    </row>
    <row r="87" spans="1:15">
      <c r="A87" s="305" t="s">
        <v>513</v>
      </c>
      <c r="B87" s="305"/>
      <c r="C87" s="299"/>
      <c r="G87" s="325">
        <f>SUM('#1-Meritus:#5034-Mt Washington Pediatric'!F106)</f>
        <v>0</v>
      </c>
      <c r="H87" s="325">
        <f>SUM('#1-Meritus:#5034-Mt Washington Pediatric'!G106)</f>
        <v>0</v>
      </c>
      <c r="I87" s="325">
        <f>SUM('#1-Meritus:#5034-Mt Washington Pediatric'!H106)</f>
        <v>0</v>
      </c>
      <c r="J87" s="325">
        <f>SUM('#1-Meritus:#5034-Mt Washington Pediatric'!I106)</f>
        <v>0</v>
      </c>
      <c r="K87" s="325">
        <f>SUM('#1-Meritus:#5034-Mt Washington Pediatric'!J106)</f>
        <v>0</v>
      </c>
      <c r="L87" s="325">
        <f>SUM('#1-Meritus:#5034-Mt Washington Pediatric'!K106)</f>
        <v>0</v>
      </c>
      <c r="M87" s="339">
        <f>L87-J87</f>
        <v>0</v>
      </c>
      <c r="N87" s="300"/>
      <c r="O87" s="300"/>
    </row>
    <row r="88" spans="1:15">
      <c r="A88" s="305"/>
      <c r="B88" s="305"/>
      <c r="C88" s="299"/>
      <c r="G88" s="327"/>
      <c r="H88" s="328"/>
      <c r="I88" s="328"/>
      <c r="J88" s="328"/>
      <c r="K88" s="328"/>
      <c r="L88" s="328"/>
      <c r="N88" s="300"/>
      <c r="O88" s="300"/>
    </row>
    <row r="89" spans="1:15">
      <c r="A89" s="299" t="s">
        <v>153</v>
      </c>
      <c r="B89" s="294"/>
      <c r="C89" s="299" t="s">
        <v>283</v>
      </c>
      <c r="D89" s="300"/>
      <c r="E89" s="300"/>
      <c r="F89" s="300"/>
      <c r="G89" s="325">
        <f>SUM(G83:G87)</f>
        <v>95549.98915459626</v>
      </c>
      <c r="H89" s="325">
        <f t="shared" ref="H89:M89" si="8">SUM(H83:H87)</f>
        <v>2974.354864107388</v>
      </c>
      <c r="I89" s="325">
        <f t="shared" si="8"/>
        <v>7529941.7916202378</v>
      </c>
      <c r="J89" s="325">
        <f t="shared" si="8"/>
        <v>3435283.2589794016</v>
      </c>
      <c r="K89" s="325">
        <f t="shared" si="8"/>
        <v>92309.918421250011</v>
      </c>
      <c r="L89" s="325">
        <f t="shared" si="8"/>
        <v>10872915.282178391</v>
      </c>
      <c r="M89" s="325">
        <f t="shared" si="8"/>
        <v>7437632.0231989902</v>
      </c>
      <c r="N89" s="300"/>
      <c r="O89" s="300"/>
    </row>
    <row r="90" spans="1:15">
      <c r="A90" s="294"/>
      <c r="B90" s="294"/>
      <c r="C90" s="299"/>
      <c r="D90" s="300"/>
      <c r="E90" s="300"/>
      <c r="F90" s="300"/>
      <c r="G90" s="329"/>
      <c r="H90" s="329"/>
      <c r="I90" s="329"/>
      <c r="J90" s="329"/>
      <c r="K90" s="329"/>
      <c r="L90" s="329"/>
      <c r="M90" s="300"/>
      <c r="N90" s="300"/>
      <c r="O90" s="300"/>
    </row>
    <row r="91" spans="1:15">
      <c r="A91" s="294"/>
      <c r="B91" s="294"/>
      <c r="C91" s="299"/>
      <c r="D91" s="300"/>
      <c r="E91" s="300"/>
      <c r="F91" s="300"/>
      <c r="K91" s="303"/>
      <c r="L91" s="304"/>
      <c r="M91" s="300"/>
      <c r="N91" s="300"/>
      <c r="O91" s="300"/>
    </row>
    <row r="92" spans="1:15">
      <c r="A92" s="293" t="s">
        <v>664</v>
      </c>
      <c r="B92" s="294"/>
      <c r="C92" s="299" t="s">
        <v>39</v>
      </c>
      <c r="K92" s="303"/>
      <c r="L92" s="304"/>
      <c r="N92" s="300"/>
      <c r="O92" s="300"/>
    </row>
    <row r="93" spans="1:15">
      <c r="B93" s="294"/>
      <c r="G93" s="308">
        <f>SUM('#1-Meritus:#5034-Mt Washington Pediatric'!F111)</f>
        <v>362585726.74099994</v>
      </c>
      <c r="I93" s="321"/>
      <c r="J93" s="321"/>
      <c r="K93" s="303"/>
      <c r="L93" s="304"/>
      <c r="N93" s="300"/>
      <c r="O93" s="300"/>
    </row>
    <row r="94" spans="1:15">
      <c r="B94" s="293"/>
      <c r="C94" s="299"/>
      <c r="K94" s="303"/>
      <c r="L94" s="304"/>
      <c r="N94" s="300"/>
      <c r="O94" s="300"/>
    </row>
    <row r="95" spans="1:15">
      <c r="A95" s="294"/>
      <c r="B95" s="294"/>
      <c r="K95" s="303"/>
      <c r="L95" s="304"/>
      <c r="N95" s="300"/>
      <c r="O95" s="300"/>
    </row>
    <row r="96" spans="1:15" ht="44.25" customHeight="1">
      <c r="A96" s="294"/>
      <c r="B96" s="294"/>
      <c r="G96" s="296" t="s">
        <v>9</v>
      </c>
      <c r="H96" s="296" t="s">
        <v>37</v>
      </c>
      <c r="I96" s="296" t="s">
        <v>649</v>
      </c>
      <c r="J96" s="296" t="s">
        <v>650</v>
      </c>
      <c r="K96" s="297" t="s">
        <v>270</v>
      </c>
      <c r="L96" s="302" t="s">
        <v>647</v>
      </c>
      <c r="M96" s="296" t="s">
        <v>648</v>
      </c>
      <c r="N96" s="300"/>
      <c r="O96" s="300"/>
    </row>
    <row r="97" spans="1:15">
      <c r="A97" s="293" t="s">
        <v>665</v>
      </c>
      <c r="B97" s="305"/>
      <c r="C97" s="299" t="s">
        <v>23</v>
      </c>
      <c r="K97" s="303"/>
      <c r="L97" s="304"/>
      <c r="N97" s="300"/>
      <c r="O97" s="300"/>
    </row>
    <row r="98" spans="1:15">
      <c r="B98" s="294"/>
      <c r="C98" s="299"/>
      <c r="G98" s="330"/>
      <c r="H98" s="330"/>
      <c r="I98" s="331"/>
      <c r="J98" s="331"/>
      <c r="K98" s="331"/>
      <c r="L98" s="331"/>
      <c r="M98" s="331"/>
      <c r="N98" s="300"/>
      <c r="O98" s="300"/>
    </row>
    <row r="99" spans="1:15">
      <c r="A99" s="305" t="s">
        <v>390</v>
      </c>
      <c r="B99" s="293"/>
      <c r="C99" s="299" t="s">
        <v>24</v>
      </c>
      <c r="G99" s="325">
        <f>SUM('#1-Meritus:#5034-Mt Washington Pediatric'!F131)</f>
        <v>5395</v>
      </c>
      <c r="H99" s="325">
        <f>SUM('#1-Meritus:#5034-Mt Washington Pediatric'!G131)</f>
        <v>2407</v>
      </c>
      <c r="I99" s="325">
        <f>SUM('#1-Meritus:#5034-Mt Washington Pediatric'!H131)</f>
        <v>1406811.1984000001</v>
      </c>
      <c r="J99" s="325">
        <f>SUM('#1-Meritus:#5034-Mt Washington Pediatric'!I131)</f>
        <v>140603.41537325821</v>
      </c>
      <c r="K99" s="325">
        <f>SUM('#1-Meritus:#5034-Mt Washington Pediatric'!J131)</f>
        <v>726655.88000000012</v>
      </c>
      <c r="L99" s="325">
        <f>SUM('#1-Meritus:#5034-Mt Washington Pediatric'!K131)</f>
        <v>820758.73377325828</v>
      </c>
      <c r="M99" s="339">
        <f>L99-J99</f>
        <v>680155.31840000011</v>
      </c>
      <c r="N99" s="300"/>
      <c r="O99" s="300"/>
    </row>
    <row r="100" spans="1:15">
      <c r="A100" s="305" t="s">
        <v>391</v>
      </c>
      <c r="B100" s="305"/>
      <c r="C100" s="299" t="s">
        <v>25</v>
      </c>
      <c r="G100" s="325">
        <f>SUM('#1-Meritus:#5034-Mt Washington Pediatric'!F132)</f>
        <v>57937</v>
      </c>
      <c r="H100" s="325">
        <f>SUM('#1-Meritus:#5034-Mt Washington Pediatric'!G132)</f>
        <v>9314</v>
      </c>
      <c r="I100" s="325">
        <f>SUM('#1-Meritus:#5034-Mt Washington Pediatric'!H132)</f>
        <v>2087628</v>
      </c>
      <c r="J100" s="325">
        <f>SUM('#1-Meritus:#5034-Mt Washington Pediatric'!I132)</f>
        <v>30226.774799760453</v>
      </c>
      <c r="K100" s="325">
        <f>SUM('#1-Meritus:#5034-Mt Washington Pediatric'!J132)</f>
        <v>37878</v>
      </c>
      <c r="L100" s="325">
        <f>SUM('#1-Meritus:#5034-Mt Washington Pediatric'!K132)</f>
        <v>2079976.7747997604</v>
      </c>
      <c r="M100" s="339">
        <f>L100-J100</f>
        <v>2049750</v>
      </c>
      <c r="N100" s="300"/>
      <c r="O100" s="300"/>
    </row>
    <row r="101" spans="1:15">
      <c r="A101" s="305" t="s">
        <v>679</v>
      </c>
      <c r="B101" s="305"/>
      <c r="C101" s="299" t="s">
        <v>339</v>
      </c>
      <c r="G101" s="325">
        <f>SUM('#1-Meritus:#5034-Mt Washington Pediatric'!F133)</f>
        <v>0</v>
      </c>
      <c r="H101" s="325">
        <f>SUM('#1-Meritus:#5034-Mt Washington Pediatric'!G133)</f>
        <v>0</v>
      </c>
      <c r="I101" s="325">
        <f>SUM('#1-Meritus:#5034-Mt Washington Pediatric'!H133)</f>
        <v>317474</v>
      </c>
      <c r="J101" s="325">
        <f>SUM('#1-Meritus:#5034-Mt Washington Pediatric'!I133)</f>
        <v>0</v>
      </c>
      <c r="K101" s="325">
        <f>SUM('#1-Meritus:#5034-Mt Washington Pediatric'!J133)</f>
        <v>0</v>
      </c>
      <c r="L101" s="325">
        <f>SUM('#1-Meritus:#5034-Mt Washington Pediatric'!K133)</f>
        <v>317474</v>
      </c>
      <c r="M101" s="339">
        <f>L101-J101</f>
        <v>317474</v>
      </c>
      <c r="N101" s="300"/>
      <c r="O101" s="300"/>
    </row>
    <row r="102" spans="1:15">
      <c r="A102" s="305" t="s">
        <v>680</v>
      </c>
      <c r="B102" s="305"/>
      <c r="C102" s="299" t="s">
        <v>339</v>
      </c>
      <c r="G102" s="325">
        <f>SUM('#1-Meritus:#5034-Mt Washington Pediatric'!F134)</f>
        <v>0</v>
      </c>
      <c r="H102" s="325">
        <f>SUM('#1-Meritus:#5034-Mt Washington Pediatric'!G134)</f>
        <v>0</v>
      </c>
      <c r="I102" s="325">
        <f>SUM('#1-Meritus:#5034-Mt Washington Pediatric'!H134)</f>
        <v>0</v>
      </c>
      <c r="J102" s="325">
        <f>SUM('#1-Meritus:#5034-Mt Washington Pediatric'!I134)</f>
        <v>0</v>
      </c>
      <c r="K102" s="325">
        <f>SUM('#1-Meritus:#5034-Mt Washington Pediatric'!J134)</f>
        <v>0</v>
      </c>
      <c r="L102" s="325">
        <f>SUM('#1-Meritus:#5034-Mt Washington Pediatric'!K134)</f>
        <v>0</v>
      </c>
      <c r="M102" s="339">
        <f>L102-J102</f>
        <v>0</v>
      </c>
      <c r="N102" s="300"/>
      <c r="O102" s="300"/>
    </row>
    <row r="103" spans="1:15">
      <c r="A103" s="305" t="s">
        <v>681</v>
      </c>
      <c r="B103" s="305"/>
      <c r="C103" s="299" t="s">
        <v>339</v>
      </c>
      <c r="G103" s="325">
        <f>SUM('#1-Meritus:#5034-Mt Washington Pediatric'!F135)</f>
        <v>0</v>
      </c>
      <c r="H103" s="325">
        <f>SUM('#1-Meritus:#5034-Mt Washington Pediatric'!G135)</f>
        <v>0</v>
      </c>
      <c r="I103" s="325">
        <f>SUM('#1-Meritus:#5034-Mt Washington Pediatric'!H135)</f>
        <v>0</v>
      </c>
      <c r="J103" s="325">
        <f>SUM('#1-Meritus:#5034-Mt Washington Pediatric'!I135)</f>
        <v>0</v>
      </c>
      <c r="K103" s="325">
        <f>SUM('#1-Meritus:#5034-Mt Washington Pediatric'!J135)</f>
        <v>0</v>
      </c>
      <c r="L103" s="325">
        <f>SUM('#1-Meritus:#5034-Mt Washington Pediatric'!K135)</f>
        <v>0</v>
      </c>
      <c r="M103" s="339">
        <f>L103-J103</f>
        <v>0</v>
      </c>
      <c r="N103" s="300"/>
      <c r="O103" s="300"/>
    </row>
    <row r="104" spans="1:15">
      <c r="A104" s="305" t="s">
        <v>163</v>
      </c>
      <c r="B104" s="305"/>
      <c r="C104" s="299" t="s">
        <v>283</v>
      </c>
      <c r="G104" s="301">
        <f t="shared" ref="G104:M104" si="9">SUM(G98:G102)</f>
        <v>63332</v>
      </c>
      <c r="H104" s="301">
        <f t="shared" si="9"/>
        <v>11721</v>
      </c>
      <c r="I104" s="308">
        <f t="shared" si="9"/>
        <v>3811913.1984000001</v>
      </c>
      <c r="J104" s="308">
        <f t="shared" si="9"/>
        <v>170830.19017301867</v>
      </c>
      <c r="K104" s="308">
        <f t="shared" si="9"/>
        <v>764533.88000000012</v>
      </c>
      <c r="L104" s="308">
        <f t="shared" si="9"/>
        <v>3218209.5085730189</v>
      </c>
      <c r="M104" s="308">
        <f t="shared" si="9"/>
        <v>3047379.3184000002</v>
      </c>
      <c r="N104" s="300"/>
      <c r="O104" s="300"/>
    </row>
    <row r="105" spans="1:15">
      <c r="A105" s="293"/>
      <c r="B105" s="293"/>
      <c r="G105" s="312"/>
      <c r="H105" s="312"/>
      <c r="I105" s="312"/>
      <c r="J105" s="312"/>
      <c r="K105" s="312"/>
      <c r="L105" s="312"/>
      <c r="M105" s="312"/>
    </row>
    <row r="106" spans="1:15">
      <c r="A106" s="294"/>
      <c r="B106" s="294"/>
      <c r="K106" s="303"/>
      <c r="L106" s="304"/>
    </row>
    <row r="107" spans="1:15" ht="46.5" customHeight="1">
      <c r="A107" s="299"/>
      <c r="G107" s="296" t="s">
        <v>9</v>
      </c>
      <c r="H107" s="296" t="s">
        <v>37</v>
      </c>
      <c r="I107" s="296" t="s">
        <v>649</v>
      </c>
      <c r="J107" s="296" t="s">
        <v>650</v>
      </c>
      <c r="K107" s="297" t="s">
        <v>270</v>
      </c>
      <c r="L107" s="302" t="s">
        <v>647</v>
      </c>
      <c r="M107" s="296" t="s">
        <v>648</v>
      </c>
    </row>
    <row r="108" spans="1:15">
      <c r="A108" s="291" t="s">
        <v>666</v>
      </c>
      <c r="C108" s="299" t="s">
        <v>26</v>
      </c>
      <c r="K108" s="303"/>
      <c r="L108" s="304"/>
    </row>
    <row r="109" spans="1:15">
      <c r="A109" s="305" t="s">
        <v>667</v>
      </c>
      <c r="B109" s="293"/>
      <c r="C109" s="299" t="s">
        <v>64</v>
      </c>
      <c r="G109" s="325">
        <f>+G24</f>
        <v>1047379.9931977001</v>
      </c>
      <c r="H109" s="325">
        <f>+H24</f>
        <v>4082976.4976112456</v>
      </c>
      <c r="I109" s="342">
        <f>+I24</f>
        <v>72340987.177897692</v>
      </c>
      <c r="J109" s="342">
        <f>+J24</f>
        <v>33260664.359683499</v>
      </c>
      <c r="K109" s="342">
        <f>+K24</f>
        <v>14252056.889166666</v>
      </c>
      <c r="L109" s="339">
        <f t="shared" ref="L109:L118" si="10">+I109+J109-K109</f>
        <v>91349594.648414522</v>
      </c>
      <c r="M109" s="339">
        <f t="shared" ref="M109:M118" si="11">+I109-K109</f>
        <v>58088930.288731024</v>
      </c>
      <c r="N109" s="300"/>
      <c r="O109" s="300"/>
    </row>
    <row r="110" spans="1:15">
      <c r="A110" s="305" t="s">
        <v>668</v>
      </c>
      <c r="B110" s="305"/>
      <c r="C110" s="299" t="s">
        <v>65</v>
      </c>
      <c r="G110" s="325">
        <f>+G38</f>
        <v>6810048.6330034779</v>
      </c>
      <c r="H110" s="325">
        <f>+H38</f>
        <v>173371.94801916802</v>
      </c>
      <c r="I110" s="342">
        <f>+I38</f>
        <v>352093102.03071535</v>
      </c>
      <c r="J110" s="342">
        <f>+J38</f>
        <v>85649551.287558243</v>
      </c>
      <c r="K110" s="342">
        <f>+K38</f>
        <v>1893320.4989999998</v>
      </c>
      <c r="L110" s="339">
        <f t="shared" si="10"/>
        <v>435849332.81927359</v>
      </c>
      <c r="M110" s="339">
        <f t="shared" si="11"/>
        <v>350199781.53171533</v>
      </c>
      <c r="N110" s="300"/>
      <c r="O110" s="300"/>
    </row>
    <row r="111" spans="1:15">
      <c r="A111" s="305" t="s">
        <v>669</v>
      </c>
      <c r="B111" s="305"/>
      <c r="C111" s="299" t="s">
        <v>66</v>
      </c>
      <c r="G111" s="325">
        <f>+G43</f>
        <v>2519323.726983726</v>
      </c>
      <c r="H111" s="325">
        <f>+H43</f>
        <v>781989.48239702475</v>
      </c>
      <c r="I111" s="342">
        <f>+I43</f>
        <v>510333560.77210885</v>
      </c>
      <c r="J111" s="342">
        <f>+J43</f>
        <v>126292812.09686339</v>
      </c>
      <c r="K111" s="342">
        <f>+K43</f>
        <v>168056520.88999999</v>
      </c>
      <c r="L111" s="339">
        <f t="shared" si="10"/>
        <v>468569851.97897232</v>
      </c>
      <c r="M111" s="339">
        <f t="shared" si="11"/>
        <v>342277039.88210887</v>
      </c>
      <c r="N111" s="300"/>
      <c r="O111" s="300"/>
    </row>
    <row r="112" spans="1:15">
      <c r="A112" s="305" t="s">
        <v>670</v>
      </c>
      <c r="B112" s="305"/>
      <c r="C112" s="299" t="s">
        <v>67</v>
      </c>
      <c r="G112" s="325">
        <f>+G51</f>
        <v>101192.55313562448</v>
      </c>
      <c r="H112" s="325">
        <f>+H51</f>
        <v>5909</v>
      </c>
      <c r="I112" s="342">
        <f>+I51</f>
        <v>13299527.283989366</v>
      </c>
      <c r="J112" s="342">
        <f>+J51</f>
        <v>3268976.5784888957</v>
      </c>
      <c r="K112" s="342">
        <f>+K51</f>
        <v>5748769.379999999</v>
      </c>
      <c r="L112" s="339">
        <f t="shared" si="10"/>
        <v>10819734.482478263</v>
      </c>
      <c r="M112" s="339">
        <f t="shared" si="11"/>
        <v>7550757.9039893672</v>
      </c>
      <c r="N112" s="300"/>
      <c r="O112" s="300"/>
    </row>
    <row r="113" spans="1:15">
      <c r="A113" s="305" t="s">
        <v>671</v>
      </c>
      <c r="B113" s="305"/>
      <c r="C113" s="299" t="s">
        <v>68</v>
      </c>
      <c r="G113" s="325">
        <f>+G60</f>
        <v>35604.801861917862</v>
      </c>
      <c r="H113" s="325">
        <f>+H60</f>
        <v>187456</v>
      </c>
      <c r="I113" s="342">
        <f>+I60</f>
        <v>16000376.356671672</v>
      </c>
      <c r="J113" s="342">
        <f>+J60</f>
        <v>1154222.426654109</v>
      </c>
      <c r="K113" s="342">
        <f>+K60</f>
        <v>576516</v>
      </c>
      <c r="L113" s="339">
        <f t="shared" si="10"/>
        <v>16578082.78332578</v>
      </c>
      <c r="M113" s="339">
        <f t="shared" si="11"/>
        <v>15423860.356671672</v>
      </c>
      <c r="N113" s="300"/>
      <c r="O113" s="300"/>
    </row>
    <row r="114" spans="1:15">
      <c r="A114" s="305" t="s">
        <v>672</v>
      </c>
      <c r="B114" s="305"/>
      <c r="C114" s="299" t="s">
        <v>69</v>
      </c>
      <c r="G114" s="325">
        <f>+G78</f>
        <v>241526.54464558637</v>
      </c>
      <c r="H114" s="325">
        <f>+H78</f>
        <v>554013.36203832715</v>
      </c>
      <c r="I114" s="342">
        <f>+I78</f>
        <v>17061795.682219833</v>
      </c>
      <c r="J114" s="342">
        <f>+J78</f>
        <v>7692857.612329294</v>
      </c>
      <c r="K114" s="342">
        <f>+K78</f>
        <v>3771331.5719999997</v>
      </c>
      <c r="L114" s="339">
        <f t="shared" si="10"/>
        <v>20983321.722549126</v>
      </c>
      <c r="M114" s="339">
        <f t="shared" si="11"/>
        <v>13290464.110219833</v>
      </c>
      <c r="N114" s="300"/>
      <c r="O114" s="300"/>
    </row>
    <row r="115" spans="1:15">
      <c r="A115" s="305" t="s">
        <v>673</v>
      </c>
      <c r="B115" s="305"/>
      <c r="C115" s="299" t="s">
        <v>61</v>
      </c>
      <c r="G115" s="325">
        <f>+G89</f>
        <v>95549.98915459626</v>
      </c>
      <c r="H115" s="325">
        <f>+H89</f>
        <v>2974.354864107388</v>
      </c>
      <c r="I115" s="342">
        <f>+I89</f>
        <v>7529941.7916202378</v>
      </c>
      <c r="J115" s="342">
        <f>+J89</f>
        <v>3435283.2589794016</v>
      </c>
      <c r="K115" s="342">
        <f>+K89</f>
        <v>92309.918421250011</v>
      </c>
      <c r="L115" s="339">
        <f t="shared" si="10"/>
        <v>10872915.132178389</v>
      </c>
      <c r="M115" s="339">
        <f t="shared" si="11"/>
        <v>7437631.8731989879</v>
      </c>
      <c r="N115" s="300"/>
      <c r="O115" s="300"/>
    </row>
    <row r="116" spans="1:15">
      <c r="A116" s="305" t="s">
        <v>674</v>
      </c>
      <c r="B116" s="305"/>
      <c r="C116" s="299" t="s">
        <v>70</v>
      </c>
      <c r="G116" s="832">
        <f>SUM('[8]#1-Meritus'!F148,'[8]#2-UMMS'!F148,'[8]#3-Prince George''s'!F148,'[8]#4-Holy Cross'!F148,'[8]#5-Frederick Memorial'!F148,'[8]#6-Harford Memorial'!F148,'[8]#7-St. Joseph'!F148,'[8]#8-Mercy'!F148,'[8]#9-Johns Hopkins'!F148,'[8]#10-Shore Health Dorchester'!F148,'[8]#11-St. Agnes'!F148,'[8]#12-Sinai'!F148,'[8]#13-Bon Secours'!F148,'[8]#15-Franklin Square'!F148,'[8]#16-Washington Adventist'!F148,'[8]#17-Garrett County'!F148,'[8]#18-Montgomery General'!F148,'[8]#19-Pennisula General'!F148,'[8]#22-Suburban'!F148,'[8]#23-Anne Arundel Medical Center'!F148,'[8]#24-Union Memorial'!F148,'[8]#27-Western Maryland Regional'!F148,'[8]#28-St. Mary''s'!F148,'[8]#29-JH Bayview'!F148,'[8]#30-Chester River'!F148,'[8]#32-Union Cecil County'!F148,'[8]#33-Carroll Hospital '!F148,'[8]#34-Harbor Hospital'!F148,'[8]#35-Civista Medical Center'!F148,'[8]#37-Shore Health Easton'!F148,'[8]#38-UM Midtown'!F148,'[8]#39-Calvert Memorial'!F148,'[8]#40-Northwest'!F148,'[8]#43-UM Baltimore Washington'!F148,'[8]#44-GBMC'!F148,'[8]#45-McCready'!F148,'[8]#48-Howard County'!F148,'[8]#49-UCH Upper Chesapeake'!F148,'[8]#51-Doctors Community'!F148,'[8]#55-Laurel Regional'!F148,'[8]#60-Ft Washington'!F148,'[8]#61-Atlantic General'!F148,'[8]#62-Southern Maryland'!F148,'[8]#2001-UM Rehab &amp; Ortho'!F148,'[8]#2004-Good Samaritan'!F148,'[8]#5034-Mt. Washington Pediatric'!F148,'[8]#5050-Shady Grove Adventist'!F148)</f>
        <v>0</v>
      </c>
      <c r="H116" s="832">
        <f>SUM('[8]#1-Meritus'!G148,'[8]#2-UMMS'!G148,'[8]#3-Prince George''s'!G148,'[8]#4-Holy Cross'!G148,'[8]#5-Frederick Memorial'!G148,'[8]#6-Harford Memorial'!G148,'[8]#7-St. Joseph'!G148,'[8]#8-Mercy'!G148,'[8]#9-Johns Hopkins'!G148,'[8]#10-Shore Health Dorchester'!G148,'[8]#11-St. Agnes'!G148,'[8]#12-Sinai'!G148,'[8]#13-Bon Secours'!G148,'[8]#15-Franklin Square'!G148,'[8]#16-Washington Adventist'!G148,'[8]#17-Garrett County'!G148,'[8]#18-Montgomery General'!G148,'[8]#19-Pennisula General'!G148,'[8]#22-Suburban'!G148,'[8]#23-Anne Arundel Medical Center'!G148,'[8]#24-Union Memorial'!G148,'[8]#27-Western Maryland Regional'!G148,'[8]#28-St. Mary''s'!G148,'[8]#29-JH Bayview'!G148,'[8]#30-Chester River'!G148,'[8]#32-Union Cecil County'!G148,'[8]#33-Carroll Hospital '!G148,'[8]#34-Harbor Hospital'!G148,'[8]#35-Civista Medical Center'!G148,'[8]#37-Shore Health Easton'!G148,'[8]#38-UM Midtown'!G148,'[8]#39-Calvert Memorial'!G148,'[8]#40-Northwest'!G148,'[8]#43-UM Baltimore Washington'!G148,'[8]#44-GBMC'!G148,'[8]#45-McCready'!G148,'[8]#48-Howard County'!G148,'[8]#49-UCH Upper Chesapeake'!G148,'[8]#51-Doctors Community'!G148,'[8]#55-Laurel Regional'!G148,'[8]#60-Ft Washington'!G148,'[8]#61-Atlantic General'!G148,'[8]#62-Southern Maryland'!G148,'[8]#2001-UM Rehab &amp; Ortho'!G148,'[8]#2004-Good Samaritan'!G148,'[8]#5034-Mt. Washington Pediatric'!G148,'[8]#5050-Shady Grove Adventist'!G148)</f>
        <v>0</v>
      </c>
      <c r="I116" s="833">
        <f>+G93</f>
        <v>362585726.74099994</v>
      </c>
      <c r="J116" s="833">
        <f>+H93</f>
        <v>0</v>
      </c>
      <c r="K116" s="833">
        <f>SUM('[8]#1-Meritus'!J148,'[8]#2-UMMS'!J148,'[8]#3-Prince George''s'!J148,'[8]#4-Holy Cross'!J148,'[8]#5-Frederick Memorial'!J148,'[8]#6-Harford Memorial'!J148,'[8]#7-St. Joseph'!J148,'[8]#8-Mercy'!J148,'[8]#9-Johns Hopkins'!J148,'[8]#10-Shore Health Dorchester'!J148,'[8]#11-St. Agnes'!J148,'[8]#12-Sinai'!J148,'[8]#13-Bon Secours'!J148,'[8]#15-Franklin Square'!J148,'[8]#16-Washington Adventist'!J148,'[8]#17-Garrett County'!J148,'[8]#18-Montgomery General'!J148,'[8]#19-Pennisula General'!J148,'[8]#22-Suburban'!J148,'[8]#23-Anne Arundel Medical Center'!J148,'[8]#24-Union Memorial'!J148,'[8]#27-Western Maryland Regional'!J148,'[8]#28-St. Mary''s'!J148,'[8]#29-JH Bayview'!J148,'[8]#30-Chester River'!J148,'[8]#32-Union Cecil County'!J148,'[8]#33-Carroll Hospital '!J148,'[8]#34-Harbor Hospital'!J148,'[8]#35-Civista Medical Center'!J148,'[8]#37-Shore Health Easton'!J148,'[8]#38-UM Midtown'!J148,'[8]#39-Calvert Memorial'!J148,'[8]#40-Northwest'!J148,'[8]#43-UM Baltimore Washington'!J148,'[8]#44-GBMC'!J148,'[8]#45-McCready'!J148,'[8]#48-Howard County'!J148,'[8]#49-UCH Upper Chesapeake'!J148,'[8]#51-Doctors Community'!J148,'[8]#55-Laurel Regional'!J148,'[8]#60-Ft Washington'!J148,'[8]#61-Atlantic General'!J148,'[8]#62-Southern Maryland'!J148,'[8]#2001-UM Rehab &amp; Ortho'!J148,'[8]#2004-Good Samaritan'!J148,'[8]#5034-Mt. Washington Pediatric'!J148,'[8]#5050-Shady Grove Adventist'!J148)</f>
        <v>0</v>
      </c>
      <c r="L116" s="834">
        <f>+I116+J116-K116</f>
        <v>362585726.74099994</v>
      </c>
      <c r="M116" s="834">
        <f t="shared" si="11"/>
        <v>362585726.74099994</v>
      </c>
      <c r="N116" s="300"/>
      <c r="O116" s="300"/>
    </row>
    <row r="117" spans="1:15">
      <c r="A117" s="305" t="s">
        <v>675</v>
      </c>
      <c r="B117" s="305"/>
      <c r="C117" s="299" t="s">
        <v>71</v>
      </c>
      <c r="G117" s="325">
        <f>+G104</f>
        <v>63332</v>
      </c>
      <c r="H117" s="325">
        <f>+H104</f>
        <v>11721</v>
      </c>
      <c r="I117" s="342">
        <f>+I104</f>
        <v>3811913.1984000001</v>
      </c>
      <c r="J117" s="342">
        <f>+J104</f>
        <v>170830.19017301867</v>
      </c>
      <c r="K117" s="342">
        <f>+K104</f>
        <v>764533.88000000012</v>
      </c>
      <c r="L117" s="339">
        <f t="shared" si="10"/>
        <v>3218209.5085730189</v>
      </c>
      <c r="M117" s="339">
        <f t="shared" si="11"/>
        <v>3047379.3184000002</v>
      </c>
      <c r="N117" s="300"/>
      <c r="O117" s="300"/>
    </row>
    <row r="118" spans="1:15">
      <c r="A118" s="305" t="s">
        <v>185</v>
      </c>
      <c r="B118" s="305"/>
      <c r="C118" s="299" t="s">
        <v>183</v>
      </c>
      <c r="G118" s="325">
        <f>+G6</f>
        <v>0</v>
      </c>
      <c r="H118" s="325">
        <f>+H6</f>
        <v>0</v>
      </c>
      <c r="I118" s="342">
        <f>+I6</f>
        <v>389824999.01000649</v>
      </c>
      <c r="J118" s="342">
        <f>+J6</f>
        <v>0</v>
      </c>
      <c r="K118" s="342">
        <f>+K6</f>
        <v>333349112.67440945</v>
      </c>
      <c r="L118" s="339">
        <f t="shared" si="10"/>
        <v>56475886.335597038</v>
      </c>
      <c r="M118" s="339">
        <f t="shared" si="11"/>
        <v>56475886.335597038</v>
      </c>
      <c r="N118" s="300"/>
      <c r="O118" s="300"/>
    </row>
    <row r="119" spans="1:15">
      <c r="A119" s="305"/>
      <c r="B119" s="305"/>
      <c r="C119" s="299"/>
      <c r="G119" s="332"/>
      <c r="H119" s="332"/>
      <c r="I119" s="312"/>
      <c r="J119" s="312"/>
      <c r="K119" s="312"/>
      <c r="L119" s="312"/>
      <c r="M119" s="300"/>
    </row>
    <row r="120" spans="1:15">
      <c r="A120" s="305" t="s">
        <v>165</v>
      </c>
      <c r="B120" s="294"/>
      <c r="C120" s="299" t="s">
        <v>26</v>
      </c>
      <c r="G120" s="325">
        <f>SUM(G109:G118)</f>
        <v>10913958.24198263</v>
      </c>
      <c r="H120" s="325">
        <f t="shared" ref="H120:M120" si="12">SUM(H109:H118)</f>
        <v>5800411.6449298728</v>
      </c>
      <c r="I120" s="342">
        <f t="shared" si="12"/>
        <v>1744881930.0446296</v>
      </c>
      <c r="J120" s="342">
        <f t="shared" si="12"/>
        <v>260925197.81072986</v>
      </c>
      <c r="K120" s="342">
        <f t="shared" si="12"/>
        <v>528504471.70299733</v>
      </c>
      <c r="L120" s="342">
        <f>SUM(L109:L118)</f>
        <v>1477302656.1523619</v>
      </c>
      <c r="M120" s="342">
        <f t="shared" si="12"/>
        <v>1216377458.3416319</v>
      </c>
    </row>
    <row r="121" spans="1:15">
      <c r="A121" s="294"/>
      <c r="B121" s="293"/>
      <c r="C121" s="299"/>
      <c r="G121" s="316"/>
      <c r="H121" s="316"/>
      <c r="I121" s="316"/>
      <c r="J121" s="316"/>
      <c r="K121" s="332"/>
      <c r="L121" s="332"/>
      <c r="M121" s="332"/>
    </row>
    <row r="122" spans="1:15">
      <c r="A122" s="293"/>
      <c r="B122" s="293"/>
      <c r="C122" s="299" t="s">
        <v>676</v>
      </c>
      <c r="D122" s="333"/>
      <c r="E122" s="333"/>
      <c r="F122" s="333"/>
      <c r="G122" s="308">
        <f>SUM('#1-Meritus:#5034-Mt Washington Pediatric'!F121)</f>
        <v>14693452601.719999</v>
      </c>
      <c r="K122" s="300"/>
      <c r="L122" s="300"/>
    </row>
    <row r="123" spans="1:15">
      <c r="A123" s="293"/>
      <c r="B123" s="293"/>
      <c r="D123" s="299"/>
      <c r="E123" s="299"/>
      <c r="F123" s="299"/>
      <c r="I123" s="300"/>
      <c r="K123" s="300"/>
      <c r="N123" s="304"/>
    </row>
    <row r="124" spans="1:15">
      <c r="A124" s="293"/>
      <c r="B124" s="294"/>
      <c r="C124" s="299" t="s">
        <v>677</v>
      </c>
      <c r="D124" s="334"/>
      <c r="E124" s="334"/>
      <c r="F124" s="334"/>
      <c r="G124" s="335">
        <f>L120/G122</f>
        <v>0.10054156066624058</v>
      </c>
      <c r="K124" s="300"/>
      <c r="L124" s="336"/>
      <c r="M124" s="303"/>
      <c r="N124" s="304"/>
    </row>
    <row r="125" spans="1:15">
      <c r="A125" s="294"/>
      <c r="B125" s="294"/>
      <c r="D125" s="299"/>
      <c r="E125" s="299"/>
      <c r="F125" s="299"/>
      <c r="L125" s="299"/>
      <c r="M125" s="303"/>
      <c r="N125" s="304"/>
    </row>
    <row r="126" spans="1:15">
      <c r="A126" s="294"/>
      <c r="B126" s="294"/>
      <c r="C126" s="299" t="s">
        <v>678</v>
      </c>
      <c r="D126" s="337"/>
      <c r="E126" s="337"/>
      <c r="F126" s="337"/>
      <c r="G126" s="335">
        <f>M120/G122</f>
        <v>8.2783637808805002E-2</v>
      </c>
      <c r="L126" s="338"/>
      <c r="M126" s="303"/>
      <c r="N126" s="304"/>
    </row>
    <row r="127" spans="1:15">
      <c r="A127" s="294"/>
      <c r="M127" s="303"/>
      <c r="N127" s="303"/>
      <c r="O127" s="304"/>
    </row>
  </sheetData>
  <sheetProtection algorithmName="SHA-512" hashValue="qz3B5RjWNzygZO9wSm4hfnI87of43jH0G+Jj6T0lMTGbZ6HeIfTNvzM6dlSsleosTnDYsxu1PQaYf5bzaAn6iA==" saltValue="9B2m58c7mDqcC6+y7AzEQw==" spinCount="100000" sheet="1" objects="1" scenarios="1"/>
  <mergeCells count="9">
    <mergeCell ref="A1:M1"/>
    <mergeCell ref="C35:E35"/>
    <mergeCell ref="C36:E36"/>
    <mergeCell ref="C76:E76"/>
    <mergeCell ref="B18:D18"/>
    <mergeCell ref="B19:D19"/>
    <mergeCell ref="B22:D22"/>
    <mergeCell ref="C33:E33"/>
    <mergeCell ref="C34:E34"/>
  </mergeCells>
  <pageMargins left="0.7" right="0.7" top="0.75" bottom="0.75" header="0.3" footer="0.3"/>
  <pageSetup scale="58" fitToHeight="0" orientation="landscape" r:id="rId1"/>
  <headerFooter>
    <oddFooter>&amp;CAttachment III Page &amp;P</oddFooter>
  </headerFooter>
  <rowBreaks count="2" manualBreakCount="2">
    <brk id="44" max="16383" man="1"/>
    <brk id="8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45D247F-BEEF-47C2-AEC5-53988D9A7667}"/>
</file>

<file path=customXml/itemProps2.xml><?xml version="1.0" encoding="utf-8"?>
<ds:datastoreItem xmlns:ds="http://schemas.openxmlformats.org/officeDocument/2006/customXml" ds:itemID="{E280F598-828D-488B-96DA-C11BB60310AC}"/>
</file>

<file path=customXml/itemProps3.xml><?xml version="1.0" encoding="utf-8"?>
<ds:datastoreItem xmlns:ds="http://schemas.openxmlformats.org/officeDocument/2006/customXml" ds:itemID="{3DF8F964-5B78-4580-8160-4A2D4B26C86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66</vt:i4>
      </vt:variant>
      <vt:variant>
        <vt:lpstr>Named Ranges</vt:lpstr>
      </vt:variant>
      <vt:variant>
        <vt:i4>54</vt:i4>
      </vt:variant>
    </vt:vector>
  </HeadingPairs>
  <TitlesOfParts>
    <vt:vector size="120" baseType="lpstr">
      <vt:lpstr>DME_NSPI-all</vt:lpstr>
      <vt:lpstr>NSP</vt:lpstr>
      <vt:lpstr>Final Charity Care</vt:lpstr>
      <vt:lpstr>Charts</vt:lpstr>
      <vt:lpstr>CB Table 1</vt:lpstr>
      <vt:lpstr>ACA Expansion Expense</vt:lpstr>
      <vt:lpstr>Rate Support-Attachment I</vt:lpstr>
      <vt:lpstr>Attachment II-All Hospitals</vt:lpstr>
      <vt:lpstr>Attachment III-All</vt:lpstr>
      <vt:lpstr>#1-Meritus</vt:lpstr>
      <vt:lpstr>#2-UMMC</vt:lpstr>
      <vt:lpstr>#3-Prince Georges Hospital</vt:lpstr>
      <vt:lpstr>#4-Holy Cross Hospital</vt:lpstr>
      <vt:lpstr>#5-Frederick Memorial Hospital</vt:lpstr>
      <vt:lpstr>#6-UM Harford Memorial</vt:lpstr>
      <vt:lpstr>#8-Mercy</vt:lpstr>
      <vt:lpstr>#9-Johns Hopkins</vt:lpstr>
      <vt:lpstr>#10-UM Shore Health Dorchester</vt:lpstr>
      <vt:lpstr>#11-St. Agnes Hospital</vt:lpstr>
      <vt:lpstr>#12-Sinai</vt:lpstr>
      <vt:lpstr>#13-Bon Secours</vt:lpstr>
      <vt:lpstr>#15-MedStar Franklin Square</vt:lpstr>
      <vt:lpstr>#16-Washington Adventist</vt:lpstr>
      <vt:lpstr>#17-Garrett County Memorial</vt:lpstr>
      <vt:lpstr>#18-MedStar Montgomery General</vt:lpstr>
      <vt:lpstr>#19-Peninsula Regional</vt:lpstr>
      <vt:lpstr>#22-Suburban</vt:lpstr>
      <vt:lpstr>#23-AAMC</vt:lpstr>
      <vt:lpstr>#24-MedStar Union Memorial</vt:lpstr>
      <vt:lpstr>#27-Western Maryland Regional</vt:lpstr>
      <vt:lpstr>#28-MedStar St. Marys</vt:lpstr>
      <vt:lpstr>#29-JH Bayview</vt:lpstr>
      <vt:lpstr>#30-UM Shore Health Chestertown</vt:lpstr>
      <vt:lpstr>#32-Union Hospital Cecil Co</vt:lpstr>
      <vt:lpstr>#33-Carroll Hospital Center</vt:lpstr>
      <vt:lpstr>#34-MedStar Harbor Hospital</vt:lpstr>
      <vt:lpstr>#35-UM Charles Regional</vt:lpstr>
      <vt:lpstr>#37-UM Shore Health Easton</vt:lpstr>
      <vt:lpstr>#38-UM Midtown</vt:lpstr>
      <vt:lpstr>#39-Calvert Memorial</vt:lpstr>
      <vt:lpstr>#40-Lifebridge Northwest</vt:lpstr>
      <vt:lpstr>#43-UM BWMC</vt:lpstr>
      <vt:lpstr>#44-GBMC</vt:lpstr>
      <vt:lpstr>#45-McCready</vt:lpstr>
      <vt:lpstr>#48-Howard County</vt:lpstr>
      <vt:lpstr>#49-UM Upper Chesapeake Medical</vt:lpstr>
      <vt:lpstr>#51-Doctors Community Hospital</vt:lpstr>
      <vt:lpstr>#55-Laurel Regional</vt:lpstr>
      <vt:lpstr>#60-Fort Washington</vt:lpstr>
      <vt:lpstr>#61-Atlantic General</vt:lpstr>
      <vt:lpstr>#62-MedStar Southern Maryland</vt:lpstr>
      <vt:lpstr>#63-UM St Joseph</vt:lpstr>
      <vt:lpstr>#64-Levindale</vt:lpstr>
      <vt:lpstr>#65-Holy Cross Germantown</vt:lpstr>
      <vt:lpstr>#2001-UM ROI</vt:lpstr>
      <vt:lpstr>#2004-MedStar Good Samaritan</vt:lpstr>
      <vt:lpstr>#5050-Shady Grove Adventist</vt:lpstr>
      <vt:lpstr>#3029-Adventist Rehab</vt:lpstr>
      <vt:lpstr>#3478-ABH-ES</vt:lpstr>
      <vt:lpstr>#4000-Sheppard Pratt</vt:lpstr>
      <vt:lpstr>#4013-ABH-Rockville</vt:lpstr>
      <vt:lpstr>#5034-Mt Washington Pediatric</vt:lpstr>
      <vt:lpstr>#22-Suburban - Original</vt:lpstr>
      <vt:lpstr>#23-AAMC - Original</vt:lpstr>
      <vt:lpstr>#29-JH Bayview - Original</vt:lpstr>
      <vt:lpstr>#63-UM St Joseph - Original</vt:lpstr>
      <vt:lpstr>'#11-St. Agnes Hospital'!Print_Area</vt:lpstr>
      <vt:lpstr>'#12-Sinai'!Print_Area</vt:lpstr>
      <vt:lpstr>'#13-Bon Secours'!Print_Area</vt:lpstr>
      <vt:lpstr>'#15-MedStar Franklin Square'!Print_Area</vt:lpstr>
      <vt:lpstr>'#16-Washington Adventist'!Print_Area</vt:lpstr>
      <vt:lpstr>'#17-Garrett County Memorial'!Print_Area</vt:lpstr>
      <vt:lpstr>'#19-Peninsula Regional'!Print_Area</vt:lpstr>
      <vt:lpstr>'#1-Meritus'!Print_Area</vt:lpstr>
      <vt:lpstr>'#2001-UM ROI'!Print_Area</vt:lpstr>
      <vt:lpstr>'#2004-MedStar Good Samaritan'!Print_Area</vt:lpstr>
      <vt:lpstr>'#22-Suburban'!Print_Area</vt:lpstr>
      <vt:lpstr>'#22-Suburban - Original'!Print_Area</vt:lpstr>
      <vt:lpstr>'#23-AAMC'!Print_Area</vt:lpstr>
      <vt:lpstr>'#23-AAMC - Original'!Print_Area</vt:lpstr>
      <vt:lpstr>'#27-Western Maryland Regional'!Print_Area</vt:lpstr>
      <vt:lpstr>'#2-UMMC'!Print_Area</vt:lpstr>
      <vt:lpstr>'#3029-Adventist Rehab'!Print_Area</vt:lpstr>
      <vt:lpstr>'#32-Union Hospital Cecil Co'!Print_Area</vt:lpstr>
      <vt:lpstr>'#33-Carroll Hospital Center'!Print_Area</vt:lpstr>
      <vt:lpstr>'#3478-ABH-ES'!Print_Area</vt:lpstr>
      <vt:lpstr>'#35-UM Charles Regional'!Print_Area</vt:lpstr>
      <vt:lpstr>'#38-UM Midtown'!Print_Area</vt:lpstr>
      <vt:lpstr>'#39-Calvert Memorial'!Print_Area</vt:lpstr>
      <vt:lpstr>'#3-Prince Georges Hospital'!Print_Area</vt:lpstr>
      <vt:lpstr>'#4000-Sheppard Pratt'!Print_Area</vt:lpstr>
      <vt:lpstr>'#4013-ABH-Rockville'!Print_Area</vt:lpstr>
      <vt:lpstr>'#40-Lifebridge Northwest'!Print_Area</vt:lpstr>
      <vt:lpstr>'#43-UM BWMC'!Print_Area</vt:lpstr>
      <vt:lpstr>'#44-GBMC'!Print_Area</vt:lpstr>
      <vt:lpstr>'#45-McCready'!Print_Area</vt:lpstr>
      <vt:lpstr>'#48-Howard County'!Print_Area</vt:lpstr>
      <vt:lpstr>'#49-UM Upper Chesapeake Medical'!Print_Area</vt:lpstr>
      <vt:lpstr>'#4-Holy Cross Hospital'!Print_Area</vt:lpstr>
      <vt:lpstr>'#5050-Shady Grove Adventist'!Print_Area</vt:lpstr>
      <vt:lpstr>'#51-Doctors Community Hospital'!Print_Area</vt:lpstr>
      <vt:lpstr>'#55-Laurel Regional'!Print_Area</vt:lpstr>
      <vt:lpstr>'#5-Frederick Memorial Hospital'!Print_Area</vt:lpstr>
      <vt:lpstr>'#60-Fort Washington'!Print_Area</vt:lpstr>
      <vt:lpstr>'#61-Atlantic General'!Print_Area</vt:lpstr>
      <vt:lpstr>'#62-MedStar Southern Maryland'!Print_Area</vt:lpstr>
      <vt:lpstr>'#64-Levindale'!Print_Area</vt:lpstr>
      <vt:lpstr>'#65-Holy Cross Germantown'!Print_Area</vt:lpstr>
      <vt:lpstr>'#6-UM Harford Memorial'!Print_Area</vt:lpstr>
      <vt:lpstr>'#8-Mercy'!Print_Area</vt:lpstr>
      <vt:lpstr>'#9-Johns Hopkins'!Print_Area</vt:lpstr>
      <vt:lpstr>'Attachment II-All Hospitals'!Print_Area</vt:lpstr>
      <vt:lpstr>'CB Table 1'!Print_Area</vt:lpstr>
      <vt:lpstr>Charts!Print_Area</vt:lpstr>
      <vt:lpstr>'DME_NSPI-all'!Print_Area</vt:lpstr>
      <vt:lpstr>'Rate Support-Attachment I'!Print_Area</vt:lpstr>
      <vt:lpstr>'#10-UM Shore Health Dorchester'!Print_Titles</vt:lpstr>
      <vt:lpstr>'#30-UM Shore Health Chestertown'!Print_Titles</vt:lpstr>
      <vt:lpstr>'#37-UM Shore Health Easton'!Print_Titles</vt:lpstr>
      <vt:lpstr>'Attachment III-All'!Print_Titles</vt:lpstr>
    </vt:vector>
  </TitlesOfParts>
  <Company>Dell Computer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Preferred Customer</dc:creator>
  <cp:lastModifiedBy>Amanda Vaughan</cp:lastModifiedBy>
  <cp:lastPrinted>2016-10-11T20:44:07Z</cp:lastPrinted>
  <dcterms:created xsi:type="dcterms:W3CDTF">2003-01-20T15:08:29Z</dcterms:created>
  <dcterms:modified xsi:type="dcterms:W3CDTF">2016-10-24T20:18:31Z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